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040" windowHeight="8490" firstSheet="11" activeTab="19"/>
  </bookViews>
  <sheets>
    <sheet name="Önkormányzat tételes" sheetId="1" state="hidden" r:id="rId1"/>
    <sheet name="Hivatal tételes" sheetId="2" state="hidden" r:id="rId2"/>
    <sheet name="Óvoda tételes" sheetId="3" state="hidden" r:id="rId3"/>
    <sheet name="1.1 Összesítő" sheetId="4" r:id="rId4"/>
    <sheet name="2.1 Működési mérleg" sheetId="8" r:id="rId5"/>
    <sheet name="2.2 Felhalmozási mérleg  " sheetId="9" r:id="rId6"/>
    <sheet name="3. Adósság   " sheetId="10" state="hidden" r:id="rId7"/>
    <sheet name="4. Saját bevétel" sheetId="11" state="hidden" r:id="rId8"/>
    <sheet name="3.(5.) Beruhzások " sheetId="13" r:id="rId9"/>
    <sheet name="6. Felújítások" sheetId="12" state="hidden" r:id="rId10"/>
    <sheet name="4.1.(7.1) Önkormányzat" sheetId="5" r:id="rId11"/>
    <sheet name="4.1.1.(7.1.1) Önkormány. (KÖT)" sheetId="24" r:id="rId12"/>
    <sheet name="7.1.2 Önkormányzat (ÁIG)" sheetId="26" state="hidden" r:id="rId13"/>
    <sheet name="4.1.3.(7.1.3) Önkormány. (ÖNK)" sheetId="25" r:id="rId14"/>
    <sheet name="4.2.(7.2) Hivatal" sheetId="6" r:id="rId15"/>
    <sheet name="4.2.1.(7.2.1) Hivatal (KÖT)" sheetId="23" r:id="rId16"/>
    <sheet name="4.2.2.(7.2.2) Hivatal (ÁIG)" sheetId="22" r:id="rId17"/>
    <sheet name="4.3.(7.3) Óvoda" sheetId="7" r:id="rId18"/>
    <sheet name="4.3.1.(7.3.1) Óvoda (KÖT)" sheetId="27" r:id="rId19"/>
    <sheet name="5.(8.) Tartalék" sheetId="14" r:id="rId20"/>
    <sheet name="9. Tartozás állomány" sheetId="16" state="hidden" r:id="rId21"/>
    <sheet name="1.sz tájékoztató t." sheetId="21" state="hidden" r:id="rId22"/>
    <sheet name="2.sz. tájékoztató t." sheetId="17" state="hidden" r:id="rId23"/>
    <sheet name="3. sz tájékoztató t" sheetId="18" state="hidden" r:id="rId24"/>
    <sheet name="4. sz tájékoztató t." sheetId="19" state="hidden" r:id="rId25"/>
    <sheet name="5.sz tájékoztató t." sheetId="20" state="hidden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_____________________fgl1" localSheetId="11">[1]flag_1!#REF!</definedName>
    <definedName name="_______________________fgl1" localSheetId="13">[1]flag_1!#REF!</definedName>
    <definedName name="_______________________fgl1" localSheetId="15">[1]flag_1!#REF!</definedName>
    <definedName name="_______________________fgl1" localSheetId="16">[1]flag_1!#REF!</definedName>
    <definedName name="_______________________fgl1" localSheetId="18">[1]flag_1!#REF!</definedName>
    <definedName name="_______________________fgl1" localSheetId="12">[1]flag_1!#REF!</definedName>
    <definedName name="_______________________fgl1">[1]flag_1!#REF!</definedName>
    <definedName name="_______________________KSZ1" localSheetId="11">[1]flag_1!#REF!</definedName>
    <definedName name="_______________________KSZ1" localSheetId="13">[1]flag_1!#REF!</definedName>
    <definedName name="_______________________KSZ1" localSheetId="15">[1]flag_1!#REF!</definedName>
    <definedName name="_______________________KSZ1" localSheetId="16">[1]flag_1!#REF!</definedName>
    <definedName name="_______________________KSZ1" localSheetId="18">[1]flag_1!#REF!</definedName>
    <definedName name="_______________________KSZ1" localSheetId="12">[1]flag_1!#REF!</definedName>
    <definedName name="_______________________KSZ1">[1]flag_1!#REF!</definedName>
    <definedName name="_______________________ksz11" localSheetId="11">[1]flag_1!#REF!</definedName>
    <definedName name="_______________________ksz11" localSheetId="13">[1]flag_1!#REF!</definedName>
    <definedName name="_______________________ksz11" localSheetId="15">[1]flag_1!#REF!</definedName>
    <definedName name="_______________________ksz11" localSheetId="16">[1]flag_1!#REF!</definedName>
    <definedName name="_______________________ksz11" localSheetId="18">[1]flag_1!#REF!</definedName>
    <definedName name="_______________________ksz11" localSheetId="12">[1]flag_1!#REF!</definedName>
    <definedName name="_______________________ksz11">[1]flag_1!#REF!</definedName>
    <definedName name="______________________fgl1" localSheetId="21">[2]flag_1!#REF!</definedName>
    <definedName name="______________________KSZ1" localSheetId="21">[2]flag_1!#REF!</definedName>
    <definedName name="______________________ksz11" localSheetId="21">[2]flag_1!#REF!</definedName>
    <definedName name="_____________________fgl1" localSheetId="11">[1]flag_1!#REF!</definedName>
    <definedName name="_____________________fgl1" localSheetId="13">[1]flag_1!#REF!</definedName>
    <definedName name="_____________________fgl1" localSheetId="15">[1]flag_1!#REF!</definedName>
    <definedName name="_____________________fgl1" localSheetId="16">[1]flag_1!#REF!</definedName>
    <definedName name="_____________________fgl1" localSheetId="18">[1]flag_1!#REF!</definedName>
    <definedName name="_____________________fgl1" localSheetId="12">[1]flag_1!#REF!</definedName>
    <definedName name="_____________________fgl1">[1]flag_1!#REF!</definedName>
    <definedName name="_____________________KSZ1" localSheetId="11">[1]flag_1!#REF!</definedName>
    <definedName name="_____________________KSZ1" localSheetId="13">[1]flag_1!#REF!</definedName>
    <definedName name="_____________________KSZ1" localSheetId="15">[1]flag_1!#REF!</definedName>
    <definedName name="_____________________KSZ1" localSheetId="16">[1]flag_1!#REF!</definedName>
    <definedName name="_____________________KSZ1" localSheetId="18">[1]flag_1!#REF!</definedName>
    <definedName name="_____________________KSZ1" localSheetId="12">[1]flag_1!#REF!</definedName>
    <definedName name="_____________________KSZ1">[1]flag_1!#REF!</definedName>
    <definedName name="_____________________ksz11" localSheetId="11">[1]flag_1!#REF!</definedName>
    <definedName name="_____________________ksz11" localSheetId="13">[1]flag_1!#REF!</definedName>
    <definedName name="_____________________ksz11" localSheetId="15">[1]flag_1!#REF!</definedName>
    <definedName name="_____________________ksz11" localSheetId="16">[1]flag_1!#REF!</definedName>
    <definedName name="_____________________ksz11" localSheetId="18">[1]flag_1!#REF!</definedName>
    <definedName name="_____________________ksz11" localSheetId="12">[1]flag_1!#REF!</definedName>
    <definedName name="_____________________ksz11">[1]flag_1!#REF!</definedName>
    <definedName name="____________________fgl1" localSheetId="25">[2]flag_1!#REF!</definedName>
    <definedName name="____________________KSZ1" localSheetId="25">[2]flag_1!#REF!</definedName>
    <definedName name="____________________ksz11" localSheetId="25">[2]flag_1!#REF!</definedName>
    <definedName name="___________________fgl1" localSheetId="11">[1]flag_1!#REF!</definedName>
    <definedName name="___________________fgl1" localSheetId="13">[1]flag_1!#REF!</definedName>
    <definedName name="___________________fgl1" localSheetId="15">[1]flag_1!#REF!</definedName>
    <definedName name="___________________fgl1" localSheetId="16">[1]flag_1!#REF!</definedName>
    <definedName name="___________________fgl1" localSheetId="18">[1]flag_1!#REF!</definedName>
    <definedName name="___________________fgl1" localSheetId="12">[1]flag_1!#REF!</definedName>
    <definedName name="___________________fgl1">[1]flag_1!#REF!</definedName>
    <definedName name="___________________KSZ1" localSheetId="11">[1]flag_1!#REF!</definedName>
    <definedName name="___________________KSZ1" localSheetId="13">[1]flag_1!#REF!</definedName>
    <definedName name="___________________KSZ1" localSheetId="15">[1]flag_1!#REF!</definedName>
    <definedName name="___________________KSZ1" localSheetId="16">[1]flag_1!#REF!</definedName>
    <definedName name="___________________KSZ1" localSheetId="18">[1]flag_1!#REF!</definedName>
    <definedName name="___________________KSZ1" localSheetId="12">[1]flag_1!#REF!</definedName>
    <definedName name="___________________KSZ1">[1]flag_1!#REF!</definedName>
    <definedName name="___________________ksz11" localSheetId="11">[1]flag_1!#REF!</definedName>
    <definedName name="___________________ksz11" localSheetId="13">[1]flag_1!#REF!</definedName>
    <definedName name="___________________ksz11" localSheetId="15">[1]flag_1!#REF!</definedName>
    <definedName name="___________________ksz11" localSheetId="16">[1]flag_1!#REF!</definedName>
    <definedName name="___________________ksz11" localSheetId="18">[1]flag_1!#REF!</definedName>
    <definedName name="___________________ksz11" localSheetId="12">[1]flag_1!#REF!</definedName>
    <definedName name="___________________ksz11">[1]flag_1!#REF!</definedName>
    <definedName name="__________________fgl1" localSheetId="24">[2]flag_1!#REF!</definedName>
    <definedName name="__________________KSZ1" localSheetId="24">[2]flag_1!#REF!</definedName>
    <definedName name="__________________ksz11" localSheetId="24">[2]flag_1!#REF!</definedName>
    <definedName name="_________________fgl1" localSheetId="11">[1]flag_1!#REF!</definedName>
    <definedName name="_________________fgl1" localSheetId="13">[1]flag_1!#REF!</definedName>
    <definedName name="_________________fgl1" localSheetId="15">[1]flag_1!#REF!</definedName>
    <definedName name="_________________fgl1" localSheetId="16">[1]flag_1!#REF!</definedName>
    <definedName name="_________________fgl1" localSheetId="18">[1]flag_1!#REF!</definedName>
    <definedName name="_________________fgl1" localSheetId="12">[1]flag_1!#REF!</definedName>
    <definedName name="_________________fgl1">[1]flag_1!#REF!</definedName>
    <definedName name="_________________KSZ1" localSheetId="11">[1]flag_1!#REF!</definedName>
    <definedName name="_________________KSZ1" localSheetId="13">[1]flag_1!#REF!</definedName>
    <definedName name="_________________KSZ1" localSheetId="15">[1]flag_1!#REF!</definedName>
    <definedName name="_________________KSZ1" localSheetId="16">[1]flag_1!#REF!</definedName>
    <definedName name="_________________KSZ1" localSheetId="18">[1]flag_1!#REF!</definedName>
    <definedName name="_________________KSZ1" localSheetId="12">[1]flag_1!#REF!</definedName>
    <definedName name="_________________KSZ1">[1]flag_1!#REF!</definedName>
    <definedName name="_________________ksz11" localSheetId="11">[1]flag_1!#REF!</definedName>
    <definedName name="_________________ksz11" localSheetId="13">[1]flag_1!#REF!</definedName>
    <definedName name="_________________ksz11" localSheetId="15">[1]flag_1!#REF!</definedName>
    <definedName name="_________________ksz11" localSheetId="16">[1]flag_1!#REF!</definedName>
    <definedName name="_________________ksz11" localSheetId="18">[1]flag_1!#REF!</definedName>
    <definedName name="_________________ksz11" localSheetId="12">[1]flag_1!#REF!</definedName>
    <definedName name="_________________ksz11">[1]flag_1!#REF!</definedName>
    <definedName name="________________fgl1" localSheetId="11">[1]flag_1!#REF!</definedName>
    <definedName name="________________fgl1" localSheetId="13">[1]flag_1!#REF!</definedName>
    <definedName name="________________fgl1" localSheetId="15">[1]flag_1!#REF!</definedName>
    <definedName name="________________fgl1" localSheetId="16">[1]flag_1!#REF!</definedName>
    <definedName name="________________fgl1" localSheetId="18">[1]flag_1!#REF!</definedName>
    <definedName name="________________fgl1" localSheetId="12">[1]flag_1!#REF!</definedName>
    <definedName name="________________fgl1">[1]flag_1!#REF!</definedName>
    <definedName name="________________KSZ1" localSheetId="11">[1]flag_1!#REF!</definedName>
    <definedName name="________________KSZ1" localSheetId="13">[1]flag_1!#REF!</definedName>
    <definedName name="________________KSZ1" localSheetId="15">[1]flag_1!#REF!</definedName>
    <definedName name="________________KSZ1" localSheetId="16">[1]flag_1!#REF!</definedName>
    <definedName name="________________KSZ1" localSheetId="18">[1]flag_1!#REF!</definedName>
    <definedName name="________________KSZ1" localSheetId="12">[1]flag_1!#REF!</definedName>
    <definedName name="________________KSZ1">[1]flag_1!#REF!</definedName>
    <definedName name="________________ksz11" localSheetId="11">[1]flag_1!#REF!</definedName>
    <definedName name="________________ksz11" localSheetId="13">[1]flag_1!#REF!</definedName>
    <definedName name="________________ksz11" localSheetId="15">[1]flag_1!#REF!</definedName>
    <definedName name="________________ksz11" localSheetId="16">[1]flag_1!#REF!</definedName>
    <definedName name="________________ksz11" localSheetId="18">[1]flag_1!#REF!</definedName>
    <definedName name="________________ksz11" localSheetId="12">[1]flag_1!#REF!</definedName>
    <definedName name="________________ksz11">[1]flag_1!#REF!</definedName>
    <definedName name="_______________fgl1" localSheetId="11">[1]flag_1!#REF!</definedName>
    <definedName name="_______________fgl1" localSheetId="13">[1]flag_1!#REF!</definedName>
    <definedName name="_______________fgl1" localSheetId="15">[1]flag_1!#REF!</definedName>
    <definedName name="_______________fgl1" localSheetId="16">[1]flag_1!#REF!</definedName>
    <definedName name="_______________fgl1" localSheetId="18">[1]flag_1!#REF!</definedName>
    <definedName name="_______________fgl1" localSheetId="12">[1]flag_1!#REF!</definedName>
    <definedName name="_______________fgl1">[1]flag_1!#REF!</definedName>
    <definedName name="_______________KSZ1" localSheetId="11">[1]flag_1!#REF!</definedName>
    <definedName name="_______________KSZ1" localSheetId="13">[1]flag_1!#REF!</definedName>
    <definedName name="_______________KSZ1" localSheetId="15">[1]flag_1!#REF!</definedName>
    <definedName name="_______________KSZ1" localSheetId="16">[1]flag_1!#REF!</definedName>
    <definedName name="_______________KSZ1" localSheetId="18">[1]flag_1!#REF!</definedName>
    <definedName name="_______________KSZ1" localSheetId="12">[1]flag_1!#REF!</definedName>
    <definedName name="_______________KSZ1">[1]flag_1!#REF!</definedName>
    <definedName name="_______________ksz11" localSheetId="11">[1]flag_1!#REF!</definedName>
    <definedName name="_______________ksz11" localSheetId="13">[1]flag_1!#REF!</definedName>
    <definedName name="_______________ksz11" localSheetId="15">[1]flag_1!#REF!</definedName>
    <definedName name="_______________ksz11" localSheetId="16">[1]flag_1!#REF!</definedName>
    <definedName name="_______________ksz11" localSheetId="18">[1]flag_1!#REF!</definedName>
    <definedName name="_______________ksz11" localSheetId="12">[1]flag_1!#REF!</definedName>
    <definedName name="_______________ksz11">[1]flag_1!#REF!</definedName>
    <definedName name="______________fgl1" localSheetId="11">[1]flag_1!#REF!</definedName>
    <definedName name="______________fgl1" localSheetId="13">[1]flag_1!#REF!</definedName>
    <definedName name="______________fgl1" localSheetId="15">[1]flag_1!#REF!</definedName>
    <definedName name="______________fgl1" localSheetId="16">[1]flag_1!#REF!</definedName>
    <definedName name="______________fgl1" localSheetId="18">[1]flag_1!#REF!</definedName>
    <definedName name="______________fgl1" localSheetId="12">[1]flag_1!#REF!</definedName>
    <definedName name="______________fgl1">[1]flag_1!#REF!</definedName>
    <definedName name="______________KSZ1" localSheetId="11">[1]flag_1!#REF!</definedName>
    <definedName name="______________KSZ1" localSheetId="13">[1]flag_1!#REF!</definedName>
    <definedName name="______________KSZ1" localSheetId="15">[1]flag_1!#REF!</definedName>
    <definedName name="______________KSZ1" localSheetId="16">[1]flag_1!#REF!</definedName>
    <definedName name="______________KSZ1" localSheetId="18">[1]flag_1!#REF!</definedName>
    <definedName name="______________KSZ1" localSheetId="12">[1]flag_1!#REF!</definedName>
    <definedName name="______________KSZ1">[1]flag_1!#REF!</definedName>
    <definedName name="______________ksz11" localSheetId="11">[1]flag_1!#REF!</definedName>
    <definedName name="______________ksz11" localSheetId="13">[1]flag_1!#REF!</definedName>
    <definedName name="______________ksz11" localSheetId="15">[1]flag_1!#REF!</definedName>
    <definedName name="______________ksz11" localSheetId="16">[1]flag_1!#REF!</definedName>
    <definedName name="______________ksz11" localSheetId="18">[1]flag_1!#REF!</definedName>
    <definedName name="______________ksz11" localSheetId="12">[1]flag_1!#REF!</definedName>
    <definedName name="______________ksz11">[1]flag_1!#REF!</definedName>
    <definedName name="_____________fgl1" localSheetId="11">[1]flag_1!#REF!</definedName>
    <definedName name="_____________fgl1" localSheetId="13">[1]flag_1!#REF!</definedName>
    <definedName name="_____________fgl1" localSheetId="15">[1]flag_1!#REF!</definedName>
    <definedName name="_____________fgl1" localSheetId="16">[1]flag_1!#REF!</definedName>
    <definedName name="_____________fgl1" localSheetId="18">[1]flag_1!#REF!</definedName>
    <definedName name="_____________fgl1" localSheetId="12">[1]flag_1!#REF!</definedName>
    <definedName name="_____________fgl1">[1]flag_1!#REF!</definedName>
    <definedName name="_____________KSZ1" localSheetId="11">[1]flag_1!#REF!</definedName>
    <definedName name="_____________KSZ1" localSheetId="13">[1]flag_1!#REF!</definedName>
    <definedName name="_____________KSZ1" localSheetId="15">[1]flag_1!#REF!</definedName>
    <definedName name="_____________KSZ1" localSheetId="16">[1]flag_1!#REF!</definedName>
    <definedName name="_____________KSZ1" localSheetId="18">[1]flag_1!#REF!</definedName>
    <definedName name="_____________KSZ1" localSheetId="12">[1]flag_1!#REF!</definedName>
    <definedName name="_____________KSZ1">[1]flag_1!#REF!</definedName>
    <definedName name="_____________ksz11" localSheetId="11">[1]flag_1!#REF!</definedName>
    <definedName name="_____________ksz11" localSheetId="13">[1]flag_1!#REF!</definedName>
    <definedName name="_____________ksz11" localSheetId="15">[1]flag_1!#REF!</definedName>
    <definedName name="_____________ksz11" localSheetId="16">[1]flag_1!#REF!</definedName>
    <definedName name="_____________ksz11" localSheetId="18">[1]flag_1!#REF!</definedName>
    <definedName name="_____________ksz11" localSheetId="12">[1]flag_1!#REF!</definedName>
    <definedName name="_____________ksz11">[1]flag_1!#REF!</definedName>
    <definedName name="____________fgl1" localSheetId="11">[1]flag_1!#REF!</definedName>
    <definedName name="____________fgl1" localSheetId="13">[1]flag_1!#REF!</definedName>
    <definedName name="____________fgl1" localSheetId="15">[1]flag_1!#REF!</definedName>
    <definedName name="____________fgl1" localSheetId="16">[1]flag_1!#REF!</definedName>
    <definedName name="____________fgl1" localSheetId="18">[1]flag_1!#REF!</definedName>
    <definedName name="____________fgl1" localSheetId="12">[1]flag_1!#REF!</definedName>
    <definedName name="____________fgl1">[1]flag_1!#REF!</definedName>
    <definedName name="____________KSZ1" localSheetId="11">[1]flag_1!#REF!</definedName>
    <definedName name="____________KSZ1" localSheetId="13">[1]flag_1!#REF!</definedName>
    <definedName name="____________KSZ1" localSheetId="15">[1]flag_1!#REF!</definedName>
    <definedName name="____________KSZ1" localSheetId="16">[1]flag_1!#REF!</definedName>
    <definedName name="____________KSZ1" localSheetId="18">[1]flag_1!#REF!</definedName>
    <definedName name="____________KSZ1" localSheetId="12">[1]flag_1!#REF!</definedName>
    <definedName name="____________KSZ1">[1]flag_1!#REF!</definedName>
    <definedName name="____________ksz11" localSheetId="11">[1]flag_1!#REF!</definedName>
    <definedName name="____________ksz11" localSheetId="13">[1]flag_1!#REF!</definedName>
    <definedName name="____________ksz11" localSheetId="15">[1]flag_1!#REF!</definedName>
    <definedName name="____________ksz11" localSheetId="16">[1]flag_1!#REF!</definedName>
    <definedName name="____________ksz11" localSheetId="18">[1]flag_1!#REF!</definedName>
    <definedName name="____________ksz11" localSheetId="12">[1]flag_1!#REF!</definedName>
    <definedName name="____________ksz11">[1]flag_1!#REF!</definedName>
    <definedName name="___________fgl1" localSheetId="11">[1]flag_1!#REF!</definedName>
    <definedName name="___________fgl1" localSheetId="13">[1]flag_1!#REF!</definedName>
    <definedName name="___________fgl1" localSheetId="15">[1]flag_1!#REF!</definedName>
    <definedName name="___________fgl1" localSheetId="16">[1]flag_1!#REF!</definedName>
    <definedName name="___________fgl1" localSheetId="18">[1]flag_1!#REF!</definedName>
    <definedName name="___________fgl1" localSheetId="12">[1]flag_1!#REF!</definedName>
    <definedName name="___________fgl1">[1]flag_1!#REF!</definedName>
    <definedName name="___________KSZ1" localSheetId="11">[1]flag_1!#REF!</definedName>
    <definedName name="___________KSZ1" localSheetId="13">[1]flag_1!#REF!</definedName>
    <definedName name="___________KSZ1" localSheetId="15">[1]flag_1!#REF!</definedName>
    <definedName name="___________KSZ1" localSheetId="16">[1]flag_1!#REF!</definedName>
    <definedName name="___________KSZ1" localSheetId="18">[1]flag_1!#REF!</definedName>
    <definedName name="___________KSZ1" localSheetId="12">[1]flag_1!#REF!</definedName>
    <definedName name="___________KSZ1">[1]flag_1!#REF!</definedName>
    <definedName name="___________ksz11" localSheetId="11">[1]flag_1!#REF!</definedName>
    <definedName name="___________ksz11" localSheetId="13">[1]flag_1!#REF!</definedName>
    <definedName name="___________ksz11" localSheetId="15">[1]flag_1!#REF!</definedName>
    <definedName name="___________ksz11" localSheetId="16">[1]flag_1!#REF!</definedName>
    <definedName name="___________ksz11" localSheetId="18">[1]flag_1!#REF!</definedName>
    <definedName name="___________ksz11" localSheetId="12">[1]flag_1!#REF!</definedName>
    <definedName name="___________ksz11">[1]flag_1!#REF!</definedName>
    <definedName name="__________fgl1" localSheetId="11">[1]flag_1!#REF!</definedName>
    <definedName name="__________fgl1" localSheetId="13">[1]flag_1!#REF!</definedName>
    <definedName name="__________fgl1" localSheetId="15">[1]flag_1!#REF!</definedName>
    <definedName name="__________fgl1" localSheetId="16">[1]flag_1!#REF!</definedName>
    <definedName name="__________fgl1" localSheetId="18">[1]flag_1!#REF!</definedName>
    <definedName name="__________fgl1" localSheetId="12">[1]flag_1!#REF!</definedName>
    <definedName name="__________fgl1">[1]flag_1!#REF!</definedName>
    <definedName name="__________KSZ1" localSheetId="11">[1]flag_1!#REF!</definedName>
    <definedName name="__________KSZ1" localSheetId="13">[1]flag_1!#REF!</definedName>
    <definedName name="__________KSZ1" localSheetId="15">[1]flag_1!#REF!</definedName>
    <definedName name="__________KSZ1" localSheetId="16">[1]flag_1!#REF!</definedName>
    <definedName name="__________KSZ1" localSheetId="18">[1]flag_1!#REF!</definedName>
    <definedName name="__________KSZ1" localSheetId="12">[1]flag_1!#REF!</definedName>
    <definedName name="__________KSZ1">[1]flag_1!#REF!</definedName>
    <definedName name="__________ksz11" localSheetId="11">[1]flag_1!#REF!</definedName>
    <definedName name="__________ksz11" localSheetId="13">[1]flag_1!#REF!</definedName>
    <definedName name="__________ksz11" localSheetId="15">[1]flag_1!#REF!</definedName>
    <definedName name="__________ksz11" localSheetId="16">[1]flag_1!#REF!</definedName>
    <definedName name="__________ksz11" localSheetId="18">[1]flag_1!#REF!</definedName>
    <definedName name="__________ksz11" localSheetId="12">[1]flag_1!#REF!</definedName>
    <definedName name="__________ksz11">[1]flag_1!#REF!</definedName>
    <definedName name="_________fgl1" localSheetId="11">[1]flag_1!#REF!</definedName>
    <definedName name="_________fgl1" localSheetId="13">[1]flag_1!#REF!</definedName>
    <definedName name="_________fgl1" localSheetId="15">[1]flag_1!#REF!</definedName>
    <definedName name="_________fgl1" localSheetId="16">[1]flag_1!#REF!</definedName>
    <definedName name="_________fgl1" localSheetId="18">[1]flag_1!#REF!</definedName>
    <definedName name="_________fgl1" localSheetId="12">[1]flag_1!#REF!</definedName>
    <definedName name="_________fgl1">[1]flag_1!#REF!</definedName>
    <definedName name="_________KSZ1" localSheetId="11">[1]flag_1!#REF!</definedName>
    <definedName name="_________KSZ1" localSheetId="13">[1]flag_1!#REF!</definedName>
    <definedName name="_________KSZ1" localSheetId="15">[1]flag_1!#REF!</definedName>
    <definedName name="_________KSZ1" localSheetId="16">[1]flag_1!#REF!</definedName>
    <definedName name="_________KSZ1" localSheetId="18">[1]flag_1!#REF!</definedName>
    <definedName name="_________KSZ1" localSheetId="12">[1]flag_1!#REF!</definedName>
    <definedName name="_________KSZ1">[1]flag_1!#REF!</definedName>
    <definedName name="_________ksz11" localSheetId="11">[1]flag_1!#REF!</definedName>
    <definedName name="_________ksz11" localSheetId="13">[1]flag_1!#REF!</definedName>
    <definedName name="_________ksz11" localSheetId="15">[1]flag_1!#REF!</definedName>
    <definedName name="_________ksz11" localSheetId="16">[1]flag_1!#REF!</definedName>
    <definedName name="_________ksz11" localSheetId="18">[1]flag_1!#REF!</definedName>
    <definedName name="_________ksz11" localSheetId="12">[1]flag_1!#REF!</definedName>
    <definedName name="_________ksz11">[1]flag_1!#REF!</definedName>
    <definedName name="________fgl1" localSheetId="11">[1]flag_1!#REF!</definedName>
    <definedName name="________fgl1" localSheetId="13">[1]flag_1!#REF!</definedName>
    <definedName name="________fgl1" localSheetId="15">[1]flag_1!#REF!</definedName>
    <definedName name="________fgl1" localSheetId="16">[1]flag_1!#REF!</definedName>
    <definedName name="________fgl1" localSheetId="18">[1]flag_1!#REF!</definedName>
    <definedName name="________fgl1" localSheetId="12">[1]flag_1!#REF!</definedName>
    <definedName name="________fgl1">[1]flag_1!#REF!</definedName>
    <definedName name="________KSZ1" localSheetId="11">[1]flag_1!#REF!</definedName>
    <definedName name="________KSZ1" localSheetId="13">[1]flag_1!#REF!</definedName>
    <definedName name="________KSZ1" localSheetId="15">[1]flag_1!#REF!</definedName>
    <definedName name="________KSZ1" localSheetId="16">[1]flag_1!#REF!</definedName>
    <definedName name="________KSZ1" localSheetId="18">[1]flag_1!#REF!</definedName>
    <definedName name="________KSZ1" localSheetId="12">[1]flag_1!#REF!</definedName>
    <definedName name="________KSZ1">[1]flag_1!#REF!</definedName>
    <definedName name="________ksz11" localSheetId="11">[1]flag_1!#REF!</definedName>
    <definedName name="________ksz11" localSheetId="13">[1]flag_1!#REF!</definedName>
    <definedName name="________ksz11" localSheetId="15">[1]flag_1!#REF!</definedName>
    <definedName name="________ksz11" localSheetId="16">[1]flag_1!#REF!</definedName>
    <definedName name="________ksz11" localSheetId="18">[1]flag_1!#REF!</definedName>
    <definedName name="________ksz11" localSheetId="12">[1]flag_1!#REF!</definedName>
    <definedName name="________ksz11">[1]flag_1!#REF!</definedName>
    <definedName name="_______fgl1" localSheetId="11">[1]flag_1!#REF!</definedName>
    <definedName name="_______fgl1" localSheetId="13">[1]flag_1!#REF!</definedName>
    <definedName name="_______fgl1" localSheetId="15">[1]flag_1!#REF!</definedName>
    <definedName name="_______fgl1" localSheetId="16">[1]flag_1!#REF!</definedName>
    <definedName name="_______fgl1" localSheetId="18">[1]flag_1!#REF!</definedName>
    <definedName name="_______fgl1" localSheetId="12">[1]flag_1!#REF!</definedName>
    <definedName name="_______fgl1">[1]flag_1!#REF!</definedName>
    <definedName name="_______KSZ1" localSheetId="11">[1]flag_1!#REF!</definedName>
    <definedName name="_______KSZ1" localSheetId="13">[1]flag_1!#REF!</definedName>
    <definedName name="_______KSZ1" localSheetId="15">[1]flag_1!#REF!</definedName>
    <definedName name="_______KSZ1" localSheetId="16">[1]flag_1!#REF!</definedName>
    <definedName name="_______KSZ1" localSheetId="18">[1]flag_1!#REF!</definedName>
    <definedName name="_______KSZ1" localSheetId="12">[1]flag_1!#REF!</definedName>
    <definedName name="_______KSZ1">[1]flag_1!#REF!</definedName>
    <definedName name="_______ksz11" localSheetId="11">[1]flag_1!#REF!</definedName>
    <definedName name="_______ksz11" localSheetId="13">[1]flag_1!#REF!</definedName>
    <definedName name="_______ksz11" localSheetId="15">[1]flag_1!#REF!</definedName>
    <definedName name="_______ksz11" localSheetId="16">[1]flag_1!#REF!</definedName>
    <definedName name="_______ksz11" localSheetId="18">[1]flag_1!#REF!</definedName>
    <definedName name="_______ksz11" localSheetId="12">[1]flag_1!#REF!</definedName>
    <definedName name="_______ksz11">[1]flag_1!#REF!</definedName>
    <definedName name="______fgl1" localSheetId="3">[1]flag_1!#REF!</definedName>
    <definedName name="______KSZ1" localSheetId="3">[1]flag_1!#REF!</definedName>
    <definedName name="______ksz11" localSheetId="3">[1]flag_1!#REF!</definedName>
    <definedName name="_____fgl1" localSheetId="11">[1]flag_1!#REF!</definedName>
    <definedName name="_____fgl1" localSheetId="13">[1]flag_1!#REF!</definedName>
    <definedName name="_____fgl1" localSheetId="15">[1]flag_1!#REF!</definedName>
    <definedName name="_____fgl1" localSheetId="16">[1]flag_1!#REF!</definedName>
    <definedName name="_____fgl1" localSheetId="18">[1]flag_1!#REF!</definedName>
    <definedName name="_____fgl1" localSheetId="12">[1]flag_1!#REF!</definedName>
    <definedName name="_____fgl1">[1]flag_1!#REF!</definedName>
    <definedName name="_____KSZ1" localSheetId="11">[1]flag_1!#REF!</definedName>
    <definedName name="_____KSZ1" localSheetId="13">[1]flag_1!#REF!</definedName>
    <definedName name="_____KSZ1" localSheetId="15">[1]flag_1!#REF!</definedName>
    <definedName name="_____KSZ1" localSheetId="16">[1]flag_1!#REF!</definedName>
    <definedName name="_____KSZ1" localSheetId="18">[1]flag_1!#REF!</definedName>
    <definedName name="_____KSZ1" localSheetId="12">[1]flag_1!#REF!</definedName>
    <definedName name="_____KSZ1">[1]flag_1!#REF!</definedName>
    <definedName name="_____ksz11" localSheetId="11">[1]flag_1!#REF!</definedName>
    <definedName name="_____ksz11" localSheetId="13">[1]flag_1!#REF!</definedName>
    <definedName name="_____ksz11" localSheetId="15">[1]flag_1!#REF!</definedName>
    <definedName name="_____ksz11" localSheetId="16">[1]flag_1!#REF!</definedName>
    <definedName name="_____ksz11" localSheetId="18">[1]flag_1!#REF!</definedName>
    <definedName name="_____ksz11" localSheetId="12">[1]flag_1!#REF!</definedName>
    <definedName name="_____ksz11">[1]flag_1!#REF!</definedName>
    <definedName name="____fgl1" localSheetId="11">[1]flag_1!#REF!</definedName>
    <definedName name="____fgl1" localSheetId="13">[1]flag_1!#REF!</definedName>
    <definedName name="____fgl1" localSheetId="15">[1]flag_1!#REF!</definedName>
    <definedName name="____fgl1" localSheetId="16">[1]flag_1!#REF!</definedName>
    <definedName name="____fgl1" localSheetId="18">[1]flag_1!#REF!</definedName>
    <definedName name="____fgl1" localSheetId="12">[1]flag_1!#REF!</definedName>
    <definedName name="____fgl1">[1]flag_1!#REF!</definedName>
    <definedName name="____KSZ1" localSheetId="11">[1]flag_1!#REF!</definedName>
    <definedName name="____KSZ1" localSheetId="13">[1]flag_1!#REF!</definedName>
    <definedName name="____KSZ1" localSheetId="15">[1]flag_1!#REF!</definedName>
    <definedName name="____KSZ1" localSheetId="16">[1]flag_1!#REF!</definedName>
    <definedName name="____KSZ1" localSheetId="18">[1]flag_1!#REF!</definedName>
    <definedName name="____KSZ1" localSheetId="12">[1]flag_1!#REF!</definedName>
    <definedName name="____KSZ1">[1]flag_1!#REF!</definedName>
    <definedName name="____ksz11" localSheetId="11">[1]flag_1!#REF!</definedName>
    <definedName name="____ksz11" localSheetId="13">[1]flag_1!#REF!</definedName>
    <definedName name="____ksz11" localSheetId="15">[1]flag_1!#REF!</definedName>
    <definedName name="____ksz11" localSheetId="16">[1]flag_1!#REF!</definedName>
    <definedName name="____ksz11" localSheetId="18">[1]flag_1!#REF!</definedName>
    <definedName name="____ksz11" localSheetId="12">[1]flag_1!#REF!</definedName>
    <definedName name="____ksz11">[1]flag_1!#REF!</definedName>
    <definedName name="___fgl1" localSheetId="11">[1]flag_1!#REF!</definedName>
    <definedName name="___fgl1" localSheetId="13">[1]flag_1!#REF!</definedName>
    <definedName name="___fgl1" localSheetId="15">[1]flag_1!#REF!</definedName>
    <definedName name="___fgl1" localSheetId="16">[1]flag_1!#REF!</definedName>
    <definedName name="___fgl1" localSheetId="18">[1]flag_1!#REF!</definedName>
    <definedName name="___fgl1" localSheetId="12">[1]flag_1!#REF!</definedName>
    <definedName name="___fgl1">[1]flag_1!#REF!</definedName>
    <definedName name="___KSZ1" localSheetId="11">[1]flag_1!#REF!</definedName>
    <definedName name="___KSZ1" localSheetId="13">[1]flag_1!#REF!</definedName>
    <definedName name="___KSZ1" localSheetId="15">[1]flag_1!#REF!</definedName>
    <definedName name="___KSZ1" localSheetId="16">[1]flag_1!#REF!</definedName>
    <definedName name="___KSZ1" localSheetId="18">[1]flag_1!#REF!</definedName>
    <definedName name="___KSZ1" localSheetId="12">[1]flag_1!#REF!</definedName>
    <definedName name="___KSZ1">[1]flag_1!#REF!</definedName>
    <definedName name="___ksz11" localSheetId="11">[1]flag_1!#REF!</definedName>
    <definedName name="___ksz11" localSheetId="13">[1]flag_1!#REF!</definedName>
    <definedName name="___ksz11" localSheetId="15">[1]flag_1!#REF!</definedName>
    <definedName name="___ksz11" localSheetId="16">[1]flag_1!#REF!</definedName>
    <definedName name="___ksz11" localSheetId="18">[1]flag_1!#REF!</definedName>
    <definedName name="___ksz11" localSheetId="12">[1]flag_1!#REF!</definedName>
    <definedName name="___ksz11">[1]flag_1!#REF!</definedName>
    <definedName name="__fgl1" localSheetId="11">[1]flag_1!#REF!</definedName>
    <definedName name="__fgl1" localSheetId="13">[1]flag_1!#REF!</definedName>
    <definedName name="__fgl1" localSheetId="15">[1]flag_1!#REF!</definedName>
    <definedName name="__fgl1" localSheetId="16">[1]flag_1!#REF!</definedName>
    <definedName name="__fgl1" localSheetId="18">[1]flag_1!#REF!</definedName>
    <definedName name="__fgl1" localSheetId="25">[1]flag_1!#REF!</definedName>
    <definedName name="__fgl1" localSheetId="12">[1]flag_1!#REF!</definedName>
    <definedName name="__fgl1">[1]flag_1!#REF!</definedName>
    <definedName name="__KSZ1" localSheetId="11">[1]flag_1!#REF!</definedName>
    <definedName name="__KSZ1" localSheetId="13">[1]flag_1!#REF!</definedName>
    <definedName name="__KSZ1" localSheetId="15">[1]flag_1!#REF!</definedName>
    <definedName name="__KSZ1" localSheetId="16">[1]flag_1!#REF!</definedName>
    <definedName name="__KSZ1" localSheetId="18">[1]flag_1!#REF!</definedName>
    <definedName name="__KSZ1" localSheetId="25">[1]flag_1!#REF!</definedName>
    <definedName name="__KSZ1" localSheetId="12">[1]flag_1!#REF!</definedName>
    <definedName name="__KSZ1">[1]flag_1!#REF!</definedName>
    <definedName name="__ksz11" localSheetId="11">[1]flag_1!#REF!</definedName>
    <definedName name="__ksz11" localSheetId="13">[1]flag_1!#REF!</definedName>
    <definedName name="__ksz11" localSheetId="15">[1]flag_1!#REF!</definedName>
    <definedName name="__ksz11" localSheetId="16">[1]flag_1!#REF!</definedName>
    <definedName name="__ksz11" localSheetId="18">[1]flag_1!#REF!</definedName>
    <definedName name="__ksz11" localSheetId="25">[1]flag_1!#REF!</definedName>
    <definedName name="__ksz11" localSheetId="12">[1]flag_1!#REF!</definedName>
    <definedName name="__ksz11">[1]flag_1!#REF!</definedName>
    <definedName name="_fgl1" localSheetId="3">[1]flag_1!#REF!</definedName>
    <definedName name="_fgl1" localSheetId="22">[3]flag_1!#REF!</definedName>
    <definedName name="_fgl1" localSheetId="23">[3]flag_1!#REF!</definedName>
    <definedName name="_fgl1" localSheetId="8">[1]flag_1!#REF!</definedName>
    <definedName name="_fgl1" localSheetId="11">[1]flag_1!#REF!</definedName>
    <definedName name="_fgl1" localSheetId="13">[1]flag_1!#REF!</definedName>
    <definedName name="_fgl1" localSheetId="15">[1]flag_1!#REF!</definedName>
    <definedName name="_fgl1" localSheetId="16">[1]flag_1!#REF!</definedName>
    <definedName name="_fgl1" localSheetId="18">[1]flag_1!#REF!</definedName>
    <definedName name="_fgl1" localSheetId="25">[1]flag_1!#REF!</definedName>
    <definedName name="_fgl1" localSheetId="12">[1]flag_1!#REF!</definedName>
    <definedName name="_fgl1" localSheetId="20">[3]flag_1!#REF!</definedName>
    <definedName name="_fgl1">[1]flag_1!#REF!</definedName>
    <definedName name="_KSZ1" localSheetId="3">[1]flag_1!#REF!</definedName>
    <definedName name="_KSZ1" localSheetId="22">[3]flag_1!#REF!</definedName>
    <definedName name="_KSZ1" localSheetId="23">[3]flag_1!#REF!</definedName>
    <definedName name="_KSZ1" localSheetId="8">[1]flag_1!#REF!</definedName>
    <definedName name="_KSZ1" localSheetId="11">[1]flag_1!#REF!</definedName>
    <definedName name="_KSZ1" localSheetId="13">[1]flag_1!#REF!</definedName>
    <definedName name="_KSZ1" localSheetId="15">[1]flag_1!#REF!</definedName>
    <definedName name="_KSZ1" localSheetId="16">[1]flag_1!#REF!</definedName>
    <definedName name="_KSZ1" localSheetId="18">[1]flag_1!#REF!</definedName>
    <definedName name="_KSZ1" localSheetId="25">[1]flag_1!#REF!</definedName>
    <definedName name="_KSZ1" localSheetId="12">[1]flag_1!#REF!</definedName>
    <definedName name="_KSZ1" localSheetId="20">[3]flag_1!#REF!</definedName>
    <definedName name="_KSZ1">[1]flag_1!#REF!</definedName>
    <definedName name="_ksz11" localSheetId="3">[1]flag_1!#REF!</definedName>
    <definedName name="_ksz11" localSheetId="22">[3]flag_1!#REF!</definedName>
    <definedName name="_ksz11" localSheetId="23">[3]flag_1!#REF!</definedName>
    <definedName name="_ksz11" localSheetId="8">[1]flag_1!#REF!</definedName>
    <definedName name="_ksz11" localSheetId="11">[1]flag_1!#REF!</definedName>
    <definedName name="_ksz11" localSheetId="13">[1]flag_1!#REF!</definedName>
    <definedName name="_ksz11" localSheetId="15">[1]flag_1!#REF!</definedName>
    <definedName name="_ksz11" localSheetId="16">[1]flag_1!#REF!</definedName>
    <definedName name="_ksz11" localSheetId="18">[1]flag_1!#REF!</definedName>
    <definedName name="_ksz11" localSheetId="25">[1]flag_1!#REF!</definedName>
    <definedName name="_ksz11" localSheetId="12">[1]flag_1!#REF!</definedName>
    <definedName name="_ksz11" localSheetId="20">[3]flag_1!#REF!</definedName>
    <definedName name="_ksz11">[1]flag_1!#REF!</definedName>
    <definedName name="_Toc206922256" localSheetId="0">'Önkormányzat tételes'!#REF!</definedName>
    <definedName name="_xlnm.Database" localSheetId="3">#REF!</definedName>
    <definedName name="_xlnm.Database" localSheetId="21">#REF!</definedName>
    <definedName name="_xlnm.Database" localSheetId="4">#REF!</definedName>
    <definedName name="_xlnm.Database" localSheetId="5">#REF!</definedName>
    <definedName name="_xlnm.Database" localSheetId="22">#REF!</definedName>
    <definedName name="_xlnm.Database" localSheetId="6">#REF!</definedName>
    <definedName name="_xlnm.Database" localSheetId="23">#REF!</definedName>
    <definedName name="_xlnm.Database" localSheetId="8">#REF!</definedName>
    <definedName name="_xlnm.Database" localSheetId="7">#REF!</definedName>
    <definedName name="_xlnm.Database" localSheetId="24">#REF!</definedName>
    <definedName name="_xlnm.Database" localSheetId="11">#REF!</definedName>
    <definedName name="_xlnm.Database" localSheetId="13">#REF!</definedName>
    <definedName name="_xlnm.Database" localSheetId="15">#REF!</definedName>
    <definedName name="_xlnm.Database" localSheetId="16">#REF!</definedName>
    <definedName name="_xlnm.Database" localSheetId="18">#REF!</definedName>
    <definedName name="_xlnm.Database" localSheetId="19">#REF!</definedName>
    <definedName name="_xlnm.Database" localSheetId="25">#REF!</definedName>
    <definedName name="_xlnm.Database" localSheetId="9">#REF!</definedName>
    <definedName name="_xlnm.Database" localSheetId="12">#REF!</definedName>
    <definedName name="_xlnm.Database" localSheetId="20">#REF!</definedName>
    <definedName name="_xlnm.Database">#REF!</definedName>
    <definedName name="Adatbázis1" localSheetId="21">#REF!</definedName>
    <definedName name="Adatbázis1" localSheetId="4">#REF!</definedName>
    <definedName name="Adatbázis1" localSheetId="5">#REF!</definedName>
    <definedName name="Adatbázis1" localSheetId="22">#REF!</definedName>
    <definedName name="Adatbázis1" localSheetId="6">#REF!</definedName>
    <definedName name="Adatbázis1" localSheetId="23">#REF!</definedName>
    <definedName name="Adatbázis1" localSheetId="8">#REF!</definedName>
    <definedName name="Adatbázis1" localSheetId="7">#REF!</definedName>
    <definedName name="Adatbázis1" localSheetId="24">#REF!</definedName>
    <definedName name="Adatbázis1" localSheetId="11">#REF!</definedName>
    <definedName name="Adatbázis1" localSheetId="13">#REF!</definedName>
    <definedName name="Adatbázis1" localSheetId="15">#REF!</definedName>
    <definedName name="Adatbázis1" localSheetId="16">#REF!</definedName>
    <definedName name="Adatbázis1" localSheetId="18">#REF!</definedName>
    <definedName name="Adatbázis1" localSheetId="19">#REF!</definedName>
    <definedName name="Adatbázis1" localSheetId="25">#REF!</definedName>
    <definedName name="Adatbázis1" localSheetId="9">#REF!</definedName>
    <definedName name="Adatbázis1" localSheetId="12">#REF!</definedName>
    <definedName name="Adatbázis1" localSheetId="20">#REF!</definedName>
    <definedName name="Adatbázis1">#REF!</definedName>
    <definedName name="anita" localSheetId="21">#REF!</definedName>
    <definedName name="anita" localSheetId="4">#REF!</definedName>
    <definedName name="anita" localSheetId="5">#REF!</definedName>
    <definedName name="anita" localSheetId="22">#REF!</definedName>
    <definedName name="anita" localSheetId="6">#REF!</definedName>
    <definedName name="anita" localSheetId="23">#REF!</definedName>
    <definedName name="anita" localSheetId="8">#REF!</definedName>
    <definedName name="anita" localSheetId="7">#REF!</definedName>
    <definedName name="anita" localSheetId="24">#REF!</definedName>
    <definedName name="anita" localSheetId="11">#REF!</definedName>
    <definedName name="anita" localSheetId="13">#REF!</definedName>
    <definedName name="anita" localSheetId="15">#REF!</definedName>
    <definedName name="anita" localSheetId="16">#REF!</definedName>
    <definedName name="anita" localSheetId="18">#REF!</definedName>
    <definedName name="anita" localSheetId="19">#REF!</definedName>
    <definedName name="anita" localSheetId="25">#REF!</definedName>
    <definedName name="anita" localSheetId="9">#REF!</definedName>
    <definedName name="anita" localSheetId="12">#REF!</definedName>
    <definedName name="anita" localSheetId="20">#REF!</definedName>
    <definedName name="anita">#REF!</definedName>
    <definedName name="css" localSheetId="3">#REF!</definedName>
    <definedName name="css" localSheetId="21">#REF!</definedName>
    <definedName name="css" localSheetId="4">#REF!</definedName>
    <definedName name="css" localSheetId="5">#REF!</definedName>
    <definedName name="css" localSheetId="22">#REF!</definedName>
    <definedName name="css" localSheetId="6">#REF!</definedName>
    <definedName name="css" localSheetId="23">#REF!</definedName>
    <definedName name="css" localSheetId="8">#REF!</definedName>
    <definedName name="css" localSheetId="7">#REF!</definedName>
    <definedName name="css" localSheetId="24">#REF!</definedName>
    <definedName name="css" localSheetId="10">#REF!</definedName>
    <definedName name="css" localSheetId="11">#REF!</definedName>
    <definedName name="css" localSheetId="13">#REF!</definedName>
    <definedName name="css" localSheetId="14">#REF!</definedName>
    <definedName name="css" localSheetId="15">#REF!</definedName>
    <definedName name="css" localSheetId="16">#REF!</definedName>
    <definedName name="css" localSheetId="17">#REF!</definedName>
    <definedName name="css" localSheetId="18">#REF!</definedName>
    <definedName name="css" localSheetId="19">#REF!</definedName>
    <definedName name="css" localSheetId="25">#REF!</definedName>
    <definedName name="css" localSheetId="9">#REF!</definedName>
    <definedName name="css" localSheetId="12">#REF!</definedName>
    <definedName name="css" localSheetId="20">#REF!</definedName>
    <definedName name="css">#REF!</definedName>
    <definedName name="css_k" localSheetId="21">[4]Családsegítés!$C$27:$C$86</definedName>
    <definedName name="css_k" localSheetId="22">[5]Családsegítés!$C$27:$C$86</definedName>
    <definedName name="css_k" localSheetId="23">[5]Családsegítés!$C$27:$C$86</definedName>
    <definedName name="css_k" localSheetId="8">[6]Családsegítés!$C$27:$C$86</definedName>
    <definedName name="css_k" localSheetId="24">[4]Családsegítés!$C$27:$C$86</definedName>
    <definedName name="css_k" localSheetId="25">[4]Családsegítés!$C$27:$C$86</definedName>
    <definedName name="css_k" localSheetId="20">[5]Családsegítés!$C$27:$C$86</definedName>
    <definedName name="css_k">[6]Családsegítés!$C$27:$C$86</definedName>
    <definedName name="css_k_" localSheetId="3">#REF!</definedName>
    <definedName name="css_k_" localSheetId="21">#REF!</definedName>
    <definedName name="css_k_" localSheetId="4">#REF!</definedName>
    <definedName name="css_k_" localSheetId="5">#REF!</definedName>
    <definedName name="css_k_" localSheetId="22">#REF!</definedName>
    <definedName name="css_k_" localSheetId="6">#REF!</definedName>
    <definedName name="css_k_" localSheetId="23">#REF!</definedName>
    <definedName name="css_k_" localSheetId="8">#REF!</definedName>
    <definedName name="css_k_" localSheetId="7">#REF!</definedName>
    <definedName name="css_k_" localSheetId="24">#REF!</definedName>
    <definedName name="css_k_" localSheetId="10">#REF!</definedName>
    <definedName name="css_k_" localSheetId="11">#REF!</definedName>
    <definedName name="css_k_" localSheetId="13">#REF!</definedName>
    <definedName name="css_k_" localSheetId="14">#REF!</definedName>
    <definedName name="css_k_" localSheetId="15">#REF!</definedName>
    <definedName name="css_k_" localSheetId="16">#REF!</definedName>
    <definedName name="css_k_" localSheetId="17">#REF!</definedName>
    <definedName name="css_k_" localSheetId="18">#REF!</definedName>
    <definedName name="css_k_" localSheetId="19">#REF!</definedName>
    <definedName name="css_k_" localSheetId="25">#REF!</definedName>
    <definedName name="css_k_" localSheetId="9">#REF!</definedName>
    <definedName name="css_k_" localSheetId="12">#REF!</definedName>
    <definedName name="css_k_" localSheetId="20">#REF!</definedName>
    <definedName name="css_k_">#REF!</definedName>
    <definedName name="FEJ" localSheetId="3">#REF!</definedName>
    <definedName name="FEJ" localSheetId="21">#REF!</definedName>
    <definedName name="FEJ" localSheetId="4">#REF!</definedName>
    <definedName name="FEJ" localSheetId="5">#REF!</definedName>
    <definedName name="FEJ" localSheetId="22">#REF!</definedName>
    <definedName name="FEJ" localSheetId="6">#REF!</definedName>
    <definedName name="FEJ" localSheetId="23">#REF!</definedName>
    <definedName name="FEJ" localSheetId="8">#REF!</definedName>
    <definedName name="FEJ" localSheetId="7">#REF!</definedName>
    <definedName name="FEJ" localSheetId="24">#REF!</definedName>
    <definedName name="FEJ" localSheetId="10">#REF!</definedName>
    <definedName name="FEJ" localSheetId="11">#REF!</definedName>
    <definedName name="FEJ" localSheetId="13">#REF!</definedName>
    <definedName name="FEJ" localSheetId="14">#REF!</definedName>
    <definedName name="FEJ" localSheetId="15">#REF!</definedName>
    <definedName name="FEJ" localSheetId="16">#REF!</definedName>
    <definedName name="FEJ" localSheetId="17">#REF!</definedName>
    <definedName name="FEJ" localSheetId="18">#REF!</definedName>
    <definedName name="FEJ" localSheetId="19">#REF!</definedName>
    <definedName name="FEJ" localSheetId="25">#REF!</definedName>
    <definedName name="FEJ" localSheetId="9">#REF!</definedName>
    <definedName name="FEJ" localSheetId="12">#REF!</definedName>
    <definedName name="FEJ" localSheetId="20">#REF!</definedName>
    <definedName name="FEJ">#REF!</definedName>
    <definedName name="FGL" localSheetId="3">[1]flag_1!#REF!</definedName>
    <definedName name="FGL" localSheetId="21">[2]flag_1!#REF!</definedName>
    <definedName name="FGL" localSheetId="4">[1]flag_1!#REF!</definedName>
    <definedName name="FGL" localSheetId="5">[1]flag_1!#REF!</definedName>
    <definedName name="FGL" localSheetId="22">[3]flag_1!#REF!</definedName>
    <definedName name="FGL" localSheetId="6">[1]flag_1!#REF!</definedName>
    <definedName name="FGL" localSheetId="23">[3]flag_1!#REF!</definedName>
    <definedName name="FGL" localSheetId="8">[1]flag_1!#REF!</definedName>
    <definedName name="FGL" localSheetId="7">[1]flag_1!#REF!</definedName>
    <definedName name="FGL" localSheetId="24">[2]flag_1!#REF!</definedName>
    <definedName name="FGL" localSheetId="10">[1]flag_1!#REF!</definedName>
    <definedName name="FGL" localSheetId="11">[1]flag_1!#REF!</definedName>
    <definedName name="FGL" localSheetId="13">[1]flag_1!#REF!</definedName>
    <definedName name="FGL" localSheetId="14">[1]flag_1!#REF!</definedName>
    <definedName name="FGL" localSheetId="15">[1]flag_1!#REF!</definedName>
    <definedName name="FGL" localSheetId="16">[1]flag_1!#REF!</definedName>
    <definedName name="FGL" localSheetId="17">[1]flag_1!#REF!</definedName>
    <definedName name="FGL" localSheetId="18">[1]flag_1!#REF!</definedName>
    <definedName name="FGL" localSheetId="19">[1]flag_1!#REF!</definedName>
    <definedName name="FGL" localSheetId="25">[2]flag_1!#REF!</definedName>
    <definedName name="FGL" localSheetId="9">[1]flag_1!#REF!</definedName>
    <definedName name="FGL" localSheetId="12">[1]flag_1!#REF!</definedName>
    <definedName name="FGL" localSheetId="20">[3]flag_1!#REF!</definedName>
    <definedName name="FGL">[1]flag_1!#REF!</definedName>
    <definedName name="FLAG" localSheetId="3">[1]flag_1!#REF!</definedName>
    <definedName name="FLAG" localSheetId="21">[2]flag_1!#REF!</definedName>
    <definedName name="FLAG" localSheetId="4">[1]flag_1!#REF!</definedName>
    <definedName name="FLAG" localSheetId="5">[1]flag_1!#REF!</definedName>
    <definedName name="FLAG" localSheetId="22">[3]flag_1!#REF!</definedName>
    <definedName name="FLAG" localSheetId="6">[1]flag_1!#REF!</definedName>
    <definedName name="FLAG" localSheetId="23">[3]flag_1!#REF!</definedName>
    <definedName name="FLAG" localSheetId="8">[1]flag_1!#REF!</definedName>
    <definedName name="FLAG" localSheetId="7">[1]flag_1!#REF!</definedName>
    <definedName name="FLAG" localSheetId="24">[2]flag_1!#REF!</definedName>
    <definedName name="FLAG" localSheetId="10">[1]flag_1!#REF!</definedName>
    <definedName name="FLAG" localSheetId="11">[1]flag_1!#REF!</definedName>
    <definedName name="FLAG" localSheetId="13">[1]flag_1!#REF!</definedName>
    <definedName name="FLAG" localSheetId="14">[1]flag_1!#REF!</definedName>
    <definedName name="FLAG" localSheetId="15">[1]flag_1!#REF!</definedName>
    <definedName name="FLAG" localSheetId="16">[1]flag_1!#REF!</definedName>
    <definedName name="FLAG" localSheetId="17">[1]flag_1!#REF!</definedName>
    <definedName name="FLAG" localSheetId="18">[1]flag_1!#REF!</definedName>
    <definedName name="FLAG" localSheetId="19">[1]flag_1!#REF!</definedName>
    <definedName name="FLAG" localSheetId="25">[2]flag_1!#REF!</definedName>
    <definedName name="FLAG" localSheetId="9">[1]flag_1!#REF!</definedName>
    <definedName name="FLAG" localSheetId="12">[1]flag_1!#REF!</definedName>
    <definedName name="FLAG" localSheetId="20">[3]flag_1!#REF!</definedName>
    <definedName name="FLAG">[1]flag_1!#REF!</definedName>
    <definedName name="flag1" localSheetId="3">[1]flag_1!#REF!</definedName>
    <definedName name="flag1" localSheetId="21">[2]flag_1!#REF!</definedName>
    <definedName name="flag1" localSheetId="4">[1]flag_1!#REF!</definedName>
    <definedName name="flag1" localSheetId="5">[1]flag_1!#REF!</definedName>
    <definedName name="flag1" localSheetId="22">[3]flag_1!#REF!</definedName>
    <definedName name="flag1" localSheetId="6">[1]flag_1!#REF!</definedName>
    <definedName name="flag1" localSheetId="23">[3]flag_1!#REF!</definedName>
    <definedName name="flag1" localSheetId="8">[1]flag_1!#REF!</definedName>
    <definedName name="flag1" localSheetId="7">[1]flag_1!#REF!</definedName>
    <definedName name="flag1" localSheetId="24">[2]flag_1!#REF!</definedName>
    <definedName name="flag1" localSheetId="10">[1]flag_1!#REF!</definedName>
    <definedName name="flag1" localSheetId="11">[1]flag_1!#REF!</definedName>
    <definedName name="flag1" localSheetId="13">[1]flag_1!#REF!</definedName>
    <definedName name="flag1" localSheetId="14">[1]flag_1!#REF!</definedName>
    <definedName name="flag1" localSheetId="15">[1]flag_1!#REF!</definedName>
    <definedName name="flag1" localSheetId="16">[1]flag_1!#REF!</definedName>
    <definedName name="flag1" localSheetId="17">[1]flag_1!#REF!</definedName>
    <definedName name="flag1" localSheetId="18">[1]flag_1!#REF!</definedName>
    <definedName name="flag1" localSheetId="19">[1]flag_1!#REF!</definedName>
    <definedName name="flag1" localSheetId="25">[2]flag_1!#REF!</definedName>
    <definedName name="flag1" localSheetId="9">[1]flag_1!#REF!</definedName>
    <definedName name="flag1" localSheetId="12">[1]flag_1!#REF!</definedName>
    <definedName name="flag1" localSheetId="20">[3]flag_1!#REF!</definedName>
    <definedName name="flag1">[1]flag_1!#REF!</definedName>
    <definedName name="gyj" localSheetId="3">#REF!</definedName>
    <definedName name="gyj" localSheetId="21">#REF!</definedName>
    <definedName name="gyj" localSheetId="4">#REF!</definedName>
    <definedName name="gyj" localSheetId="5">#REF!</definedName>
    <definedName name="gyj" localSheetId="22">#REF!</definedName>
    <definedName name="gyj" localSheetId="6">#REF!</definedName>
    <definedName name="gyj" localSheetId="23">#REF!</definedName>
    <definedName name="gyj" localSheetId="8">#REF!</definedName>
    <definedName name="gyj" localSheetId="7">#REF!</definedName>
    <definedName name="gyj" localSheetId="24">#REF!</definedName>
    <definedName name="gyj" localSheetId="10">#REF!</definedName>
    <definedName name="gyj" localSheetId="11">#REF!</definedName>
    <definedName name="gyj" localSheetId="13">#REF!</definedName>
    <definedName name="gyj" localSheetId="14">#REF!</definedName>
    <definedName name="gyj" localSheetId="15">#REF!</definedName>
    <definedName name="gyj" localSheetId="16">#REF!</definedName>
    <definedName name="gyj" localSheetId="17">#REF!</definedName>
    <definedName name="gyj" localSheetId="18">#REF!</definedName>
    <definedName name="gyj" localSheetId="19">#REF!</definedName>
    <definedName name="gyj" localSheetId="25">#REF!</definedName>
    <definedName name="gyj" localSheetId="9">#REF!</definedName>
    <definedName name="gyj" localSheetId="12">#REF!</definedName>
    <definedName name="gyj" localSheetId="20">#REF!</definedName>
    <definedName name="gyj">#REF!</definedName>
    <definedName name="gyj_k" localSheetId="21">[4]Gyermekjóléti!$C$27:$C$86</definedName>
    <definedName name="gyj_k" localSheetId="22">[5]Gyermekjóléti!$C$27:$C$86</definedName>
    <definedName name="gyj_k" localSheetId="23">[5]Gyermekjóléti!$C$27:$C$86</definedName>
    <definedName name="gyj_k" localSheetId="8">[6]Gyermekjóléti!$C$27:$C$86</definedName>
    <definedName name="gyj_k" localSheetId="24">[4]Gyermekjóléti!$C$27:$C$86</definedName>
    <definedName name="gyj_k" localSheetId="25">[4]Gyermekjóléti!$C$27:$C$86</definedName>
    <definedName name="gyj_k" localSheetId="20">[5]Gyermekjóléti!$C$27:$C$86</definedName>
    <definedName name="gyj_k">[6]Gyermekjóléti!$C$27:$C$86</definedName>
    <definedName name="gyj_k_" localSheetId="3">#REF!</definedName>
    <definedName name="gyj_k_" localSheetId="21">#REF!</definedName>
    <definedName name="gyj_k_" localSheetId="4">#REF!</definedName>
    <definedName name="gyj_k_" localSheetId="5">#REF!</definedName>
    <definedName name="gyj_k_" localSheetId="22">#REF!</definedName>
    <definedName name="gyj_k_" localSheetId="6">#REF!</definedName>
    <definedName name="gyj_k_" localSheetId="23">#REF!</definedName>
    <definedName name="gyj_k_" localSheetId="8">#REF!</definedName>
    <definedName name="gyj_k_" localSheetId="7">#REF!</definedName>
    <definedName name="gyj_k_" localSheetId="24">#REF!</definedName>
    <definedName name="gyj_k_" localSheetId="10">#REF!</definedName>
    <definedName name="gyj_k_" localSheetId="11">#REF!</definedName>
    <definedName name="gyj_k_" localSheetId="13">#REF!</definedName>
    <definedName name="gyj_k_" localSheetId="14">#REF!</definedName>
    <definedName name="gyj_k_" localSheetId="15">#REF!</definedName>
    <definedName name="gyj_k_" localSheetId="16">#REF!</definedName>
    <definedName name="gyj_k_" localSheetId="17">#REF!</definedName>
    <definedName name="gyj_k_" localSheetId="18">#REF!</definedName>
    <definedName name="gyj_k_" localSheetId="19">#REF!</definedName>
    <definedName name="gyj_k_" localSheetId="25">#REF!</definedName>
    <definedName name="gyj_k_" localSheetId="9">#REF!</definedName>
    <definedName name="gyj_k_" localSheetId="12">#REF!</definedName>
    <definedName name="gyj_k_" localSheetId="20">#REF!</definedName>
    <definedName name="gyj_k_">#REF!</definedName>
    <definedName name="K_LSZA_BECS_1" localSheetId="3">#REF!</definedName>
    <definedName name="K_LSZA_BECS_1" localSheetId="21">#REF!</definedName>
    <definedName name="K_LSZA_BECS_1" localSheetId="4">#REF!</definedName>
    <definedName name="K_LSZA_BECS_1" localSheetId="5">#REF!</definedName>
    <definedName name="K_LSZA_BECS_1" localSheetId="22">#REF!</definedName>
    <definedName name="K_LSZA_BECS_1" localSheetId="6">#REF!</definedName>
    <definedName name="K_LSZA_BECS_1" localSheetId="23">#REF!</definedName>
    <definedName name="K_LSZA_BECS_1" localSheetId="8">#REF!</definedName>
    <definedName name="K_LSZA_BECS_1" localSheetId="7">#REF!</definedName>
    <definedName name="K_LSZA_BECS_1" localSheetId="24">#REF!</definedName>
    <definedName name="K_LSZA_BECS_1" localSheetId="10">#REF!</definedName>
    <definedName name="K_LSZA_BECS_1" localSheetId="11">#REF!</definedName>
    <definedName name="K_LSZA_BECS_1" localSheetId="13">#REF!</definedName>
    <definedName name="K_LSZA_BECS_1" localSheetId="14">#REF!</definedName>
    <definedName name="K_LSZA_BECS_1" localSheetId="15">#REF!</definedName>
    <definedName name="K_LSZA_BECS_1" localSheetId="16">#REF!</definedName>
    <definedName name="K_LSZA_BECS_1" localSheetId="17">#REF!</definedName>
    <definedName name="K_LSZA_BECS_1" localSheetId="18">#REF!</definedName>
    <definedName name="K_LSZA_BECS_1" localSheetId="19">#REF!</definedName>
    <definedName name="K_LSZA_BECS_1" localSheetId="25">#REF!</definedName>
    <definedName name="K_LSZA_BECS_1" localSheetId="9">#REF!</definedName>
    <definedName name="K_LSZA_BECS_1" localSheetId="12">#REF!</definedName>
    <definedName name="K_LSZA_BECS_1" localSheetId="20">#REF!</definedName>
    <definedName name="K_LSZA_BECS_1">#REF!</definedName>
    <definedName name="kjz" localSheetId="3">#REF!</definedName>
    <definedName name="kjz" localSheetId="21">#REF!</definedName>
    <definedName name="kjz" localSheetId="4">#REF!</definedName>
    <definedName name="kjz" localSheetId="5">#REF!</definedName>
    <definedName name="kjz" localSheetId="22">#REF!</definedName>
    <definedName name="kjz" localSheetId="6">#REF!</definedName>
    <definedName name="kjz" localSheetId="23">#REF!</definedName>
    <definedName name="kjz" localSheetId="8">#REF!</definedName>
    <definedName name="kjz" localSheetId="7">#REF!</definedName>
    <definedName name="kjz" localSheetId="24">#REF!</definedName>
    <definedName name="kjz" localSheetId="10">#REF!</definedName>
    <definedName name="kjz" localSheetId="11">#REF!</definedName>
    <definedName name="kjz" localSheetId="13">#REF!</definedName>
    <definedName name="kjz" localSheetId="14">#REF!</definedName>
    <definedName name="kjz" localSheetId="15">#REF!</definedName>
    <definedName name="kjz" localSheetId="16">#REF!</definedName>
    <definedName name="kjz" localSheetId="17">#REF!</definedName>
    <definedName name="kjz" localSheetId="18">#REF!</definedName>
    <definedName name="kjz" localSheetId="19">#REF!</definedName>
    <definedName name="kjz" localSheetId="25">#REF!</definedName>
    <definedName name="kjz" localSheetId="9">#REF!</definedName>
    <definedName name="kjz" localSheetId="12">#REF!</definedName>
    <definedName name="kjz" localSheetId="20">#REF!</definedName>
    <definedName name="kjz">#REF!</definedName>
    <definedName name="kjz_k" localSheetId="21">[4]körjegyzőség!$C$9:$C$28</definedName>
    <definedName name="kjz_k" localSheetId="22">[5]körjegyzőség!$C$9:$C$28</definedName>
    <definedName name="kjz_k" localSheetId="23">[5]körjegyzőség!$C$9:$C$28</definedName>
    <definedName name="kjz_k" localSheetId="8">[6]körjegyzőség!$C$9:$C$28</definedName>
    <definedName name="kjz_k" localSheetId="24">[4]körjegyzőség!$C$9:$C$28</definedName>
    <definedName name="kjz_k" localSheetId="25">[4]körjegyzőség!$C$9:$C$28</definedName>
    <definedName name="kjz_k" localSheetId="20">[5]körjegyzőség!$C$9:$C$28</definedName>
    <definedName name="kjz_k">[6]körjegyzőség!$C$9:$C$28</definedName>
    <definedName name="kjz_k_" localSheetId="3">#REF!</definedName>
    <definedName name="kjz_k_" localSheetId="21">#REF!</definedName>
    <definedName name="kjz_k_" localSheetId="4">#REF!</definedName>
    <definedName name="kjz_k_" localSheetId="5">#REF!</definedName>
    <definedName name="kjz_k_" localSheetId="22">#REF!</definedName>
    <definedName name="kjz_k_" localSheetId="6">#REF!</definedName>
    <definedName name="kjz_k_" localSheetId="23">#REF!</definedName>
    <definedName name="kjz_k_" localSheetId="8">#REF!</definedName>
    <definedName name="kjz_k_" localSheetId="7">#REF!</definedName>
    <definedName name="kjz_k_" localSheetId="24">#REF!</definedName>
    <definedName name="kjz_k_" localSheetId="10">#REF!</definedName>
    <definedName name="kjz_k_" localSheetId="11">#REF!</definedName>
    <definedName name="kjz_k_" localSheetId="13">#REF!</definedName>
    <definedName name="kjz_k_" localSheetId="14">#REF!</definedName>
    <definedName name="kjz_k_" localSheetId="15">#REF!</definedName>
    <definedName name="kjz_k_" localSheetId="16">#REF!</definedName>
    <definedName name="kjz_k_" localSheetId="17">#REF!</definedName>
    <definedName name="kjz_k_" localSheetId="18">#REF!</definedName>
    <definedName name="kjz_k_" localSheetId="19">#REF!</definedName>
    <definedName name="kjz_k_" localSheetId="25">#REF!</definedName>
    <definedName name="kjz_k_" localSheetId="9">#REF!</definedName>
    <definedName name="kjz_k_" localSheetId="12">#REF!</definedName>
    <definedName name="kjz_k_" localSheetId="20">#REF!</definedName>
    <definedName name="kjz_k_">#REF!</definedName>
    <definedName name="KSH_R" localSheetId="3">#REF!</definedName>
    <definedName name="KSH_R" localSheetId="21">#REF!</definedName>
    <definedName name="KSH_R" localSheetId="4">#REF!</definedName>
    <definedName name="KSH_R" localSheetId="5">#REF!</definedName>
    <definedName name="KSH_R" localSheetId="22">#REF!</definedName>
    <definedName name="KSH_R" localSheetId="6">#REF!</definedName>
    <definedName name="KSH_R" localSheetId="23">#REF!</definedName>
    <definedName name="KSH_R" localSheetId="8">#REF!</definedName>
    <definedName name="KSH_R" localSheetId="7">#REF!</definedName>
    <definedName name="KSH_R" localSheetId="24">#REF!</definedName>
    <definedName name="KSH_R" localSheetId="10">#REF!</definedName>
    <definedName name="KSH_R" localSheetId="11">#REF!</definedName>
    <definedName name="KSH_R" localSheetId="13">#REF!</definedName>
    <definedName name="KSH_R" localSheetId="14">#REF!</definedName>
    <definedName name="KSH_R" localSheetId="15">#REF!</definedName>
    <definedName name="KSH_R" localSheetId="16">#REF!</definedName>
    <definedName name="KSH_R" localSheetId="17">#REF!</definedName>
    <definedName name="KSH_R" localSheetId="18">#REF!</definedName>
    <definedName name="KSH_R" localSheetId="19">#REF!</definedName>
    <definedName name="KSH_R" localSheetId="25">#REF!</definedName>
    <definedName name="KSH_R" localSheetId="9">#REF!</definedName>
    <definedName name="KSH_R" localSheetId="12">#REF!</definedName>
    <definedName name="KSH_R" localSheetId="20">#REF!</definedName>
    <definedName name="KSH_R">#REF!</definedName>
    <definedName name="nev_c" localSheetId="3">#REF!</definedName>
    <definedName name="nev_c" localSheetId="21">#REF!</definedName>
    <definedName name="nev_c" localSheetId="4">#REF!</definedName>
    <definedName name="nev_c" localSheetId="5">#REF!</definedName>
    <definedName name="nev_c" localSheetId="22">#REF!</definedName>
    <definedName name="nev_c" localSheetId="6">#REF!</definedName>
    <definedName name="nev_c" localSheetId="23">#REF!</definedName>
    <definedName name="nev_c" localSheetId="8">#REF!</definedName>
    <definedName name="nev_c" localSheetId="7">#REF!</definedName>
    <definedName name="nev_c" localSheetId="24">#REF!</definedName>
    <definedName name="nev_c" localSheetId="10">#REF!</definedName>
    <definedName name="nev_c" localSheetId="11">#REF!</definedName>
    <definedName name="nev_c" localSheetId="13">#REF!</definedName>
    <definedName name="nev_c" localSheetId="14">#REF!</definedName>
    <definedName name="nev_c" localSheetId="15">#REF!</definedName>
    <definedName name="nev_c" localSheetId="16">#REF!</definedName>
    <definedName name="nev_c" localSheetId="17">#REF!</definedName>
    <definedName name="nev_c" localSheetId="18">#REF!</definedName>
    <definedName name="nev_c" localSheetId="19">#REF!</definedName>
    <definedName name="nev_c" localSheetId="25">#REF!</definedName>
    <definedName name="nev_c" localSheetId="9">#REF!</definedName>
    <definedName name="nev_c" localSheetId="12">#REF!</definedName>
    <definedName name="nev_c" localSheetId="20">#REF!</definedName>
    <definedName name="nev_c">#REF!</definedName>
    <definedName name="nev_g" localSheetId="3">#REF!</definedName>
    <definedName name="nev_g" localSheetId="21">#REF!</definedName>
    <definedName name="nev_g" localSheetId="4">#REF!</definedName>
    <definedName name="nev_g" localSheetId="5">#REF!</definedName>
    <definedName name="nev_g" localSheetId="22">#REF!</definedName>
    <definedName name="nev_g" localSheetId="6">#REF!</definedName>
    <definedName name="nev_g" localSheetId="23">#REF!</definedName>
    <definedName name="nev_g" localSheetId="8">#REF!</definedName>
    <definedName name="nev_g" localSheetId="7">#REF!</definedName>
    <definedName name="nev_g" localSheetId="24">#REF!</definedName>
    <definedName name="nev_g" localSheetId="10">#REF!</definedName>
    <definedName name="nev_g" localSheetId="11">#REF!</definedName>
    <definedName name="nev_g" localSheetId="13">#REF!</definedName>
    <definedName name="nev_g" localSheetId="14">#REF!</definedName>
    <definedName name="nev_g" localSheetId="15">#REF!</definedName>
    <definedName name="nev_g" localSheetId="16">#REF!</definedName>
    <definedName name="nev_g" localSheetId="17">#REF!</definedName>
    <definedName name="nev_g" localSheetId="18">#REF!</definedName>
    <definedName name="nev_g" localSheetId="19">#REF!</definedName>
    <definedName name="nev_g" localSheetId="25">#REF!</definedName>
    <definedName name="nev_g" localSheetId="9">#REF!</definedName>
    <definedName name="nev_g" localSheetId="12">#REF!</definedName>
    <definedName name="nev_g" localSheetId="20">#REF!</definedName>
    <definedName name="nev_g">#REF!</definedName>
    <definedName name="nev_k" localSheetId="3">#REF!</definedName>
    <definedName name="nev_k" localSheetId="21">#REF!</definedName>
    <definedName name="nev_k" localSheetId="4">#REF!</definedName>
    <definedName name="nev_k" localSheetId="5">#REF!</definedName>
    <definedName name="nev_k" localSheetId="22">#REF!</definedName>
    <definedName name="nev_k" localSheetId="6">#REF!</definedName>
    <definedName name="nev_k" localSheetId="23">#REF!</definedName>
    <definedName name="nev_k" localSheetId="8">#REF!</definedName>
    <definedName name="nev_k" localSheetId="7">#REF!</definedName>
    <definedName name="nev_k" localSheetId="24">#REF!</definedName>
    <definedName name="nev_k" localSheetId="10">#REF!</definedName>
    <definedName name="nev_k" localSheetId="11">#REF!</definedName>
    <definedName name="nev_k" localSheetId="13">#REF!</definedName>
    <definedName name="nev_k" localSheetId="14">#REF!</definedName>
    <definedName name="nev_k" localSheetId="15">#REF!</definedName>
    <definedName name="nev_k" localSheetId="16">#REF!</definedName>
    <definedName name="nev_k" localSheetId="17">#REF!</definedName>
    <definedName name="nev_k" localSheetId="18">#REF!</definedName>
    <definedName name="nev_k" localSheetId="19">#REF!</definedName>
    <definedName name="nev_k" localSheetId="25">#REF!</definedName>
    <definedName name="nev_k" localSheetId="9">#REF!</definedName>
    <definedName name="nev_k" localSheetId="12">#REF!</definedName>
    <definedName name="nev_k" localSheetId="20">#REF!</definedName>
    <definedName name="nev_k">#REF!</definedName>
    <definedName name="_xlnm.Print_Titles" localSheetId="0">'Önkormányzat tételes'!$2:$3</definedName>
    <definedName name="_xlnm.Print_Area" localSheetId="3">'1.1 Összesítő'!$A$1:$D$151</definedName>
    <definedName name="_xlnm.Print_Area" localSheetId="21">'1.sz tájékoztató t.'!$A$1:$O$27</definedName>
    <definedName name="_xlnm.Print_Area" localSheetId="4">'2.1 Működési mérleg'!$A$1:$G$31</definedName>
    <definedName name="_xlnm.Print_Area" localSheetId="5">'2.2 Felhalmozási mérleg  '!$A$1:$G$34</definedName>
    <definedName name="_xlnm.Print_Area" localSheetId="22">'2.sz. tájékoztató t.'!$A$1:$D$27</definedName>
    <definedName name="_xlnm.Print_Area" localSheetId="6">'3. Adósság   '!$A$1:$F$12</definedName>
    <definedName name="_xlnm.Print_Area" localSheetId="8">'3.(5.) Beruhzások '!$A$1:$F$30</definedName>
    <definedName name="_xlnm.Print_Area" localSheetId="7">'4. Saját bevétel'!$A$1:$D$12</definedName>
    <definedName name="_xlnm.Print_Area" localSheetId="10">'4.1.(7.1) Önkormányzat'!$A$1:$D$150</definedName>
    <definedName name="_xlnm.Print_Area" localSheetId="11">'4.1.1.(7.1.1) Önkormány. (KÖT)'!$A$1:$D$150</definedName>
    <definedName name="_xlnm.Print_Area" localSheetId="13">'4.1.3.(7.1.3) Önkormány. (ÖNK)'!$A$1:$D$150</definedName>
    <definedName name="_xlnm.Print_Area" localSheetId="14">'4.2.(7.2) Hivatal'!$A$1:$D$59</definedName>
    <definedName name="_xlnm.Print_Area" localSheetId="15">'4.2.1.(7.2.1) Hivatal (KÖT)'!$A$1:$D$59</definedName>
    <definedName name="_xlnm.Print_Area" localSheetId="16">'4.2.2.(7.2.2) Hivatal (ÁIG)'!$A$1:$D$59</definedName>
    <definedName name="_xlnm.Print_Area" localSheetId="17">'4.3.(7.3) Óvoda'!$A$1:$D$59</definedName>
    <definedName name="_xlnm.Print_Area" localSheetId="18">'4.3.1.(7.3.1) Óvoda (KÖT)'!$A$1:$D$59</definedName>
    <definedName name="_xlnm.Print_Area" localSheetId="19">'5.(8.) Tartalék'!$A$1:$D$33</definedName>
    <definedName name="_xlnm.Print_Area" localSheetId="12">'7.1.2 Önkormányzat (ÁIG)'!$A$1:$D$150</definedName>
    <definedName name="_xlnm.Print_Area" localSheetId="0">'Önkormányzat tételes'!$A$1:$F$519</definedName>
    <definedName name="PUK" localSheetId="3">#REF!</definedName>
    <definedName name="PUK" localSheetId="21">#REF!</definedName>
    <definedName name="PUK" localSheetId="4">#REF!</definedName>
    <definedName name="PUK" localSheetId="5">#REF!</definedName>
    <definedName name="PUK" localSheetId="22">#REF!</definedName>
    <definedName name="PUK" localSheetId="6">#REF!</definedName>
    <definedName name="PUK" localSheetId="23">#REF!</definedName>
    <definedName name="PUK" localSheetId="8">#REF!</definedName>
    <definedName name="PUK" localSheetId="7">#REF!</definedName>
    <definedName name="PUK" localSheetId="24">#REF!</definedName>
    <definedName name="PUK" localSheetId="10">#REF!</definedName>
    <definedName name="PUK" localSheetId="11">#REF!</definedName>
    <definedName name="PUK" localSheetId="13">#REF!</definedName>
    <definedName name="PUK" localSheetId="14">#REF!</definedName>
    <definedName name="PUK" localSheetId="15">#REF!</definedName>
    <definedName name="PUK" localSheetId="16">#REF!</definedName>
    <definedName name="PUK" localSheetId="17">#REF!</definedName>
    <definedName name="PUK" localSheetId="18">#REF!</definedName>
    <definedName name="PUK" localSheetId="19">#REF!</definedName>
    <definedName name="PUK" localSheetId="25">#REF!</definedName>
    <definedName name="PUK" localSheetId="9">#REF!</definedName>
    <definedName name="PUK" localSheetId="12">#REF!</definedName>
    <definedName name="PUK" localSheetId="20">#REF!</definedName>
    <definedName name="PUK">#REF!</definedName>
    <definedName name="státusz" localSheetId="21">#REF!</definedName>
    <definedName name="státusz" localSheetId="4">#REF!</definedName>
    <definedName name="státusz" localSheetId="5">#REF!</definedName>
    <definedName name="státusz" localSheetId="22">#REF!</definedName>
    <definedName name="státusz" localSheetId="6">#REF!</definedName>
    <definedName name="státusz" localSheetId="23">#REF!</definedName>
    <definedName name="státusz" localSheetId="8">#REF!</definedName>
    <definedName name="státusz" localSheetId="7">#REF!</definedName>
    <definedName name="státusz" localSheetId="24">#REF!</definedName>
    <definedName name="státusz" localSheetId="11">#REF!</definedName>
    <definedName name="státusz" localSheetId="13">#REF!</definedName>
    <definedName name="státusz" localSheetId="15">#REF!</definedName>
    <definedName name="státusz" localSheetId="16">#REF!</definedName>
    <definedName name="státusz" localSheetId="18">#REF!</definedName>
    <definedName name="státusz" localSheetId="19">#REF!</definedName>
    <definedName name="státusz" localSheetId="25">#REF!</definedName>
    <definedName name="státusz" localSheetId="9">#REF!</definedName>
    <definedName name="státusz" localSheetId="12">#REF!</definedName>
    <definedName name="státusz" localSheetId="20">#REF!</definedName>
    <definedName name="státusz">#REF!</definedName>
    <definedName name="TAM_jogc_feldkod" localSheetId="21">[7]NATUR_select!$C$16:$D$287</definedName>
    <definedName name="TAM_jogc_feldkod" localSheetId="22">[8]NATUR_select!$C$16:$D$287</definedName>
    <definedName name="TAM_jogc_feldkod" localSheetId="23">[8]NATUR_select!$C$16:$D$287</definedName>
    <definedName name="TAM_jogc_feldkod" localSheetId="8">[9]NATUR_select!$C$16:$D$287</definedName>
    <definedName name="TAM_jogc_feldkod" localSheetId="24">[7]NATUR_select!$C$16:$D$287</definedName>
    <definedName name="TAM_jogc_feldkod" localSheetId="25">[7]NATUR_select!$C$16:$D$287</definedName>
    <definedName name="TAM_jogc_feldkod" localSheetId="20">[8]NATUR_select!$C$16:$D$287</definedName>
    <definedName name="TAM_jogc_feldkod">[9]NATUR_select!$C$16:$D$287</definedName>
    <definedName name="URSZ" localSheetId="3">#REF!</definedName>
    <definedName name="URSZ" localSheetId="21">#REF!</definedName>
    <definedName name="URSZ" localSheetId="4">#REF!</definedName>
    <definedName name="URSZ" localSheetId="5">#REF!</definedName>
    <definedName name="URSZ" localSheetId="22">#REF!</definedName>
    <definedName name="URSZ" localSheetId="6">#REF!</definedName>
    <definedName name="URSZ" localSheetId="23">#REF!</definedName>
    <definedName name="URSZ" localSheetId="8">#REF!</definedName>
    <definedName name="URSZ" localSheetId="7">#REF!</definedName>
    <definedName name="URSZ" localSheetId="24">#REF!</definedName>
    <definedName name="URSZ" localSheetId="10">#REF!</definedName>
    <definedName name="URSZ" localSheetId="11">#REF!</definedName>
    <definedName name="URSZ" localSheetId="13">#REF!</definedName>
    <definedName name="URSZ" localSheetId="14">#REF!</definedName>
    <definedName name="URSZ" localSheetId="15">#REF!</definedName>
    <definedName name="URSZ" localSheetId="16">#REF!</definedName>
    <definedName name="URSZ" localSheetId="17">#REF!</definedName>
    <definedName name="URSZ" localSheetId="18">#REF!</definedName>
    <definedName name="URSZ" localSheetId="19">#REF!</definedName>
    <definedName name="URSZ" localSheetId="25">#REF!</definedName>
    <definedName name="URSZ" localSheetId="9">#REF!</definedName>
    <definedName name="URSZ" localSheetId="12">#REF!</definedName>
    <definedName name="URSZ" localSheetId="20">#REF!</definedName>
    <definedName name="URSZ">#REF!</definedName>
  </definedNames>
  <calcPr calcId="125725"/>
</workbook>
</file>

<file path=xl/calcChain.xml><?xml version="1.0" encoding="utf-8"?>
<calcChain xmlns="http://schemas.openxmlformats.org/spreadsheetml/2006/main">
  <c r="G19" i="9"/>
  <c r="D24"/>
  <c r="G10" i="8"/>
  <c r="D19"/>
  <c r="D8"/>
  <c r="D144" i="4"/>
  <c r="D143"/>
  <c r="D142"/>
  <c r="D141"/>
  <c r="D139"/>
  <c r="D138"/>
  <c r="D137"/>
  <c r="G26" i="8" s="1"/>
  <c r="D134" i="4"/>
  <c r="D133"/>
  <c r="D132"/>
  <c r="D131"/>
  <c r="D129"/>
  <c r="D128"/>
  <c r="D127"/>
  <c r="D124"/>
  <c r="G16" i="9" s="1"/>
  <c r="D123" i="4"/>
  <c r="B7" i="14" s="1"/>
  <c r="D121" i="4"/>
  <c r="D120"/>
  <c r="D119"/>
  <c r="D118"/>
  <c r="D117"/>
  <c r="D116"/>
  <c r="D115"/>
  <c r="D114"/>
  <c r="D113"/>
  <c r="D112"/>
  <c r="D111"/>
  <c r="D110"/>
  <c r="D109"/>
  <c r="G6" i="9" s="1"/>
  <c r="D107" i="4"/>
  <c r="D106"/>
  <c r="D105"/>
  <c r="D104"/>
  <c r="D103"/>
  <c r="D102"/>
  <c r="D101"/>
  <c r="D100"/>
  <c r="D99"/>
  <c r="D98"/>
  <c r="D97"/>
  <c r="D96"/>
  <c r="G9" i="8" s="1"/>
  <c r="D95" i="4"/>
  <c r="G8" i="8" s="1"/>
  <c r="D94" i="4"/>
  <c r="G7" i="8" s="1"/>
  <c r="D93" i="4"/>
  <c r="G6" i="8" s="1"/>
  <c r="D20" i="4"/>
  <c r="D85"/>
  <c r="D84"/>
  <c r="D83"/>
  <c r="D82"/>
  <c r="D80"/>
  <c r="D79"/>
  <c r="D78"/>
  <c r="D76"/>
  <c r="D75"/>
  <c r="D19" i="9" s="1"/>
  <c r="D18" s="1"/>
  <c r="D73" i="4"/>
  <c r="D72"/>
  <c r="D71"/>
  <c r="D70"/>
  <c r="D68"/>
  <c r="D67"/>
  <c r="D66"/>
  <c r="D63"/>
  <c r="D62"/>
  <c r="D61"/>
  <c r="D60"/>
  <c r="D58"/>
  <c r="D57"/>
  <c r="D56"/>
  <c r="D55"/>
  <c r="D53"/>
  <c r="D52"/>
  <c r="D51"/>
  <c r="D50"/>
  <c r="D49"/>
  <c r="D47"/>
  <c r="D46"/>
  <c r="D45"/>
  <c r="D44"/>
  <c r="D43"/>
  <c r="D42"/>
  <c r="D41"/>
  <c r="D40"/>
  <c r="D39"/>
  <c r="D38"/>
  <c r="D36"/>
  <c r="D35"/>
  <c r="D34"/>
  <c r="D33"/>
  <c r="D32"/>
  <c r="D30" s="1"/>
  <c r="D29" s="1"/>
  <c r="D9" i="8" s="1"/>
  <c r="D31" i="4"/>
  <c r="D28"/>
  <c r="D27"/>
  <c r="D26"/>
  <c r="D25"/>
  <c r="D24"/>
  <c r="D23"/>
  <c r="D21"/>
  <c r="D19"/>
  <c r="D18"/>
  <c r="D17"/>
  <c r="D16"/>
  <c r="D14"/>
  <c r="D13"/>
  <c r="D12"/>
  <c r="D11"/>
  <c r="D10"/>
  <c r="D9"/>
  <c r="D146" i="25"/>
  <c r="C144"/>
  <c r="D144" s="1"/>
  <c r="D143"/>
  <c r="C143"/>
  <c r="C142"/>
  <c r="D142" s="1"/>
  <c r="D141"/>
  <c r="C141"/>
  <c r="C139"/>
  <c r="D139" s="1"/>
  <c r="D138"/>
  <c r="C138"/>
  <c r="C137"/>
  <c r="D137" s="1"/>
  <c r="D136"/>
  <c r="C136"/>
  <c r="C134"/>
  <c r="D134" s="1"/>
  <c r="D133"/>
  <c r="C133"/>
  <c r="C132"/>
  <c r="D132" s="1"/>
  <c r="D131"/>
  <c r="C131"/>
  <c r="D129"/>
  <c r="C129"/>
  <c r="C128"/>
  <c r="D128" s="1"/>
  <c r="D127"/>
  <c r="C127"/>
  <c r="C124"/>
  <c r="D124" s="1"/>
  <c r="D123"/>
  <c r="C123"/>
  <c r="C121"/>
  <c r="D121" s="1"/>
  <c r="D120"/>
  <c r="C120"/>
  <c r="C119"/>
  <c r="D119" s="1"/>
  <c r="D118"/>
  <c r="C118"/>
  <c r="C117"/>
  <c r="D117" s="1"/>
  <c r="D116"/>
  <c r="C116"/>
  <c r="C115"/>
  <c r="D115" s="1"/>
  <c r="D114"/>
  <c r="C114"/>
  <c r="C112"/>
  <c r="D112" s="1"/>
  <c r="D111"/>
  <c r="C111"/>
  <c r="C110"/>
  <c r="D110" s="1"/>
  <c r="D109"/>
  <c r="C109"/>
  <c r="D107"/>
  <c r="C107"/>
  <c r="D106"/>
  <c r="C106"/>
  <c r="D105"/>
  <c r="C105"/>
  <c r="D104"/>
  <c r="C104"/>
  <c r="D103"/>
  <c r="C103"/>
  <c r="D102"/>
  <c r="C102"/>
  <c r="D101"/>
  <c r="C101"/>
  <c r="D100"/>
  <c r="C100"/>
  <c r="D99"/>
  <c r="D97" s="1"/>
  <c r="C99"/>
  <c r="C97" s="1"/>
  <c r="D98"/>
  <c r="C98"/>
  <c r="C96"/>
  <c r="D96" s="1"/>
  <c r="D95"/>
  <c r="C95"/>
  <c r="C94"/>
  <c r="D94" s="1"/>
  <c r="D93"/>
  <c r="C93"/>
  <c r="D88"/>
  <c r="D85"/>
  <c r="C85"/>
  <c r="C84"/>
  <c r="D84" s="1"/>
  <c r="D83"/>
  <c r="C83"/>
  <c r="C82"/>
  <c r="D82" s="1"/>
  <c r="D80"/>
  <c r="C80"/>
  <c r="C79"/>
  <c r="D79" s="1"/>
  <c r="D78"/>
  <c r="C78"/>
  <c r="D76"/>
  <c r="C76"/>
  <c r="C75"/>
  <c r="D75" s="1"/>
  <c r="C73"/>
  <c r="D73" s="1"/>
  <c r="D72"/>
  <c r="C72"/>
  <c r="C71"/>
  <c r="D71" s="1"/>
  <c r="D70"/>
  <c r="C70"/>
  <c r="D68"/>
  <c r="C68"/>
  <c r="C67"/>
  <c r="D67" s="1"/>
  <c r="D66"/>
  <c r="C66"/>
  <c r="C63"/>
  <c r="D63" s="1"/>
  <c r="D62"/>
  <c r="C62"/>
  <c r="C61"/>
  <c r="D61" s="1"/>
  <c r="D60"/>
  <c r="C60"/>
  <c r="C58"/>
  <c r="D58" s="1"/>
  <c r="D57"/>
  <c r="C57"/>
  <c r="C56"/>
  <c r="D56" s="1"/>
  <c r="D55"/>
  <c r="C55"/>
  <c r="C53"/>
  <c r="D53" s="1"/>
  <c r="D52"/>
  <c r="C52"/>
  <c r="C51"/>
  <c r="D51" s="1"/>
  <c r="D50"/>
  <c r="C50"/>
  <c r="C49"/>
  <c r="D49" s="1"/>
  <c r="C47"/>
  <c r="D47" s="1"/>
  <c r="D46"/>
  <c r="C46"/>
  <c r="C45"/>
  <c r="D45" s="1"/>
  <c r="D44"/>
  <c r="C44"/>
  <c r="C43"/>
  <c r="D43" s="1"/>
  <c r="D42"/>
  <c r="C42"/>
  <c r="C41"/>
  <c r="D41" s="1"/>
  <c r="D40"/>
  <c r="C40"/>
  <c r="C39"/>
  <c r="D39" s="1"/>
  <c r="D38"/>
  <c r="C38"/>
  <c r="D36"/>
  <c r="C36"/>
  <c r="C35"/>
  <c r="D35" s="1"/>
  <c r="D34"/>
  <c r="C34"/>
  <c r="C33"/>
  <c r="D33" s="1"/>
  <c r="D32"/>
  <c r="C32"/>
  <c r="C31"/>
  <c r="D31" s="1"/>
  <c r="D30"/>
  <c r="C30"/>
  <c r="D28"/>
  <c r="C28"/>
  <c r="C27"/>
  <c r="D27" s="1"/>
  <c r="D26"/>
  <c r="C26"/>
  <c r="C25"/>
  <c r="D25" s="1"/>
  <c r="D24"/>
  <c r="C24"/>
  <c r="C23"/>
  <c r="D23" s="1"/>
  <c r="D21"/>
  <c r="C21"/>
  <c r="C20"/>
  <c r="D20" s="1"/>
  <c r="D19"/>
  <c r="C19"/>
  <c r="C18"/>
  <c r="D18" s="1"/>
  <c r="D17"/>
  <c r="C17"/>
  <c r="C16"/>
  <c r="D16" s="1"/>
  <c r="D14"/>
  <c r="D13"/>
  <c r="D12"/>
  <c r="D11"/>
  <c r="D10"/>
  <c r="D9"/>
  <c r="C14"/>
  <c r="C13"/>
  <c r="C12"/>
  <c r="C11"/>
  <c r="C10"/>
  <c r="C9"/>
  <c r="L109"/>
  <c r="L95"/>
  <c r="D88" i="24"/>
  <c r="D29"/>
  <c r="D97"/>
  <c r="D144"/>
  <c r="D143"/>
  <c r="D142"/>
  <c r="D141"/>
  <c r="D139"/>
  <c r="D138"/>
  <c r="D137"/>
  <c r="D136"/>
  <c r="D134"/>
  <c r="D133"/>
  <c r="D132"/>
  <c r="D131"/>
  <c r="D129"/>
  <c r="D128"/>
  <c r="D127"/>
  <c r="D124"/>
  <c r="D123"/>
  <c r="D121"/>
  <c r="D120"/>
  <c r="D119"/>
  <c r="D118"/>
  <c r="D117"/>
  <c r="D116"/>
  <c r="D115"/>
  <c r="D114"/>
  <c r="D113"/>
  <c r="D112"/>
  <c r="D111"/>
  <c r="D110"/>
  <c r="D109"/>
  <c r="D107"/>
  <c r="D106"/>
  <c r="D105"/>
  <c r="D104"/>
  <c r="D103"/>
  <c r="D102"/>
  <c r="D101"/>
  <c r="D100"/>
  <c r="D99"/>
  <c r="D98"/>
  <c r="D96"/>
  <c r="D95"/>
  <c r="D94"/>
  <c r="D93"/>
  <c r="D85"/>
  <c r="D84"/>
  <c r="D83"/>
  <c r="D82"/>
  <c r="D80"/>
  <c r="D79"/>
  <c r="D78"/>
  <c r="D76"/>
  <c r="D75"/>
  <c r="D73"/>
  <c r="D72"/>
  <c r="D71"/>
  <c r="D70"/>
  <c r="D68"/>
  <c r="D67"/>
  <c r="D66"/>
  <c r="D63"/>
  <c r="D62"/>
  <c r="D61"/>
  <c r="D60"/>
  <c r="D58"/>
  <c r="D57"/>
  <c r="D56"/>
  <c r="D55"/>
  <c r="D53"/>
  <c r="D52"/>
  <c r="D51"/>
  <c r="D50"/>
  <c r="D49"/>
  <c r="D47"/>
  <c r="D46"/>
  <c r="D45"/>
  <c r="D44"/>
  <c r="D43"/>
  <c r="D42"/>
  <c r="D41"/>
  <c r="D40"/>
  <c r="D39"/>
  <c r="D38"/>
  <c r="D36"/>
  <c r="D35"/>
  <c r="D34"/>
  <c r="D33"/>
  <c r="D32"/>
  <c r="D31"/>
  <c r="D30"/>
  <c r="D28"/>
  <c r="D27"/>
  <c r="D26"/>
  <c r="D25"/>
  <c r="D24"/>
  <c r="D23"/>
  <c r="D21"/>
  <c r="D20"/>
  <c r="D19"/>
  <c r="D18"/>
  <c r="D17"/>
  <c r="D16"/>
  <c r="D14"/>
  <c r="D13"/>
  <c r="D12"/>
  <c r="D11"/>
  <c r="D10"/>
  <c r="D9"/>
  <c r="AP109"/>
  <c r="AP95"/>
  <c r="D146" i="5"/>
  <c r="D144"/>
  <c r="D143"/>
  <c r="D142"/>
  <c r="D141"/>
  <c r="D139"/>
  <c r="D138"/>
  <c r="D137"/>
  <c r="D136"/>
  <c r="D134"/>
  <c r="D133"/>
  <c r="D132"/>
  <c r="D131"/>
  <c r="D129"/>
  <c r="D128"/>
  <c r="D127"/>
  <c r="D124"/>
  <c r="D123"/>
  <c r="D121"/>
  <c r="D120"/>
  <c r="D119"/>
  <c r="D118"/>
  <c r="D117"/>
  <c r="D116"/>
  <c r="D115"/>
  <c r="D114"/>
  <c r="D112"/>
  <c r="D111"/>
  <c r="D110"/>
  <c r="D109"/>
  <c r="D107"/>
  <c r="D106"/>
  <c r="D105"/>
  <c r="D104"/>
  <c r="D103"/>
  <c r="D102"/>
  <c r="D101"/>
  <c r="D100"/>
  <c r="D99"/>
  <c r="D98"/>
  <c r="D96"/>
  <c r="D95"/>
  <c r="D94"/>
  <c r="D93"/>
  <c r="D64"/>
  <c r="D29"/>
  <c r="D88"/>
  <c r="D85"/>
  <c r="D84"/>
  <c r="D83"/>
  <c r="D82"/>
  <c r="D80"/>
  <c r="D79"/>
  <c r="D78"/>
  <c r="D76"/>
  <c r="D75"/>
  <c r="D73"/>
  <c r="D72"/>
  <c r="D71"/>
  <c r="D70"/>
  <c r="D68"/>
  <c r="D67"/>
  <c r="D66"/>
  <c r="D63"/>
  <c r="D62"/>
  <c r="D61"/>
  <c r="D60"/>
  <c r="D58"/>
  <c r="D57"/>
  <c r="D56"/>
  <c r="D55"/>
  <c r="D53"/>
  <c r="D52"/>
  <c r="D51"/>
  <c r="D50"/>
  <c r="D49"/>
  <c r="D47"/>
  <c r="D46"/>
  <c r="D45"/>
  <c r="D44"/>
  <c r="D43"/>
  <c r="D42"/>
  <c r="D41"/>
  <c r="D40"/>
  <c r="D39"/>
  <c r="D38"/>
  <c r="D36"/>
  <c r="D35"/>
  <c r="D34"/>
  <c r="D33"/>
  <c r="D32"/>
  <c r="D31"/>
  <c r="D30"/>
  <c r="D28"/>
  <c r="D27"/>
  <c r="D26"/>
  <c r="D25"/>
  <c r="D24"/>
  <c r="D23"/>
  <c r="D21"/>
  <c r="D20"/>
  <c r="D19"/>
  <c r="D18"/>
  <c r="D17"/>
  <c r="D16"/>
  <c r="D14"/>
  <c r="D13"/>
  <c r="D12"/>
  <c r="D11"/>
  <c r="D10"/>
  <c r="D9"/>
  <c r="AW109"/>
  <c r="AW95"/>
  <c r="AT109"/>
  <c r="AT95"/>
  <c r="D54" i="23"/>
  <c r="D53"/>
  <c r="D52"/>
  <c r="D51"/>
  <c r="D49"/>
  <c r="D48"/>
  <c r="D47"/>
  <c r="D46"/>
  <c r="D45"/>
  <c r="D39"/>
  <c r="D38"/>
  <c r="D37"/>
  <c r="D32"/>
  <c r="D31"/>
  <c r="D30"/>
  <c r="D28"/>
  <c r="D27"/>
  <c r="D26"/>
  <c r="D23"/>
  <c r="D22"/>
  <c r="D21"/>
  <c r="D20"/>
  <c r="D18"/>
  <c r="D17"/>
  <c r="D16"/>
  <c r="D15"/>
  <c r="D14"/>
  <c r="D13"/>
  <c r="D12"/>
  <c r="D11"/>
  <c r="D10"/>
  <c r="D9"/>
  <c r="C54"/>
  <c r="C53"/>
  <c r="C52"/>
  <c r="C51"/>
  <c r="C49"/>
  <c r="C48"/>
  <c r="C47"/>
  <c r="C46"/>
  <c r="C45"/>
  <c r="C39"/>
  <c r="C38"/>
  <c r="C37"/>
  <c r="C32"/>
  <c r="C31"/>
  <c r="C30"/>
  <c r="C28"/>
  <c r="C27"/>
  <c r="C26"/>
  <c r="C23"/>
  <c r="C22"/>
  <c r="C21"/>
  <c r="C20"/>
  <c r="C18"/>
  <c r="C17"/>
  <c r="C16"/>
  <c r="C15"/>
  <c r="C14"/>
  <c r="C13"/>
  <c r="C12"/>
  <c r="C11"/>
  <c r="C10"/>
  <c r="C9"/>
  <c r="D54" i="22"/>
  <c r="D53"/>
  <c r="D52"/>
  <c r="D51"/>
  <c r="D49"/>
  <c r="D48"/>
  <c r="D47"/>
  <c r="D46"/>
  <c r="D45"/>
  <c r="D17"/>
  <c r="D39"/>
  <c r="D38"/>
  <c r="D37"/>
  <c r="D32"/>
  <c r="D31"/>
  <c r="D30"/>
  <c r="D28"/>
  <c r="D27"/>
  <c r="D26"/>
  <c r="D23"/>
  <c r="D22"/>
  <c r="D21"/>
  <c r="D20"/>
  <c r="D18"/>
  <c r="D16"/>
  <c r="D15"/>
  <c r="D14"/>
  <c r="D13"/>
  <c r="D12"/>
  <c r="D11"/>
  <c r="D10"/>
  <c r="D9"/>
  <c r="M47"/>
  <c r="M46"/>
  <c r="M45"/>
  <c r="G11" i="8" l="1"/>
  <c r="C54" i="22"/>
  <c r="C53"/>
  <c r="C52"/>
  <c r="C51"/>
  <c r="C49"/>
  <c r="C48"/>
  <c r="C47"/>
  <c r="C46"/>
  <c r="C45"/>
  <c r="C39"/>
  <c r="C38"/>
  <c r="C37"/>
  <c r="C32"/>
  <c r="C31"/>
  <c r="C30"/>
  <c r="C28"/>
  <c r="C27"/>
  <c r="C26"/>
  <c r="C23"/>
  <c r="C22"/>
  <c r="C21"/>
  <c r="C20"/>
  <c r="C18"/>
  <c r="C17"/>
  <c r="C16"/>
  <c r="C15"/>
  <c r="C14"/>
  <c r="C13"/>
  <c r="C12"/>
  <c r="C11"/>
  <c r="C10"/>
  <c r="C9"/>
  <c r="K55" i="27"/>
  <c r="J55"/>
  <c r="I55"/>
  <c r="H55"/>
  <c r="G55"/>
  <c r="F55"/>
  <c r="E55"/>
  <c r="C54"/>
  <c r="D54" s="1"/>
  <c r="D53"/>
  <c r="C53"/>
  <c r="C52"/>
  <c r="D52" s="1"/>
  <c r="D51"/>
  <c r="C51"/>
  <c r="C50"/>
  <c r="D49"/>
  <c r="C49"/>
  <c r="C48"/>
  <c r="D48" s="1"/>
  <c r="M47"/>
  <c r="C47"/>
  <c r="D47" s="1"/>
  <c r="D46"/>
  <c r="C46"/>
  <c r="C45"/>
  <c r="D45" s="1"/>
  <c r="D44" s="1"/>
  <c r="K40"/>
  <c r="J40"/>
  <c r="I40"/>
  <c r="H40"/>
  <c r="G40"/>
  <c r="F40"/>
  <c r="E40"/>
  <c r="C39"/>
  <c r="D39" s="1"/>
  <c r="D38"/>
  <c r="C38"/>
  <c r="C37"/>
  <c r="D37" s="1"/>
  <c r="D32"/>
  <c r="C32"/>
  <c r="C31"/>
  <c r="D31" s="1"/>
  <c r="D30"/>
  <c r="C30"/>
  <c r="C29"/>
  <c r="D28"/>
  <c r="C28"/>
  <c r="C27"/>
  <c r="D27" s="1"/>
  <c r="D26"/>
  <c r="C26"/>
  <c r="D23"/>
  <c r="C23"/>
  <c r="C22"/>
  <c r="D22" s="1"/>
  <c r="D21"/>
  <c r="C21"/>
  <c r="C20"/>
  <c r="D20" s="1"/>
  <c r="D19" s="1"/>
  <c r="C18"/>
  <c r="D18" s="1"/>
  <c r="D17"/>
  <c r="C17"/>
  <c r="C16"/>
  <c r="D16" s="1"/>
  <c r="D15"/>
  <c r="C15"/>
  <c r="C14"/>
  <c r="D14" s="1"/>
  <c r="D13"/>
  <c r="C13"/>
  <c r="C12"/>
  <c r="D12" s="1"/>
  <c r="D11"/>
  <c r="C11"/>
  <c r="C10"/>
  <c r="D10" s="1"/>
  <c r="D9"/>
  <c r="C9"/>
  <c r="C8"/>
  <c r="D54" i="7"/>
  <c r="D53"/>
  <c r="D52"/>
  <c r="D51"/>
  <c r="D49"/>
  <c r="D48"/>
  <c r="D47"/>
  <c r="D46"/>
  <c r="D45"/>
  <c r="D39"/>
  <c r="D38"/>
  <c r="D37"/>
  <c r="D32"/>
  <c r="D31"/>
  <c r="D30"/>
  <c r="D28"/>
  <c r="D27"/>
  <c r="D26"/>
  <c r="D23"/>
  <c r="D22"/>
  <c r="D21"/>
  <c r="D20"/>
  <c r="D18"/>
  <c r="D17"/>
  <c r="D16"/>
  <c r="D15"/>
  <c r="D14"/>
  <c r="D13"/>
  <c r="D12"/>
  <c r="D11"/>
  <c r="D10"/>
  <c r="D9"/>
  <c r="M47"/>
  <c r="C54"/>
  <c r="C53"/>
  <c r="C52"/>
  <c r="C51"/>
  <c r="C49"/>
  <c r="C48"/>
  <c r="C47"/>
  <c r="C46"/>
  <c r="C45"/>
  <c r="C39"/>
  <c r="C38"/>
  <c r="C37"/>
  <c r="C32"/>
  <c r="C31"/>
  <c r="C30"/>
  <c r="C28"/>
  <c r="C27"/>
  <c r="C26"/>
  <c r="C23"/>
  <c r="C22"/>
  <c r="C21"/>
  <c r="C20"/>
  <c r="C18"/>
  <c r="C17"/>
  <c r="C16"/>
  <c r="C15"/>
  <c r="C14"/>
  <c r="C13"/>
  <c r="C12"/>
  <c r="C11"/>
  <c r="C10"/>
  <c r="C9"/>
  <c r="O47" i="6"/>
  <c r="D54"/>
  <c r="D53"/>
  <c r="D52"/>
  <c r="D51"/>
  <c r="D49"/>
  <c r="D48"/>
  <c r="D47"/>
  <c r="D46"/>
  <c r="D45"/>
  <c r="D39"/>
  <c r="D38"/>
  <c r="D37"/>
  <c r="D32"/>
  <c r="D31"/>
  <c r="D30"/>
  <c r="D28"/>
  <c r="D27"/>
  <c r="D26"/>
  <c r="D23"/>
  <c r="D22"/>
  <c r="D21"/>
  <c r="D20"/>
  <c r="D18"/>
  <c r="D17"/>
  <c r="D16"/>
  <c r="D15"/>
  <c r="D14"/>
  <c r="D13"/>
  <c r="D12"/>
  <c r="D11"/>
  <c r="D10"/>
  <c r="D9"/>
  <c r="O46"/>
  <c r="O45"/>
  <c r="C54"/>
  <c r="C53"/>
  <c r="C52"/>
  <c r="C51"/>
  <c r="C49"/>
  <c r="C48"/>
  <c r="C47"/>
  <c r="C46"/>
  <c r="C45"/>
  <c r="C39"/>
  <c r="C38"/>
  <c r="C37"/>
  <c r="C32"/>
  <c r="C31"/>
  <c r="C30"/>
  <c r="C28"/>
  <c r="C27"/>
  <c r="C26"/>
  <c r="C23"/>
  <c r="C22"/>
  <c r="C21"/>
  <c r="C20"/>
  <c r="C18"/>
  <c r="C17"/>
  <c r="C16"/>
  <c r="C15"/>
  <c r="C14"/>
  <c r="C13"/>
  <c r="C12"/>
  <c r="C11"/>
  <c r="C10"/>
  <c r="C9"/>
  <c r="M28" i="20"/>
  <c r="L28"/>
  <c r="D55" i="27" l="1"/>
  <c r="D25"/>
  <c r="D8"/>
  <c r="D50"/>
  <c r="D29"/>
  <c r="D36"/>
  <c r="C25"/>
  <c r="C44"/>
  <c r="C55" s="1"/>
  <c r="C19"/>
  <c r="C35" s="1"/>
  <c r="C40" s="1"/>
  <c r="C36"/>
  <c r="K28" i="20"/>
  <c r="J28"/>
  <c r="I28"/>
  <c r="H28"/>
  <c r="G28"/>
  <c r="F28"/>
  <c r="E28"/>
  <c r="D28"/>
  <c r="C28"/>
  <c r="O27"/>
  <c r="N27"/>
  <c r="M27"/>
  <c r="L27"/>
  <c r="K27"/>
  <c r="J27"/>
  <c r="I27"/>
  <c r="H27"/>
  <c r="G27"/>
  <c r="F27"/>
  <c r="E27"/>
  <c r="D27"/>
  <c r="C27"/>
  <c r="O26"/>
  <c r="O25"/>
  <c r="O24"/>
  <c r="O23"/>
  <c r="O22"/>
  <c r="O21"/>
  <c r="N21"/>
  <c r="O20" s="1"/>
  <c r="N20"/>
  <c r="O19" s="1"/>
  <c r="N19"/>
  <c r="O18"/>
  <c r="N18"/>
  <c r="O16"/>
  <c r="N16" s="1"/>
  <c r="M16" s="1"/>
  <c r="L16" s="1"/>
  <c r="K16" s="1"/>
  <c r="D35" i="27" l="1"/>
  <c r="D40" s="1"/>
  <c r="J16" i="20"/>
  <c r="I16" l="1"/>
  <c r="H16" s="1"/>
  <c r="G16" l="1"/>
  <c r="F16" l="1"/>
  <c r="E16"/>
  <c r="D16"/>
  <c r="C16"/>
  <c r="O15"/>
  <c r="O14"/>
  <c r="O13"/>
  <c r="O12"/>
  <c r="O11"/>
  <c r="O10"/>
  <c r="O9"/>
  <c r="O8" s="1"/>
  <c r="N8"/>
  <c r="O7" s="1"/>
  <c r="N7"/>
  <c r="N6" l="1"/>
  <c r="M6" l="1"/>
  <c r="L6"/>
  <c r="K6" l="1"/>
  <c r="J6" l="1"/>
  <c r="I6" l="1"/>
  <c r="H6" l="1"/>
  <c r="G6" l="1"/>
  <c r="F6"/>
  <c r="E6"/>
  <c r="D6"/>
  <c r="D30" i="19"/>
  <c r="C18"/>
  <c r="C17"/>
  <c r="C16"/>
  <c r="C15"/>
  <c r="C12"/>
  <c r="C11"/>
  <c r="I18" i="18"/>
  <c r="H18" s="1"/>
  <c r="G18" s="1"/>
  <c r="F18" s="1"/>
  <c r="E18" s="1"/>
  <c r="D18" s="1"/>
  <c r="I17"/>
  <c r="I16" s="1"/>
  <c r="H16"/>
  <c r="G16"/>
  <c r="F16"/>
  <c r="E16"/>
  <c r="D16"/>
  <c r="I15"/>
  <c r="I14"/>
  <c r="H14"/>
  <c r="G14"/>
  <c r="F14"/>
  <c r="I13"/>
  <c r="I12"/>
  <c r="H12"/>
  <c r="G12"/>
  <c r="I11"/>
  <c r="I10"/>
  <c r="I9" s="1"/>
  <c r="H9"/>
  <c r="G9"/>
  <c r="F9"/>
  <c r="E9"/>
  <c r="D9"/>
  <c r="I8"/>
  <c r="I7"/>
  <c r="I6"/>
  <c r="H6"/>
  <c r="G6"/>
  <c r="F6"/>
  <c r="E6"/>
  <c r="D6"/>
  <c r="D2" i="17"/>
  <c r="O25" i="21"/>
  <c r="O24"/>
  <c r="O23"/>
  <c r="O22"/>
  <c r="O21"/>
  <c r="E20"/>
  <c r="C9" i="19" l="1"/>
  <c r="C30"/>
  <c r="D26" i="17"/>
  <c r="O12" i="21" l="1"/>
  <c r="O11"/>
  <c r="O7" l="1"/>
  <c r="G62" i="16"/>
  <c r="F62"/>
  <c r="E62"/>
  <c r="D62"/>
  <c r="C62"/>
  <c r="G60"/>
  <c r="G59"/>
  <c r="G58"/>
  <c r="G57"/>
  <c r="G56"/>
  <c r="G39"/>
  <c r="F39"/>
  <c r="E39"/>
  <c r="D39"/>
  <c r="C39"/>
  <c r="G37"/>
  <c r="G36"/>
  <c r="G35"/>
  <c r="G34"/>
  <c r="G33"/>
  <c r="G15"/>
  <c r="F15"/>
  <c r="E15"/>
  <c r="D15"/>
  <c r="C15"/>
  <c r="G14"/>
  <c r="G13"/>
  <c r="G12"/>
  <c r="G11"/>
  <c r="G10"/>
  <c r="G9"/>
  <c r="C6"/>
  <c r="D32" i="14"/>
  <c r="C32"/>
  <c r="K55" i="7"/>
  <c r="J55"/>
  <c r="I55"/>
  <c r="H55"/>
  <c r="G55"/>
  <c r="F55"/>
  <c r="E55"/>
  <c r="D50"/>
  <c r="C50"/>
  <c r="D44"/>
  <c r="C44" s="1"/>
  <c r="K40"/>
  <c r="J40"/>
  <c r="I40"/>
  <c r="H40"/>
  <c r="G40"/>
  <c r="F40"/>
  <c r="E40"/>
  <c r="D36"/>
  <c r="C36"/>
  <c r="D29"/>
  <c r="C29"/>
  <c r="D25"/>
  <c r="C25"/>
  <c r="D19"/>
  <c r="C19" s="1"/>
  <c r="D8"/>
  <c r="C8" s="1"/>
  <c r="J55" i="22"/>
  <c r="I55"/>
  <c r="H55"/>
  <c r="G55"/>
  <c r="F55"/>
  <c r="E55"/>
  <c r="D50"/>
  <c r="C50" s="1"/>
  <c r="D44"/>
  <c r="C44" s="1"/>
  <c r="J40"/>
  <c r="I40"/>
  <c r="H40"/>
  <c r="G40"/>
  <c r="F40"/>
  <c r="E40"/>
  <c r="D36"/>
  <c r="C36"/>
  <c r="D29"/>
  <c r="C29"/>
  <c r="D25"/>
  <c r="C25" s="1"/>
  <c r="D19"/>
  <c r="C19" s="1"/>
  <c r="D8"/>
  <c r="C8" s="1"/>
  <c r="F55" i="23"/>
  <c r="E55"/>
  <c r="D50"/>
  <c r="D55" s="1"/>
  <c r="C50"/>
  <c r="D44"/>
  <c r="C44"/>
  <c r="F40"/>
  <c r="E40"/>
  <c r="D36"/>
  <c r="C36"/>
  <c r="D29"/>
  <c r="C29" s="1"/>
  <c r="D25"/>
  <c r="C25"/>
  <c r="D19"/>
  <c r="C19"/>
  <c r="D8"/>
  <c r="C8"/>
  <c r="K55" i="6"/>
  <c r="J55"/>
  <c r="I55"/>
  <c r="H55"/>
  <c r="G55"/>
  <c r="F55"/>
  <c r="E55"/>
  <c r="D50"/>
  <c r="C50"/>
  <c r="D44"/>
  <c r="C44"/>
  <c r="K40"/>
  <c r="J40"/>
  <c r="I40"/>
  <c r="H40"/>
  <c r="G40"/>
  <c r="F40"/>
  <c r="E40"/>
  <c r="D36"/>
  <c r="C36"/>
  <c r="D29"/>
  <c r="C29" s="1"/>
  <c r="D25"/>
  <c r="C25" s="1"/>
  <c r="D19"/>
  <c r="C19"/>
  <c r="D8"/>
  <c r="C8" s="1"/>
  <c r="K146" i="25"/>
  <c r="J146"/>
  <c r="I146"/>
  <c r="H146"/>
  <c r="G146"/>
  <c r="F146"/>
  <c r="D140"/>
  <c r="C140"/>
  <c r="D135"/>
  <c r="C135"/>
  <c r="D130"/>
  <c r="C130"/>
  <c r="D126"/>
  <c r="C126"/>
  <c r="C145" s="1"/>
  <c r="D122"/>
  <c r="C122"/>
  <c r="D113"/>
  <c r="C113"/>
  <c r="D108"/>
  <c r="C108" s="1"/>
  <c r="D92"/>
  <c r="C92"/>
  <c r="K88"/>
  <c r="J88"/>
  <c r="I88"/>
  <c r="H88"/>
  <c r="G88"/>
  <c r="F88"/>
  <c r="E88"/>
  <c r="D81"/>
  <c r="C81"/>
  <c r="D77"/>
  <c r="C77"/>
  <c r="D74"/>
  <c r="C74"/>
  <c r="D69"/>
  <c r="C69"/>
  <c r="D65"/>
  <c r="C65"/>
  <c r="D59"/>
  <c r="C59"/>
  <c r="D54"/>
  <c r="C54"/>
  <c r="D48"/>
  <c r="C48"/>
  <c r="D37"/>
  <c r="C37"/>
  <c r="D29"/>
  <c r="C29" s="1"/>
  <c r="D22"/>
  <c r="C22"/>
  <c r="D15"/>
  <c r="C15"/>
  <c r="D8"/>
  <c r="C8"/>
  <c r="G146" i="26"/>
  <c r="F146"/>
  <c r="E146"/>
  <c r="C146"/>
  <c r="D145"/>
  <c r="C145"/>
  <c r="C144"/>
  <c r="C143"/>
  <c r="C142"/>
  <c r="C141"/>
  <c r="D140"/>
  <c r="C140"/>
  <c r="C139"/>
  <c r="C138"/>
  <c r="C137"/>
  <c r="C136"/>
  <c r="D135"/>
  <c r="C135"/>
  <c r="C134"/>
  <c r="C133"/>
  <c r="C132"/>
  <c r="C131"/>
  <c r="D130"/>
  <c r="C130"/>
  <c r="C129"/>
  <c r="C128"/>
  <c r="C127"/>
  <c r="D126"/>
  <c r="C126"/>
  <c r="D125"/>
  <c r="C125"/>
  <c r="C124"/>
  <c r="C123"/>
  <c r="D122"/>
  <c r="C122"/>
  <c r="C121"/>
  <c r="C120"/>
  <c r="C119"/>
  <c r="C118"/>
  <c r="C117"/>
  <c r="C116"/>
  <c r="C115"/>
  <c r="C114"/>
  <c r="D113"/>
  <c r="C113"/>
  <c r="C112"/>
  <c r="C111"/>
  <c r="C110"/>
  <c r="C109"/>
  <c r="D108" s="1"/>
  <c r="C108" s="1"/>
  <c r="C107"/>
  <c r="C106"/>
  <c r="C105"/>
  <c r="C104"/>
  <c r="C103"/>
  <c r="C102"/>
  <c r="C101"/>
  <c r="C100"/>
  <c r="C99"/>
  <c r="C98"/>
  <c r="D97"/>
  <c r="C97"/>
  <c r="C96"/>
  <c r="C95"/>
  <c r="C94"/>
  <c r="C93"/>
  <c r="D92" s="1"/>
  <c r="C92" s="1"/>
  <c r="G88"/>
  <c r="F88"/>
  <c r="E88"/>
  <c r="C88" s="1"/>
  <c r="D87"/>
  <c r="C87"/>
  <c r="C85"/>
  <c r="C84"/>
  <c r="C83"/>
  <c r="C82"/>
  <c r="D81"/>
  <c r="C81"/>
  <c r="C80"/>
  <c r="C79"/>
  <c r="C78"/>
  <c r="D77"/>
  <c r="C77"/>
  <c r="C76"/>
  <c r="C75"/>
  <c r="D74"/>
  <c r="C74"/>
  <c r="C73"/>
  <c r="C72"/>
  <c r="C71"/>
  <c r="C70"/>
  <c r="D69"/>
  <c r="C69"/>
  <c r="C68"/>
  <c r="C67"/>
  <c r="C66"/>
  <c r="D65"/>
  <c r="C65"/>
  <c r="D64"/>
  <c r="C64"/>
  <c r="C63"/>
  <c r="C62"/>
  <c r="C61"/>
  <c r="C60"/>
  <c r="D59"/>
  <c r="C59"/>
  <c r="C58"/>
  <c r="C57"/>
  <c r="C56"/>
  <c r="C55"/>
  <c r="D54"/>
  <c r="C54"/>
  <c r="C53"/>
  <c r="C52"/>
  <c r="C51"/>
  <c r="C50"/>
  <c r="C49"/>
  <c r="D48"/>
  <c r="C48"/>
  <c r="C47"/>
  <c r="C46"/>
  <c r="C45"/>
  <c r="C44"/>
  <c r="C43"/>
  <c r="C42"/>
  <c r="C41"/>
  <c r="C40"/>
  <c r="C39"/>
  <c r="C38"/>
  <c r="D37"/>
  <c r="C37"/>
  <c r="C36"/>
  <c r="C35"/>
  <c r="C34"/>
  <c r="C33"/>
  <c r="C32"/>
  <c r="C31"/>
  <c r="D30"/>
  <c r="C30"/>
  <c r="D29" s="1"/>
  <c r="C29" s="1"/>
  <c r="C28"/>
  <c r="C27"/>
  <c r="C26"/>
  <c r="C25"/>
  <c r="C24"/>
  <c r="C23"/>
  <c r="D22"/>
  <c r="C22"/>
  <c r="C21"/>
  <c r="C20"/>
  <c r="C19"/>
  <c r="C18"/>
  <c r="C17"/>
  <c r="C16"/>
  <c r="D15"/>
  <c r="C15"/>
  <c r="C14"/>
  <c r="C13"/>
  <c r="C12"/>
  <c r="C11"/>
  <c r="C10"/>
  <c r="C9"/>
  <c r="D8"/>
  <c r="C8"/>
  <c r="AO148" i="24"/>
  <c r="AO146"/>
  <c r="AN146"/>
  <c r="AM146"/>
  <c r="AL146"/>
  <c r="AK146"/>
  <c r="AJ146"/>
  <c r="AI146"/>
  <c r="AH146"/>
  <c r="AG146"/>
  <c r="AF146"/>
  <c r="AE146"/>
  <c r="AD146"/>
  <c r="AC146"/>
  <c r="AB146"/>
  <c r="AA146"/>
  <c r="Z146"/>
  <c r="Y146"/>
  <c r="X146"/>
  <c r="W146"/>
  <c r="V146"/>
  <c r="U146"/>
  <c r="T146"/>
  <c r="S146"/>
  <c r="R146"/>
  <c r="Q146"/>
  <c r="P146"/>
  <c r="O146"/>
  <c r="N146"/>
  <c r="M146"/>
  <c r="L146"/>
  <c r="K146"/>
  <c r="J146"/>
  <c r="I146"/>
  <c r="H146"/>
  <c r="G146"/>
  <c r="F146"/>
  <c r="E146"/>
  <c r="C146"/>
  <c r="C145"/>
  <c r="C144"/>
  <c r="C143"/>
  <c r="C142"/>
  <c r="C141"/>
  <c r="D140"/>
  <c r="C140"/>
  <c r="C139"/>
  <c r="C138"/>
  <c r="C137"/>
  <c r="C136"/>
  <c r="D135"/>
  <c r="C135"/>
  <c r="C134"/>
  <c r="C133"/>
  <c r="C132"/>
  <c r="C131"/>
  <c r="D130"/>
  <c r="C130"/>
  <c r="C129"/>
  <c r="C128"/>
  <c r="C127"/>
  <c r="D126"/>
  <c r="C126"/>
  <c r="C125"/>
  <c r="C124"/>
  <c r="C123"/>
  <c r="D122"/>
  <c r="C122" s="1"/>
  <c r="C121"/>
  <c r="C120"/>
  <c r="C119"/>
  <c r="C118"/>
  <c r="C117"/>
  <c r="C116"/>
  <c r="C115"/>
  <c r="C114"/>
  <c r="C113"/>
  <c r="C112"/>
  <c r="C111"/>
  <c r="C110"/>
  <c r="C109"/>
  <c r="D108" s="1"/>
  <c r="C108"/>
  <c r="C107"/>
  <c r="C106"/>
  <c r="C105"/>
  <c r="C104"/>
  <c r="C103"/>
  <c r="C102"/>
  <c r="C101"/>
  <c r="C100"/>
  <c r="C99"/>
  <c r="C98"/>
  <c r="C97"/>
  <c r="C96"/>
  <c r="C95"/>
  <c r="C94"/>
  <c r="C93"/>
  <c r="D92" s="1"/>
  <c r="C92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C88" s="1"/>
  <c r="C87"/>
  <c r="C85"/>
  <c r="C84"/>
  <c r="C83"/>
  <c r="C82"/>
  <c r="D81"/>
  <c r="C81"/>
  <c r="C80"/>
  <c r="C79"/>
  <c r="C78"/>
  <c r="D77"/>
  <c r="C77" s="1"/>
  <c r="C76"/>
  <c r="C75"/>
  <c r="D74"/>
  <c r="C74"/>
  <c r="C73"/>
  <c r="C72"/>
  <c r="C71"/>
  <c r="C70"/>
  <c r="D69"/>
  <c r="C69"/>
  <c r="C68"/>
  <c r="C67"/>
  <c r="C66"/>
  <c r="D65"/>
  <c r="C65"/>
  <c r="C64"/>
  <c r="C63"/>
  <c r="C62"/>
  <c r="C61"/>
  <c r="C60"/>
  <c r="D59"/>
  <c r="C59"/>
  <c r="C58"/>
  <c r="C57"/>
  <c r="C56"/>
  <c r="C55"/>
  <c r="D54"/>
  <c r="C54" s="1"/>
  <c r="C53"/>
  <c r="C52"/>
  <c r="C51"/>
  <c r="C50"/>
  <c r="C49"/>
  <c r="D48"/>
  <c r="C48"/>
  <c r="C47"/>
  <c r="C46"/>
  <c r="C45"/>
  <c r="C44"/>
  <c r="C43"/>
  <c r="C42"/>
  <c r="C41"/>
  <c r="C40"/>
  <c r="C39"/>
  <c r="C38"/>
  <c r="D37"/>
  <c r="C37"/>
  <c r="C36"/>
  <c r="C35"/>
  <c r="C34"/>
  <c r="C33"/>
  <c r="C32"/>
  <c r="C31"/>
  <c r="C30"/>
  <c r="C29" s="1"/>
  <c r="C28"/>
  <c r="C27"/>
  <c r="C26"/>
  <c r="C25"/>
  <c r="C24"/>
  <c r="C23"/>
  <c r="D22"/>
  <c r="C22"/>
  <c r="C21"/>
  <c r="C20"/>
  <c r="C19"/>
  <c r="C18"/>
  <c r="C17"/>
  <c r="C16"/>
  <c r="D15"/>
  <c r="C15"/>
  <c r="C14"/>
  <c r="C13"/>
  <c r="C12"/>
  <c r="C11"/>
  <c r="C10"/>
  <c r="C9"/>
  <c r="D8"/>
  <c r="C8"/>
  <c r="AS148" i="5"/>
  <c r="AS146"/>
  <c r="AR146"/>
  <c r="AQ146"/>
  <c r="AP146"/>
  <c r="AO146"/>
  <c r="AN146"/>
  <c r="AM146"/>
  <c r="AL146"/>
  <c r="AK146"/>
  <c r="AJ146"/>
  <c r="AI146"/>
  <c r="AH146"/>
  <c r="AG146"/>
  <c r="AF146"/>
  <c r="AE146"/>
  <c r="AD146"/>
  <c r="AC146"/>
  <c r="AB146"/>
  <c r="AA146"/>
  <c r="Z146"/>
  <c r="Y146"/>
  <c r="X146"/>
  <c r="W146"/>
  <c r="V146"/>
  <c r="U146"/>
  <c r="T146"/>
  <c r="S146"/>
  <c r="R146"/>
  <c r="Q146"/>
  <c r="P146"/>
  <c r="O146"/>
  <c r="N146"/>
  <c r="M146"/>
  <c r="L146"/>
  <c r="K146"/>
  <c r="J146"/>
  <c r="I146"/>
  <c r="H146"/>
  <c r="G146"/>
  <c r="F146"/>
  <c r="E146"/>
  <c r="C146"/>
  <c r="C145"/>
  <c r="C144"/>
  <c r="C143"/>
  <c r="C142"/>
  <c r="C141"/>
  <c r="D140"/>
  <c r="C140"/>
  <c r="C139"/>
  <c r="C138"/>
  <c r="C137"/>
  <c r="C136"/>
  <c r="D135"/>
  <c r="C135" s="1"/>
  <c r="C134"/>
  <c r="C133"/>
  <c r="C132"/>
  <c r="C131"/>
  <c r="D130"/>
  <c r="C130"/>
  <c r="C129"/>
  <c r="C128"/>
  <c r="C127"/>
  <c r="D126"/>
  <c r="C126"/>
  <c r="C125"/>
  <c r="C124"/>
  <c r="C123"/>
  <c r="D122"/>
  <c r="C122"/>
  <c r="C121"/>
  <c r="C120"/>
  <c r="C119"/>
  <c r="C118"/>
  <c r="C117"/>
  <c r="C116"/>
  <c r="C115"/>
  <c r="C114"/>
  <c r="D113"/>
  <c r="C113" s="1"/>
  <c r="C112"/>
  <c r="C111"/>
  <c r="C110"/>
  <c r="C109"/>
  <c r="C108"/>
  <c r="C107"/>
  <c r="C106"/>
  <c r="C105"/>
  <c r="C104"/>
  <c r="C103"/>
  <c r="C102"/>
  <c r="C101"/>
  <c r="C100"/>
  <c r="C99"/>
  <c r="C98"/>
  <c r="D97"/>
  <c r="C97"/>
  <c r="C96"/>
  <c r="C95"/>
  <c r="C94"/>
  <c r="C93"/>
  <c r="D92"/>
  <c r="C92"/>
  <c r="AS88"/>
  <c r="AR88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C88"/>
  <c r="C85"/>
  <c r="C84"/>
  <c r="C83"/>
  <c r="C82"/>
  <c r="D81"/>
  <c r="C81"/>
  <c r="C80"/>
  <c r="C79"/>
  <c r="C78"/>
  <c r="D77"/>
  <c r="C77"/>
  <c r="C76"/>
  <c r="C75"/>
  <c r="D74"/>
  <c r="C74"/>
  <c r="C73"/>
  <c r="C72"/>
  <c r="C71"/>
  <c r="C70"/>
  <c r="D69"/>
  <c r="C69" s="1"/>
  <c r="C68"/>
  <c r="C67"/>
  <c r="C66"/>
  <c r="D65"/>
  <c r="C65"/>
  <c r="C64"/>
  <c r="C63"/>
  <c r="C62"/>
  <c r="C61"/>
  <c r="C60"/>
  <c r="D59"/>
  <c r="C59"/>
  <c r="C58"/>
  <c r="C57"/>
  <c r="C56"/>
  <c r="C55"/>
  <c r="D54"/>
  <c r="C54" s="1"/>
  <c r="C53"/>
  <c r="C52"/>
  <c r="C51"/>
  <c r="C50"/>
  <c r="C49"/>
  <c r="D48"/>
  <c r="C48" s="1"/>
  <c r="C47"/>
  <c r="C46"/>
  <c r="C45"/>
  <c r="C44"/>
  <c r="C43"/>
  <c r="C42"/>
  <c r="C41"/>
  <c r="C40"/>
  <c r="C39"/>
  <c r="C38"/>
  <c r="D37"/>
  <c r="C37"/>
  <c r="C36"/>
  <c r="C35"/>
  <c r="C34"/>
  <c r="C33"/>
  <c r="C32"/>
  <c r="C31"/>
  <c r="C30"/>
  <c r="C29" s="1"/>
  <c r="C28"/>
  <c r="C27"/>
  <c r="C26"/>
  <c r="C25"/>
  <c r="C24"/>
  <c r="C23"/>
  <c r="D22"/>
  <c r="C22" s="1"/>
  <c r="C21"/>
  <c r="C20"/>
  <c r="C19"/>
  <c r="C18"/>
  <c r="C17"/>
  <c r="C16"/>
  <c r="D15"/>
  <c r="C15" s="1"/>
  <c r="C14"/>
  <c r="C13"/>
  <c r="C12"/>
  <c r="C11"/>
  <c r="C10"/>
  <c r="C9"/>
  <c r="D8"/>
  <c r="C8" s="1"/>
  <c r="F24" i="12" s="1"/>
  <c r="E24"/>
  <c r="D24"/>
  <c r="B24"/>
  <c r="F23"/>
  <c r="F22"/>
  <c r="F21"/>
  <c r="F20"/>
  <c r="F19"/>
  <c r="F18"/>
  <c r="F17"/>
  <c r="F16"/>
  <c r="F15"/>
  <c r="F29" i="13"/>
  <c r="D29"/>
  <c r="C29"/>
  <c r="B29"/>
  <c r="E28"/>
  <c r="E27"/>
  <c r="E26"/>
  <c r="E25"/>
  <c r="E24"/>
  <c r="E23"/>
  <c r="E22"/>
  <c r="E21"/>
  <c r="E20"/>
  <c r="E19"/>
  <c r="E18"/>
  <c r="E17"/>
  <c r="E16"/>
  <c r="E15"/>
  <c r="E14"/>
  <c r="E12"/>
  <c r="E11"/>
  <c r="E10"/>
  <c r="E8"/>
  <c r="E6"/>
  <c r="D11" i="11"/>
  <c r="D11" i="10"/>
  <c r="C11"/>
  <c r="F10"/>
  <c r="F9"/>
  <c r="F8"/>
  <c r="F7"/>
  <c r="E29" i="13" l="1"/>
  <c r="D145" i="25"/>
  <c r="D125"/>
  <c r="C125"/>
  <c r="C146" s="1"/>
  <c r="C87"/>
  <c r="D87"/>
  <c r="C64"/>
  <c r="C88" s="1"/>
  <c r="D64"/>
  <c r="D145" i="24"/>
  <c r="D125"/>
  <c r="D146" s="1"/>
  <c r="D87"/>
  <c r="D64"/>
  <c r="D145" i="5"/>
  <c r="D108"/>
  <c r="D125"/>
  <c r="D87"/>
  <c r="C87" s="1"/>
  <c r="D35" i="23"/>
  <c r="D40" s="1"/>
  <c r="C55"/>
  <c r="C35"/>
  <c r="C40" s="1"/>
  <c r="C55" i="22"/>
  <c r="D55"/>
  <c r="D35"/>
  <c r="D40" s="1"/>
  <c r="C35"/>
  <c r="C40" s="1"/>
  <c r="D35" i="7"/>
  <c r="D40" s="1"/>
  <c r="D55"/>
  <c r="C55"/>
  <c r="C53" i="16" s="1"/>
  <c r="C35" i="7"/>
  <c r="C40" s="1"/>
  <c r="D55" i="6"/>
  <c r="D35"/>
  <c r="D40" s="1"/>
  <c r="C55"/>
  <c r="C30" i="16" s="1"/>
  <c r="C35" i="6"/>
  <c r="C40" s="1"/>
  <c r="G30" i="9"/>
  <c r="F30" s="1"/>
  <c r="D30" s="1"/>
  <c r="C24"/>
  <c r="F19"/>
  <c r="G17"/>
  <c r="G27" i="8"/>
  <c r="C19"/>
  <c r="G18"/>
  <c r="C8"/>
  <c r="E151" i="4"/>
  <c r="E150"/>
  <c r="C144"/>
  <c r="C143" s="1"/>
  <c r="C142"/>
  <c r="C141"/>
  <c r="D140"/>
  <c r="C139"/>
  <c r="C138"/>
  <c r="C137"/>
  <c r="E6" i="10" s="1"/>
  <c r="E11" s="1"/>
  <c r="D135" i="4"/>
  <c r="C132"/>
  <c r="C131"/>
  <c r="D130"/>
  <c r="C129"/>
  <c r="C128"/>
  <c r="C127" s="1"/>
  <c r="D126"/>
  <c r="D122"/>
  <c r="C120"/>
  <c r="C119"/>
  <c r="C118" s="1"/>
  <c r="C117" s="1"/>
  <c r="C116"/>
  <c r="C115"/>
  <c r="C114"/>
  <c r="C113"/>
  <c r="P23" i="21" s="1"/>
  <c r="C112" i="4"/>
  <c r="C111" s="1"/>
  <c r="D108"/>
  <c r="C106"/>
  <c r="C105"/>
  <c r="C104" s="1"/>
  <c r="C103" s="1"/>
  <c r="C102"/>
  <c r="C101"/>
  <c r="C100" s="1"/>
  <c r="C99" s="1"/>
  <c r="C98"/>
  <c r="C97"/>
  <c r="F10" i="8" s="1"/>
  <c r="C85" i="4"/>
  <c r="C84" s="1"/>
  <c r="C83" s="1"/>
  <c r="C82"/>
  <c r="D81"/>
  <c r="C79"/>
  <c r="C78"/>
  <c r="D77"/>
  <c r="C76"/>
  <c r="C75" s="1"/>
  <c r="C19" i="9" s="1"/>
  <c r="D74" i="4"/>
  <c r="C73"/>
  <c r="C72"/>
  <c r="C71" s="1"/>
  <c r="C70"/>
  <c r="D69"/>
  <c r="C66"/>
  <c r="D65"/>
  <c r="C63"/>
  <c r="C62" s="1"/>
  <c r="C61" s="1"/>
  <c r="C60"/>
  <c r="D59"/>
  <c r="C59"/>
  <c r="C58" s="1"/>
  <c r="C57"/>
  <c r="C56"/>
  <c r="C55"/>
  <c r="D54"/>
  <c r="C53"/>
  <c r="C52"/>
  <c r="C51" s="1"/>
  <c r="C50"/>
  <c r="C8" i="11" s="1"/>
  <c r="C49" i="4"/>
  <c r="D48"/>
  <c r="D8" i="9" s="1"/>
  <c r="D17" s="1"/>
  <c r="C46" i="4"/>
  <c r="C45" s="1"/>
  <c r="C44" s="1"/>
  <c r="C43" s="1"/>
  <c r="C42"/>
  <c r="C41" s="1"/>
  <c r="C40" s="1"/>
  <c r="C39" s="1"/>
  <c r="C38"/>
  <c r="D37"/>
  <c r="D10" i="8" s="1"/>
  <c r="C36" i="4"/>
  <c r="C35"/>
  <c r="C34" s="1"/>
  <c r="C33"/>
  <c r="C32"/>
  <c r="C31"/>
  <c r="C28"/>
  <c r="C27"/>
  <c r="C26"/>
  <c r="C25"/>
  <c r="C24"/>
  <c r="C23"/>
  <c r="D22"/>
  <c r="C21"/>
  <c r="C20"/>
  <c r="C19"/>
  <c r="C18"/>
  <c r="C17"/>
  <c r="C16"/>
  <c r="C15" s="1"/>
  <c r="D15"/>
  <c r="D7" i="8" s="1"/>
  <c r="C14" i="4"/>
  <c r="C13"/>
  <c r="C12"/>
  <c r="C11"/>
  <c r="C10"/>
  <c r="C9"/>
  <c r="D8"/>
  <c r="D6" i="8" s="1"/>
  <c r="AB203" i="3"/>
  <c r="AB202"/>
  <c r="AB201"/>
  <c r="AB200"/>
  <c r="AB199"/>
  <c r="AM198" s="1"/>
  <c r="AB198" s="1"/>
  <c r="AB197"/>
  <c r="AB196"/>
  <c r="AB195"/>
  <c r="T195"/>
  <c r="AB194"/>
  <c r="AB193"/>
  <c r="AJ192" s="1"/>
  <c r="AB192"/>
  <c r="AB191"/>
  <c r="AA191" s="1"/>
  <c r="AJ190" s="1"/>
  <c r="AB190"/>
  <c r="AB189"/>
  <c r="AB188"/>
  <c r="AM187"/>
  <c r="AJ187" s="1"/>
  <c r="AB187"/>
  <c r="AA187" s="1"/>
  <c r="T187"/>
  <c r="AN186"/>
  <c r="AM186"/>
  <c r="AL186"/>
  <c r="AK186"/>
  <c r="AJ186" s="1"/>
  <c r="AB186"/>
  <c r="AA186"/>
  <c r="Z186"/>
  <c r="T186"/>
  <c r="S186" s="1"/>
  <c r="Q186"/>
  <c r="N186"/>
  <c r="M186"/>
  <c r="L186"/>
  <c r="J186" s="1"/>
  <c r="D186" s="1"/>
  <c r="C186" s="1"/>
  <c r="B186" s="1"/>
  <c r="AM185" s="1"/>
  <c r="AL185" s="1"/>
  <c r="AK185" s="1"/>
  <c r="AJ185" s="1"/>
  <c r="AB185" s="1"/>
  <c r="AA185"/>
  <c r="Z185" s="1"/>
  <c r="T185"/>
  <c r="S185" s="1"/>
  <c r="Q185" s="1"/>
  <c r="N185" s="1"/>
  <c r="M185" s="1"/>
  <c r="L185" s="1"/>
  <c r="J185" s="1"/>
  <c r="D185" s="1"/>
  <c r="C185" s="1"/>
  <c r="B185" s="1"/>
  <c r="AM184"/>
  <c r="AL184" s="1"/>
  <c r="AK184"/>
  <c r="AJ184" s="1"/>
  <c r="AB184" s="1"/>
  <c r="Z184"/>
  <c r="T184"/>
  <c r="S184"/>
  <c r="Q184" s="1"/>
  <c r="N184"/>
  <c r="M184"/>
  <c r="L184" s="1"/>
  <c r="J184" s="1"/>
  <c r="D184"/>
  <c r="C184"/>
  <c r="B184"/>
  <c r="AM183"/>
  <c r="T183"/>
  <c r="AM182" s="1"/>
  <c r="T182"/>
  <c r="AM181"/>
  <c r="AL181"/>
  <c r="AK181"/>
  <c r="AJ181"/>
  <c r="AB181"/>
  <c r="AA181"/>
  <c r="Z181"/>
  <c r="T181"/>
  <c r="S181"/>
  <c r="Q181"/>
  <c r="N181"/>
  <c r="M181"/>
  <c r="L181"/>
  <c r="J181"/>
  <c r="D181"/>
  <c r="C181"/>
  <c r="B181"/>
  <c r="AM180" s="1"/>
  <c r="T180"/>
  <c r="AM179"/>
  <c r="AL179"/>
  <c r="AK179"/>
  <c r="AJ179"/>
  <c r="AB179"/>
  <c r="AA179"/>
  <c r="Z179"/>
  <c r="T179" s="1"/>
  <c r="S179"/>
  <c r="Q179"/>
  <c r="N179"/>
  <c r="M179"/>
  <c r="L179"/>
  <c r="J179"/>
  <c r="D179"/>
  <c r="C179"/>
  <c r="B179"/>
  <c r="AM178"/>
  <c r="T178"/>
  <c r="AM177"/>
  <c r="AL177"/>
  <c r="AK177"/>
  <c r="AJ177"/>
  <c r="AB177"/>
  <c r="AA177"/>
  <c r="Z177"/>
  <c r="T177"/>
  <c r="S177"/>
  <c r="Q177"/>
  <c r="N177"/>
  <c r="M177"/>
  <c r="L177"/>
  <c r="J177"/>
  <c r="D177"/>
  <c r="C177"/>
  <c r="B177"/>
  <c r="AM176"/>
  <c r="AM175"/>
  <c r="AL175"/>
  <c r="AK175"/>
  <c r="AJ175"/>
  <c r="AB175"/>
  <c r="AA175"/>
  <c r="Z175"/>
  <c r="T175"/>
  <c r="S175"/>
  <c r="Q175"/>
  <c r="N175"/>
  <c r="M175"/>
  <c r="L175"/>
  <c r="J175"/>
  <c r="D175"/>
  <c r="C175"/>
  <c r="B175"/>
  <c r="AM174" s="1"/>
  <c r="T174"/>
  <c r="AM173" s="1"/>
  <c r="AL173"/>
  <c r="AK173"/>
  <c r="AJ173"/>
  <c r="AB173"/>
  <c r="AA173"/>
  <c r="Z173"/>
  <c r="T173"/>
  <c r="S173"/>
  <c r="Q173"/>
  <c r="N173"/>
  <c r="M173"/>
  <c r="L173"/>
  <c r="J173"/>
  <c r="D173"/>
  <c r="C173"/>
  <c r="B173"/>
  <c r="AM172" s="1"/>
  <c r="T172"/>
  <c r="AM171"/>
  <c r="T171"/>
  <c r="AM170"/>
  <c r="AL170" s="1"/>
  <c r="AK170" s="1"/>
  <c r="AJ170"/>
  <c r="AI170"/>
  <c r="AB170"/>
  <c r="AA170" s="1"/>
  <c r="Z170"/>
  <c r="T170"/>
  <c r="S170"/>
  <c r="Q170"/>
  <c r="N170" s="1"/>
  <c r="M170"/>
  <c r="L170"/>
  <c r="J170"/>
  <c r="D170" s="1"/>
  <c r="C170"/>
  <c r="B170" s="1"/>
  <c r="AM169" s="1"/>
  <c r="AL169"/>
  <c r="AK169"/>
  <c r="AJ169"/>
  <c r="AI169"/>
  <c r="AB169"/>
  <c r="AA169"/>
  <c r="Z169"/>
  <c r="T169"/>
  <c r="S169"/>
  <c r="Q169"/>
  <c r="N169"/>
  <c r="M169"/>
  <c r="L169"/>
  <c r="J169"/>
  <c r="D169"/>
  <c r="C169"/>
  <c r="B169"/>
  <c r="AM168"/>
  <c r="AJ168"/>
  <c r="T168"/>
  <c r="AM167"/>
  <c r="T167"/>
  <c r="AM166"/>
  <c r="AM165"/>
  <c r="AM164"/>
  <c r="AM163"/>
  <c r="AL163"/>
  <c r="AK163"/>
  <c r="AJ163"/>
  <c r="AB163"/>
  <c r="AA163"/>
  <c r="Z163"/>
  <c r="S163"/>
  <c r="Q163"/>
  <c r="N163"/>
  <c r="M163"/>
  <c r="L163"/>
  <c r="J163"/>
  <c r="D163"/>
  <c r="C163"/>
  <c r="B163"/>
  <c r="AM162"/>
  <c r="AM161"/>
  <c r="T161"/>
  <c r="AM160"/>
  <c r="AM159" s="1"/>
  <c r="AL159"/>
  <c r="AK159"/>
  <c r="AJ159" s="1"/>
  <c r="AB159"/>
  <c r="AA159"/>
  <c r="Z159" s="1"/>
  <c r="T159"/>
  <c r="S159"/>
  <c r="Q159"/>
  <c r="N159"/>
  <c r="M159" s="1"/>
  <c r="L159"/>
  <c r="J159"/>
  <c r="D159"/>
  <c r="C159" s="1"/>
  <c r="B159"/>
  <c r="AM158" s="1"/>
  <c r="AL158"/>
  <c r="AK158"/>
  <c r="AJ158"/>
  <c r="AB158"/>
  <c r="AA158"/>
  <c r="Z158"/>
  <c r="T158"/>
  <c r="S158"/>
  <c r="Q158"/>
  <c r="N158"/>
  <c r="M158"/>
  <c r="L158"/>
  <c r="J158"/>
  <c r="D158"/>
  <c r="C158"/>
  <c r="B158"/>
  <c r="AM157" s="1"/>
  <c r="T157"/>
  <c r="AM156" s="1"/>
  <c r="T156"/>
  <c r="AM155" s="1"/>
  <c r="T155"/>
  <c r="AM154"/>
  <c r="T154"/>
  <c r="AM153" s="1"/>
  <c r="T153"/>
  <c r="AM152"/>
  <c r="AL152" s="1"/>
  <c r="AK152"/>
  <c r="AJ152"/>
  <c r="AB152" s="1"/>
  <c r="AA152" s="1"/>
  <c r="Z152"/>
  <c r="T152"/>
  <c r="S152" s="1"/>
  <c r="Q152" s="1"/>
  <c r="N152" s="1"/>
  <c r="M152"/>
  <c r="L152" s="1"/>
  <c r="J152" s="1"/>
  <c r="D152" s="1"/>
  <c r="C152"/>
  <c r="B152" s="1"/>
  <c r="AM151" s="1"/>
  <c r="AL151"/>
  <c r="AK151"/>
  <c r="AJ151"/>
  <c r="AB151"/>
  <c r="AA151"/>
  <c r="Z151"/>
  <c r="T151"/>
  <c r="S151"/>
  <c r="Q151"/>
  <c r="N151"/>
  <c r="M151"/>
  <c r="L151"/>
  <c r="J151"/>
  <c r="D151"/>
  <c r="C151"/>
  <c r="B151"/>
  <c r="AM150" s="1"/>
  <c r="T150"/>
  <c r="AM149" s="1"/>
  <c r="AL149"/>
  <c r="AK149"/>
  <c r="AJ149"/>
  <c r="AB149"/>
  <c r="AA149"/>
  <c r="Z149"/>
  <c r="T149" s="1"/>
  <c r="S149"/>
  <c r="Q149"/>
  <c r="N149"/>
  <c r="M149"/>
  <c r="L149"/>
  <c r="J149"/>
  <c r="D149"/>
  <c r="C149"/>
  <c r="B149"/>
  <c r="AM148" s="1"/>
  <c r="T148"/>
  <c r="AM147"/>
  <c r="T147"/>
  <c r="AM146"/>
  <c r="AL146"/>
  <c r="AK146"/>
  <c r="AJ146"/>
  <c r="AB146"/>
  <c r="AA146"/>
  <c r="Z146"/>
  <c r="T146"/>
  <c r="S146"/>
  <c r="Q146"/>
  <c r="N146"/>
  <c r="M146"/>
  <c r="L146"/>
  <c r="J146"/>
  <c r="D146"/>
  <c r="C146"/>
  <c r="B146"/>
  <c r="AM145" s="1"/>
  <c r="T145"/>
  <c r="AM144"/>
  <c r="T144"/>
  <c r="AM143" s="1"/>
  <c r="AL143"/>
  <c r="AK143"/>
  <c r="AJ143"/>
  <c r="AB143"/>
  <c r="AA143"/>
  <c r="Z143"/>
  <c r="T143" s="1"/>
  <c r="S143"/>
  <c r="Q143"/>
  <c r="N143"/>
  <c r="M143"/>
  <c r="L143"/>
  <c r="J143"/>
  <c r="D143"/>
  <c r="C143"/>
  <c r="B143"/>
  <c r="AM142"/>
  <c r="T142"/>
  <c r="AM141"/>
  <c r="T141"/>
  <c r="AM140" s="1"/>
  <c r="AL140" s="1"/>
  <c r="AK140" s="1"/>
  <c r="AJ140" s="1"/>
  <c r="AB140" s="1"/>
  <c r="AA140" s="1"/>
  <c r="Z140" s="1"/>
  <c r="T140"/>
  <c r="S140"/>
  <c r="Q140" s="1"/>
  <c r="N140" s="1"/>
  <c r="M140" s="1"/>
  <c r="L140"/>
  <c r="J140" s="1"/>
  <c r="D140" s="1"/>
  <c r="C140" s="1"/>
  <c r="B140"/>
  <c r="AM139" s="1"/>
  <c r="T139"/>
  <c r="AM138"/>
  <c r="AL138"/>
  <c r="AK138"/>
  <c r="AJ138"/>
  <c r="AB138"/>
  <c r="AA138"/>
  <c r="Z138"/>
  <c r="T138"/>
  <c r="S138"/>
  <c r="Q138"/>
  <c r="N138"/>
  <c r="M138"/>
  <c r="L138"/>
  <c r="J138"/>
  <c r="D138"/>
  <c r="C138"/>
  <c r="B138"/>
  <c r="AM137" s="1"/>
  <c r="T137"/>
  <c r="AM136" s="1"/>
  <c r="T136"/>
  <c r="AM135"/>
  <c r="T135"/>
  <c r="AM134"/>
  <c r="AL134" s="1"/>
  <c r="AK134" s="1"/>
  <c r="AJ134" s="1"/>
  <c r="AB134"/>
  <c r="AA134" s="1"/>
  <c r="Z134" s="1"/>
  <c r="T134"/>
  <c r="S134" s="1"/>
  <c r="Q134" s="1"/>
  <c r="N134" s="1"/>
  <c r="M134"/>
  <c r="L134" s="1"/>
  <c r="J134" s="1"/>
  <c r="D134" s="1"/>
  <c r="C134"/>
  <c r="B134" s="1"/>
  <c r="AM133" s="1"/>
  <c r="T133"/>
  <c r="AM132"/>
  <c r="AL132"/>
  <c r="AK132"/>
  <c r="AJ132"/>
  <c r="AB132"/>
  <c r="AA132"/>
  <c r="Z132"/>
  <c r="T132"/>
  <c r="S132"/>
  <c r="Q132"/>
  <c r="N132"/>
  <c r="M132"/>
  <c r="L132"/>
  <c r="J132"/>
  <c r="D132"/>
  <c r="C132"/>
  <c r="B132"/>
  <c r="AM131" s="1"/>
  <c r="T131"/>
  <c r="AM130"/>
  <c r="AL130"/>
  <c r="AK130"/>
  <c r="AJ130"/>
  <c r="AB130"/>
  <c r="AA130"/>
  <c r="Z130"/>
  <c r="T130"/>
  <c r="S130"/>
  <c r="Q130"/>
  <c r="N130"/>
  <c r="M130"/>
  <c r="L130"/>
  <c r="J130"/>
  <c r="D130"/>
  <c r="C130"/>
  <c r="B130"/>
  <c r="AM129" s="1"/>
  <c r="T129"/>
  <c r="AM128" s="1"/>
  <c r="T128"/>
  <c r="AM127"/>
  <c r="T127"/>
  <c r="AM126" s="1"/>
  <c r="T126"/>
  <c r="AM125"/>
  <c r="T125"/>
  <c r="AM124"/>
  <c r="T124"/>
  <c r="AR123"/>
  <c r="AP123" s="1"/>
  <c r="AO123"/>
  <c r="AN123"/>
  <c r="AM123"/>
  <c r="AL123" s="1"/>
  <c r="AK123" s="1"/>
  <c r="AJ123"/>
  <c r="AI123" s="1"/>
  <c r="AH123" s="1"/>
  <c r="AG123"/>
  <c r="AF123" s="1"/>
  <c r="AE123"/>
  <c r="AD123" s="1"/>
  <c r="AC123" s="1"/>
  <c r="AB123"/>
  <c r="AA123"/>
  <c r="Z123"/>
  <c r="Y123" s="1"/>
  <c r="X123"/>
  <c r="W123" s="1"/>
  <c r="V123"/>
  <c r="U123"/>
  <c r="T123"/>
  <c r="S123" s="1"/>
  <c r="R123" s="1"/>
  <c r="Q123"/>
  <c r="P123" s="1"/>
  <c r="O123" s="1"/>
  <c r="N123" s="1"/>
  <c r="M123" s="1"/>
  <c r="L123" s="1"/>
  <c r="K123" s="1"/>
  <c r="J123"/>
  <c r="I123" s="1"/>
  <c r="H123" s="1"/>
  <c r="G123" s="1"/>
  <c r="F123" s="1"/>
  <c r="E123" s="1"/>
  <c r="D123"/>
  <c r="C123" s="1"/>
  <c r="B123" s="1"/>
  <c r="AM122"/>
  <c r="AL122" s="1"/>
  <c r="AK122"/>
  <c r="AJ122" s="1"/>
  <c r="AB122" s="1"/>
  <c r="AA122" s="1"/>
  <c r="Z122" s="1"/>
  <c r="T122" s="1"/>
  <c r="S122" s="1"/>
  <c r="Q122" s="1"/>
  <c r="N122" s="1"/>
  <c r="M122" s="1"/>
  <c r="L122" s="1"/>
  <c r="J122" s="1"/>
  <c r="D122" s="1"/>
  <c r="C122" s="1"/>
  <c r="B122" s="1"/>
  <c r="AM121"/>
  <c r="AL121"/>
  <c r="AK121" s="1"/>
  <c r="AJ121" s="1"/>
  <c r="AB121"/>
  <c r="AA121" s="1"/>
  <c r="Z121" s="1"/>
  <c r="T121" s="1"/>
  <c r="S121" s="1"/>
  <c r="Q121"/>
  <c r="N121" s="1"/>
  <c r="M121" s="1"/>
  <c r="L121" s="1"/>
  <c r="J121" s="1"/>
  <c r="D121" s="1"/>
  <c r="C121" s="1"/>
  <c r="B121" s="1"/>
  <c r="AM120" s="1"/>
  <c r="T120"/>
  <c r="AM119" s="1"/>
  <c r="T119"/>
  <c r="AM118"/>
  <c r="AL118"/>
  <c r="AK118"/>
  <c r="AJ118"/>
  <c r="AB118"/>
  <c r="AA118"/>
  <c r="Z118"/>
  <c r="T118"/>
  <c r="S118"/>
  <c r="Q118"/>
  <c r="N118"/>
  <c r="M118"/>
  <c r="L118"/>
  <c r="J118"/>
  <c r="D118"/>
  <c r="C118"/>
  <c r="B118"/>
  <c r="AM117" s="1"/>
  <c r="T117"/>
  <c r="AM116" s="1"/>
  <c r="AL116"/>
  <c r="AK116"/>
  <c r="AJ116"/>
  <c r="AB116"/>
  <c r="AA116"/>
  <c r="Z116"/>
  <c r="T116"/>
  <c r="S116"/>
  <c r="Q116"/>
  <c r="N116"/>
  <c r="M116"/>
  <c r="L116"/>
  <c r="J116"/>
  <c r="D116"/>
  <c r="C116"/>
  <c r="B116"/>
  <c r="AM115"/>
  <c r="T115"/>
  <c r="AM114"/>
  <c r="T114"/>
  <c r="AP113" s="1"/>
  <c r="AM113"/>
  <c r="AL113"/>
  <c r="AK113"/>
  <c r="AJ113"/>
  <c r="AI113"/>
  <c r="AB113"/>
  <c r="AA113"/>
  <c r="Z113"/>
  <c r="T113"/>
  <c r="S113"/>
  <c r="Q113"/>
  <c r="N113"/>
  <c r="M113"/>
  <c r="L113"/>
  <c r="J113"/>
  <c r="D113"/>
  <c r="C113"/>
  <c r="B113"/>
  <c r="AM112" s="1"/>
  <c r="AJ112"/>
  <c r="T112"/>
  <c r="AM111"/>
  <c r="AJ111"/>
  <c r="T111"/>
  <c r="AM110"/>
  <c r="AJ110"/>
  <c r="T110"/>
  <c r="AM109"/>
  <c r="AJ109"/>
  <c r="T109"/>
  <c r="AR108"/>
  <c r="AP108" s="1"/>
  <c r="AM108" s="1"/>
  <c r="AL108"/>
  <c r="AK108"/>
  <c r="AJ108"/>
  <c r="AB108"/>
  <c r="AA108"/>
  <c r="Z108"/>
  <c r="T108"/>
  <c r="S108"/>
  <c r="Q108"/>
  <c r="N108"/>
  <c r="M108"/>
  <c r="L108"/>
  <c r="J108"/>
  <c r="D108"/>
  <c r="C108"/>
  <c r="B108"/>
  <c r="AM107" s="1"/>
  <c r="AA107"/>
  <c r="T107"/>
  <c r="AM106" s="1"/>
  <c r="T106"/>
  <c r="AM105" s="1"/>
  <c r="T105"/>
  <c r="AM104" s="1"/>
  <c r="T104"/>
  <c r="AM103" s="1"/>
  <c r="AL103"/>
  <c r="AK103"/>
  <c r="AJ103" s="1"/>
  <c r="AB103" s="1"/>
  <c r="AA103"/>
  <c r="Z103"/>
  <c r="T103"/>
  <c r="S103" s="1"/>
  <c r="Q103" s="1"/>
  <c r="N103" s="1"/>
  <c r="M103"/>
  <c r="L103" s="1"/>
  <c r="J103" s="1"/>
  <c r="D103" s="1"/>
  <c r="C103" s="1"/>
  <c r="B103" s="1"/>
  <c r="AM102" s="1"/>
  <c r="T102"/>
  <c r="AM101" s="1"/>
  <c r="T101"/>
  <c r="AM100" s="1"/>
  <c r="T100"/>
  <c r="AM99"/>
  <c r="AL99"/>
  <c r="AK99"/>
  <c r="AJ99"/>
  <c r="AB99"/>
  <c r="AA99"/>
  <c r="Z99"/>
  <c r="T99"/>
  <c r="S99"/>
  <c r="Q99"/>
  <c r="N99"/>
  <c r="M99"/>
  <c r="L99"/>
  <c r="J99"/>
  <c r="D99"/>
  <c r="C99"/>
  <c r="B99"/>
  <c r="AM98"/>
  <c r="T98"/>
  <c r="AM97"/>
  <c r="AM96" s="1"/>
  <c r="T96"/>
  <c r="AM95"/>
  <c r="AL95" s="1"/>
  <c r="AK95" s="1"/>
  <c r="AJ95"/>
  <c r="AB95"/>
  <c r="AA95"/>
  <c r="Z95" s="1"/>
  <c r="T95"/>
  <c r="S95"/>
  <c r="Q95"/>
  <c r="N95"/>
  <c r="M95"/>
  <c r="L95"/>
  <c r="J95"/>
  <c r="D95"/>
  <c r="C95"/>
  <c r="B95" s="1"/>
  <c r="AM94" s="1"/>
  <c r="AL94"/>
  <c r="AK94"/>
  <c r="AJ94"/>
  <c r="AB94"/>
  <c r="AA94"/>
  <c r="Z94"/>
  <c r="T94" s="1"/>
  <c r="S94"/>
  <c r="Q94"/>
  <c r="N94"/>
  <c r="M94"/>
  <c r="L94"/>
  <c r="J94"/>
  <c r="D94"/>
  <c r="C94"/>
  <c r="B94"/>
  <c r="AM93"/>
  <c r="T93"/>
  <c r="AM92"/>
  <c r="T92"/>
  <c r="AM91"/>
  <c r="T91"/>
  <c r="AM90" s="1"/>
  <c r="AL90"/>
  <c r="AK90"/>
  <c r="AJ90"/>
  <c r="AB90"/>
  <c r="AA90"/>
  <c r="Z90"/>
  <c r="T90" s="1"/>
  <c r="S90"/>
  <c r="Q90"/>
  <c r="N90"/>
  <c r="M90"/>
  <c r="L90"/>
  <c r="J90"/>
  <c r="D90"/>
  <c r="C90"/>
  <c r="B90"/>
  <c r="AM89"/>
  <c r="T89"/>
  <c r="AM88"/>
  <c r="AJ88"/>
  <c r="AB88"/>
  <c r="AA88"/>
  <c r="Z88"/>
  <c r="T88" s="1"/>
  <c r="S88"/>
  <c r="Q88"/>
  <c r="N88"/>
  <c r="M88"/>
  <c r="L88"/>
  <c r="J88"/>
  <c r="D88"/>
  <c r="C88"/>
  <c r="B88"/>
  <c r="AM87"/>
  <c r="T87"/>
  <c r="AM86"/>
  <c r="AJ86"/>
  <c r="AB86"/>
  <c r="AA86"/>
  <c r="Z86"/>
  <c r="T86" s="1"/>
  <c r="S86"/>
  <c r="Q86"/>
  <c r="N86"/>
  <c r="M86"/>
  <c r="L86"/>
  <c r="J86"/>
  <c r="D86"/>
  <c r="C86"/>
  <c r="B86"/>
  <c r="AM85"/>
  <c r="T85"/>
  <c r="AM84" s="1"/>
  <c r="AJ84"/>
  <c r="AB84"/>
  <c r="AA84"/>
  <c r="Z84"/>
  <c r="T84"/>
  <c r="S84"/>
  <c r="Q84"/>
  <c r="N84"/>
  <c r="M84"/>
  <c r="L84"/>
  <c r="J84"/>
  <c r="D84"/>
  <c r="C84"/>
  <c r="B84"/>
  <c r="AM83" s="1"/>
  <c r="T83"/>
  <c r="AM82"/>
  <c r="AK82"/>
  <c r="AJ82"/>
  <c r="AB82"/>
  <c r="AA82"/>
  <c r="Z82"/>
  <c r="T82" s="1"/>
  <c r="S82"/>
  <c r="Q82"/>
  <c r="N82"/>
  <c r="M82"/>
  <c r="L82"/>
  <c r="J82"/>
  <c r="D82"/>
  <c r="C82"/>
  <c r="B82"/>
  <c r="AM81"/>
  <c r="T81"/>
  <c r="AR80"/>
  <c r="AP80" s="1"/>
  <c r="AO80"/>
  <c r="AM80"/>
  <c r="AL80"/>
  <c r="AK80" s="1"/>
  <c r="AJ80"/>
  <c r="AI80"/>
  <c r="AH80"/>
  <c r="AG80"/>
  <c r="AF80"/>
  <c r="AE80" s="1"/>
  <c r="AD80"/>
  <c r="AC80"/>
  <c r="AB80" s="1"/>
  <c r="AA80"/>
  <c r="Z80" s="1"/>
  <c r="Y80" s="1"/>
  <c r="X80" s="1"/>
  <c r="W80"/>
  <c r="V80" s="1"/>
  <c r="U80" s="1"/>
  <c r="T80"/>
  <c r="S80" s="1"/>
  <c r="R80" s="1"/>
  <c r="Q80" s="1"/>
  <c r="P80"/>
  <c r="O80" s="1"/>
  <c r="N80"/>
  <c r="M80"/>
  <c r="L80"/>
  <c r="K80" s="1"/>
  <c r="J80" s="1"/>
  <c r="I80" s="1"/>
  <c r="H80"/>
  <c r="G80" s="1"/>
  <c r="F80" s="1"/>
  <c r="E80" s="1"/>
  <c r="D80" s="1"/>
  <c r="C80" s="1"/>
  <c r="B80"/>
  <c r="AM79" s="1"/>
  <c r="AL79" s="1"/>
  <c r="AK79"/>
  <c r="AJ79"/>
  <c r="AI79"/>
  <c r="AH79" s="1"/>
  <c r="AG79" s="1"/>
  <c r="AF79" s="1"/>
  <c r="AE79"/>
  <c r="AD79"/>
  <c r="AC79"/>
  <c r="AB79" s="1"/>
  <c r="AA79" s="1"/>
  <c r="Z79" s="1"/>
  <c r="Y79"/>
  <c r="X79" s="1"/>
  <c r="W79" s="1"/>
  <c r="V79" s="1"/>
  <c r="U79"/>
  <c r="T79"/>
  <c r="S79"/>
  <c r="R79"/>
  <c r="Q79"/>
  <c r="P79"/>
  <c r="O79"/>
  <c r="N79"/>
  <c r="M79"/>
  <c r="L79"/>
  <c r="K79"/>
  <c r="J79"/>
  <c r="I79"/>
  <c r="H79"/>
  <c r="G79" s="1"/>
  <c r="F79" s="1"/>
  <c r="E79"/>
  <c r="D79"/>
  <c r="C79" s="1"/>
  <c r="B79"/>
  <c r="AM78" s="1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AM77"/>
  <c r="AJ77"/>
  <c r="Z77"/>
  <c r="T77"/>
  <c r="AM76"/>
  <c r="AJ76"/>
  <c r="Z76"/>
  <c r="T76"/>
  <c r="AM75"/>
  <c r="AJ75"/>
  <c r="Z75"/>
  <c r="T75"/>
  <c r="AM74"/>
  <c r="AJ74"/>
  <c r="Z74"/>
  <c r="T74"/>
  <c r="AM73"/>
  <c r="AJ73"/>
  <c r="Z73"/>
  <c r="T73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 s="1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AM71"/>
  <c r="AJ71"/>
  <c r="Z71"/>
  <c r="T71"/>
  <c r="AM70"/>
  <c r="AJ70"/>
  <c r="Z70"/>
  <c r="T70"/>
  <c r="AM69"/>
  <c r="AJ69" s="1"/>
  <c r="AI69" s="1"/>
  <c r="AA69" s="1"/>
  <c r="Z69"/>
  <c r="T69" s="1"/>
  <c r="S69" s="1"/>
  <c r="AM68" s="1"/>
  <c r="AL68" s="1"/>
  <c r="AK68" s="1"/>
  <c r="AJ68" s="1"/>
  <c r="AI68" s="1"/>
  <c r="AH68"/>
  <c r="AG68" s="1"/>
  <c r="AF68" s="1"/>
  <c r="AE68" s="1"/>
  <c r="AD68" s="1"/>
  <c r="AC68"/>
  <c r="AB68" s="1"/>
  <c r="AA68"/>
  <c r="Z68" s="1"/>
  <c r="Y68"/>
  <c r="X68" s="1"/>
  <c r="W68"/>
  <c r="V68" s="1"/>
  <c r="U68" s="1"/>
  <c r="T68"/>
  <c r="S68" s="1"/>
  <c r="R68" s="1"/>
  <c r="Q68" s="1"/>
  <c r="P68" s="1"/>
  <c r="O68" s="1"/>
  <c r="N68" s="1"/>
  <c r="M68" s="1"/>
  <c r="L68"/>
  <c r="K68"/>
  <c r="J68"/>
  <c r="I68" s="1"/>
  <c r="H68"/>
  <c r="G68"/>
  <c r="F68" s="1"/>
  <c r="E68" s="1"/>
  <c r="D68" s="1"/>
  <c r="C68" s="1"/>
  <c r="B68"/>
  <c r="AM67"/>
  <c r="AJ67"/>
  <c r="Z67"/>
  <c r="T67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AM65"/>
  <c r="AJ65"/>
  <c r="Z65"/>
  <c r="T65"/>
  <c r="AM64"/>
  <c r="AJ64"/>
  <c r="Z64"/>
  <c r="T64"/>
  <c r="AM63" s="1"/>
  <c r="AL63" s="1"/>
  <c r="AK63"/>
  <c r="AJ63"/>
  <c r="AI63"/>
  <c r="AH63"/>
  <c r="AG63" s="1"/>
  <c r="AF63"/>
  <c r="AE63"/>
  <c r="AD63"/>
  <c r="AC63" s="1"/>
  <c r="AB63"/>
  <c r="AA63"/>
  <c r="Z63"/>
  <c r="Y63" s="1"/>
  <c r="X63"/>
  <c r="W63" s="1"/>
  <c r="V63"/>
  <c r="U63"/>
  <c r="T63"/>
  <c r="S63"/>
  <c r="R63"/>
  <c r="Q63" s="1"/>
  <c r="P63"/>
  <c r="O63" s="1"/>
  <c r="N63"/>
  <c r="M63" s="1"/>
  <c r="L63"/>
  <c r="K63" s="1"/>
  <c r="J63"/>
  <c r="I63"/>
  <c r="H63"/>
  <c r="G63" s="1"/>
  <c r="F63" s="1"/>
  <c r="E63"/>
  <c r="D63"/>
  <c r="C63"/>
  <c r="B63" s="1"/>
  <c r="AM62"/>
  <c r="AJ62"/>
  <c r="Z62"/>
  <c r="T62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AM60" s="1"/>
  <c r="AJ60"/>
  <c r="Z60"/>
  <c r="T60"/>
  <c r="AM59"/>
  <c r="AJ59"/>
  <c r="Z59"/>
  <c r="W59"/>
  <c r="V59"/>
  <c r="T59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AM57" s="1"/>
  <c r="AJ57"/>
  <c r="Z57"/>
  <c r="T57"/>
  <c r="AM56"/>
  <c r="AJ56"/>
  <c r="Z56"/>
  <c r="T56"/>
  <c r="AM55"/>
  <c r="AJ55"/>
  <c r="AA55"/>
  <c r="Z55"/>
  <c r="T55"/>
  <c r="AM54"/>
  <c r="AJ54"/>
  <c r="Z54"/>
  <c r="T54"/>
  <c r="AM53" s="1"/>
  <c r="AJ53"/>
  <c r="Z53"/>
  <c r="T53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 s="1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AM51"/>
  <c r="AJ51"/>
  <c r="Z51"/>
  <c r="T51"/>
  <c r="AM50"/>
  <c r="AJ50"/>
  <c r="Z50"/>
  <c r="T50"/>
  <c r="AM49"/>
  <c r="AJ49"/>
  <c r="Z49"/>
  <c r="T49"/>
  <c r="AM48"/>
  <c r="AJ48"/>
  <c r="Z48"/>
  <c r="T48"/>
  <c r="AM47" s="1"/>
  <c r="AL47"/>
  <c r="AK47" s="1"/>
  <c r="AJ47" s="1"/>
  <c r="AI47" s="1"/>
  <c r="AH47" s="1"/>
  <c r="AG47" s="1"/>
  <c r="AF47"/>
  <c r="AE47" s="1"/>
  <c r="AD47"/>
  <c r="AC47" s="1"/>
  <c r="AB47" s="1"/>
  <c r="AA47" s="1"/>
  <c r="Z47" s="1"/>
  <c r="Y47" s="1"/>
  <c r="X47" s="1"/>
  <c r="W47" s="1"/>
  <c r="V47"/>
  <c r="U47"/>
  <c r="T47"/>
  <c r="S47" s="1"/>
  <c r="R47" s="1"/>
  <c r="Q47"/>
  <c r="P47" s="1"/>
  <c r="O47"/>
  <c r="N47" s="1"/>
  <c r="M47" s="1"/>
  <c r="L47" s="1"/>
  <c r="K47"/>
  <c r="J47" s="1"/>
  <c r="I47" s="1"/>
  <c r="H47" s="1"/>
  <c r="G47" s="1"/>
  <c r="F47" s="1"/>
  <c r="E47" s="1"/>
  <c r="D47"/>
  <c r="C47"/>
  <c r="B47" s="1"/>
  <c r="AM46"/>
  <c r="AJ46"/>
  <c r="Z46"/>
  <c r="T46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AM44"/>
  <c r="AJ44"/>
  <c r="Z44"/>
  <c r="T44"/>
  <c r="AM43"/>
  <c r="AJ43"/>
  <c r="Z43"/>
  <c r="T43"/>
  <c r="AM42"/>
  <c r="AJ42"/>
  <c r="Z42"/>
  <c r="T42"/>
  <c r="AM41"/>
  <c r="AJ41"/>
  <c r="Z41"/>
  <c r="T41"/>
  <c r="AM40"/>
  <c r="AL40" s="1"/>
  <c r="AK40" s="1"/>
  <c r="AJ40"/>
  <c r="AI40"/>
  <c r="AH40"/>
  <c r="AG40" s="1"/>
  <c r="AF40"/>
  <c r="AE40" s="1"/>
  <c r="AD40"/>
  <c r="AC40"/>
  <c r="AB40" s="1"/>
  <c r="AA40"/>
  <c r="Z40"/>
  <c r="Y40" s="1"/>
  <c r="X40" s="1"/>
  <c r="W40" s="1"/>
  <c r="V40"/>
  <c r="U40" s="1"/>
  <c r="T40"/>
  <c r="S40"/>
  <c r="R40"/>
  <c r="Q40"/>
  <c r="P40" s="1"/>
  <c r="O40"/>
  <c r="N40"/>
  <c r="M40"/>
  <c r="L40" s="1"/>
  <c r="K40"/>
  <c r="J40"/>
  <c r="I40" s="1"/>
  <c r="H40"/>
  <c r="G40"/>
  <c r="F40"/>
  <c r="E40"/>
  <c r="D40"/>
  <c r="C40"/>
  <c r="B40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AM38"/>
  <c r="AJ38"/>
  <c r="Z38"/>
  <c r="T38"/>
  <c r="AM37"/>
  <c r="AJ37"/>
  <c r="Z37"/>
  <c r="T37"/>
  <c r="AM36"/>
  <c r="AJ36"/>
  <c r="Z36"/>
  <c r="T36"/>
  <c r="AM35"/>
  <c r="AJ35"/>
  <c r="Z35"/>
  <c r="T35"/>
  <c r="AM34"/>
  <c r="AJ34"/>
  <c r="Z34"/>
  <c r="T34"/>
  <c r="AM33"/>
  <c r="AJ33"/>
  <c r="Z33"/>
  <c r="T33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AM31"/>
  <c r="AJ31"/>
  <c r="Z31"/>
  <c r="T31"/>
  <c r="AM30"/>
  <c r="AJ30"/>
  <c r="Z30"/>
  <c r="T30"/>
  <c r="AM29"/>
  <c r="AJ29"/>
  <c r="AI29"/>
  <c r="Z29"/>
  <c r="T29"/>
  <c r="S29"/>
  <c r="AM28"/>
  <c r="AJ28"/>
  <c r="Z28"/>
  <c r="T28"/>
  <c r="AM27"/>
  <c r="AJ27"/>
  <c r="Z27"/>
  <c r="T27"/>
  <c r="AR26"/>
  <c r="AP26" s="1"/>
  <c r="AM26"/>
  <c r="AL26"/>
  <c r="AK26"/>
  <c r="AJ26"/>
  <c r="AI26"/>
  <c r="AH26" s="1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AM25"/>
  <c r="AJ25"/>
  <c r="Z25"/>
  <c r="T25"/>
  <c r="AM24"/>
  <c r="AJ24"/>
  <c r="Z24"/>
  <c r="T24"/>
  <c r="AM23"/>
  <c r="AJ23"/>
  <c r="Z23"/>
  <c r="T23"/>
  <c r="AM22"/>
  <c r="AJ22"/>
  <c r="Z22"/>
  <c r="T22"/>
  <c r="AM21"/>
  <c r="AJ21"/>
  <c r="Z21"/>
  <c r="T21"/>
  <c r="AM20"/>
  <c r="AJ20"/>
  <c r="Z20"/>
  <c r="T20"/>
  <c r="AM19"/>
  <c r="AJ19"/>
  <c r="AH19"/>
  <c r="AG19"/>
  <c r="AF19"/>
  <c r="AE19"/>
  <c r="AD19"/>
  <c r="AC19"/>
  <c r="Z19"/>
  <c r="Y19"/>
  <c r="X19"/>
  <c r="U19"/>
  <c r="T19"/>
  <c r="R19"/>
  <c r="Q19"/>
  <c r="P19"/>
  <c r="O19"/>
  <c r="N19"/>
  <c r="M19"/>
  <c r="L19"/>
  <c r="K19"/>
  <c r="J19"/>
  <c r="I19"/>
  <c r="H19"/>
  <c r="G19"/>
  <c r="F19"/>
  <c r="E19"/>
  <c r="D19"/>
  <c r="C19"/>
  <c r="B19"/>
  <c r="AR18"/>
  <c r="AP18"/>
  <c r="AO18"/>
  <c r="AM18" s="1"/>
  <c r="AL18" s="1"/>
  <c r="AK18"/>
  <c r="AJ18" s="1"/>
  <c r="AI18"/>
  <c r="AH18"/>
  <c r="AG18"/>
  <c r="AF18"/>
  <c r="AE18"/>
  <c r="AD18" s="1"/>
  <c r="AC18"/>
  <c r="AB18"/>
  <c r="AA18"/>
  <c r="Z18"/>
  <c r="Y18" s="1"/>
  <c r="X18"/>
  <c r="W18" s="1"/>
  <c r="V18"/>
  <c r="U18"/>
  <c r="T18" s="1"/>
  <c r="S18" s="1"/>
  <c r="R18" s="1"/>
  <c r="Q18"/>
  <c r="P18" s="1"/>
  <c r="O18" s="1"/>
  <c r="N18"/>
  <c r="M18"/>
  <c r="L18"/>
  <c r="K18" s="1"/>
  <c r="J18"/>
  <c r="I18" s="1"/>
  <c r="H18" s="1"/>
  <c r="G18" s="1"/>
  <c r="F18" s="1"/>
  <c r="E18" s="1"/>
  <c r="D18"/>
  <c r="C18" s="1"/>
  <c r="B18" s="1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Q17"/>
  <c r="N17"/>
  <c r="M17"/>
  <c r="L17"/>
  <c r="J17"/>
  <c r="D17"/>
  <c r="C17"/>
  <c r="B17"/>
  <c r="AM16"/>
  <c r="AJ16"/>
  <c r="Z16"/>
  <c r="T16"/>
  <c r="AM15"/>
  <c r="AJ15"/>
  <c r="AG15"/>
  <c r="Z15"/>
  <c r="Y15"/>
  <c r="X15"/>
  <c r="U15"/>
  <c r="T15"/>
  <c r="AM14"/>
  <c r="AJ14"/>
  <c r="Z14"/>
  <c r="T14"/>
  <c r="AM13"/>
  <c r="AL13"/>
  <c r="AK13"/>
  <c r="AJ13"/>
  <c r="AI13"/>
  <c r="AH13"/>
  <c r="AG13"/>
  <c r="AF13"/>
  <c r="AE13" s="1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M12"/>
  <c r="AJ12"/>
  <c r="Z12"/>
  <c r="T12"/>
  <c r="AM11"/>
  <c r="AJ11"/>
  <c r="T11"/>
  <c r="AM10"/>
  <c r="AJ10"/>
  <c r="Z10"/>
  <c r="T10"/>
  <c r="Q10"/>
  <c r="J10"/>
  <c r="F10"/>
  <c r="AM9"/>
  <c r="AJ9"/>
  <c r="T9"/>
  <c r="AM8"/>
  <c r="AJ8"/>
  <c r="Z8"/>
  <c r="T8"/>
  <c r="AM7"/>
  <c r="AJ7"/>
  <c r="Z7"/>
  <c r="T7"/>
  <c r="AM6"/>
  <c r="AJ6"/>
  <c r="Z6"/>
  <c r="T6"/>
  <c r="AM5"/>
  <c r="AJ5"/>
  <c r="Z5"/>
  <c r="T5"/>
  <c r="AM4"/>
  <c r="AJ4"/>
  <c r="AH4"/>
  <c r="AF4"/>
  <c r="AE4"/>
  <c r="AD4"/>
  <c r="AC4"/>
  <c r="Z4"/>
  <c r="T4"/>
  <c r="R4"/>
  <c r="Q4"/>
  <c r="P4"/>
  <c r="O4"/>
  <c r="N4"/>
  <c r="M4"/>
  <c r="L4"/>
  <c r="K4"/>
  <c r="J4"/>
  <c r="I4"/>
  <c r="H4"/>
  <c r="G4"/>
  <c r="F4"/>
  <c r="E4"/>
  <c r="D4"/>
  <c r="C4"/>
  <c r="B4"/>
  <c r="U197" i="2" s="1"/>
  <c r="U196"/>
  <c r="U195" s="1"/>
  <c r="U194"/>
  <c r="U193"/>
  <c r="AB192" s="1"/>
  <c r="U192"/>
  <c r="AB190"/>
  <c r="L190"/>
  <c r="U189"/>
  <c r="U188"/>
  <c r="AB187" s="1"/>
  <c r="U187"/>
  <c r="L187" s="1"/>
  <c r="AG186"/>
  <c r="AF186" s="1"/>
  <c r="AE186"/>
  <c r="AD186" s="1"/>
  <c r="AC186" s="1"/>
  <c r="AB186" s="1"/>
  <c r="AA186" s="1"/>
  <c r="Z186"/>
  <c r="Y186"/>
  <c r="X186"/>
  <c r="W186"/>
  <c r="V186"/>
  <c r="U186"/>
  <c r="T186" s="1"/>
  <c r="S186"/>
  <c r="R186"/>
  <c r="Q186"/>
  <c r="P186"/>
  <c r="O186"/>
  <c r="N186"/>
  <c r="M186"/>
  <c r="L186"/>
  <c r="K186"/>
  <c r="J186"/>
  <c r="I186" s="1"/>
  <c r="H186"/>
  <c r="G186"/>
  <c r="F186" s="1"/>
  <c r="E186"/>
  <c r="D186" s="1"/>
  <c r="C186"/>
  <c r="B186" s="1"/>
  <c r="AF185" s="1"/>
  <c r="AE185" s="1"/>
  <c r="AD185" s="1"/>
  <c r="AC185" s="1"/>
  <c r="AB185"/>
  <c r="U185" s="1"/>
  <c r="T185" s="1"/>
  <c r="P185" s="1"/>
  <c r="L185"/>
  <c r="K185" s="1"/>
  <c r="J185" s="1"/>
  <c r="I185" s="1"/>
  <c r="H185" s="1"/>
  <c r="G185" s="1"/>
  <c r="F185" s="1"/>
  <c r="E185" s="1"/>
  <c r="D185" s="1"/>
  <c r="C185" s="1"/>
  <c r="B185" s="1"/>
  <c r="AF184"/>
  <c r="AE184"/>
  <c r="AD184"/>
  <c r="AC184" s="1"/>
  <c r="AB184" s="1"/>
  <c r="U184" s="1"/>
  <c r="T184"/>
  <c r="P184" s="1"/>
  <c r="L184"/>
  <c r="K184" s="1"/>
  <c r="J184"/>
  <c r="I184" s="1"/>
  <c r="H184" s="1"/>
  <c r="G184" s="1"/>
  <c r="F184"/>
  <c r="E184" s="1"/>
  <c r="D184" s="1"/>
  <c r="C184"/>
  <c r="B184"/>
  <c r="AF183" s="1"/>
  <c r="L183"/>
  <c r="AF182"/>
  <c r="L182"/>
  <c r="AF181" s="1"/>
  <c r="AE181"/>
  <c r="AD181"/>
  <c r="AC181"/>
  <c r="AB181"/>
  <c r="U181"/>
  <c r="T181"/>
  <c r="P181"/>
  <c r="L181"/>
  <c r="K181"/>
  <c r="J181"/>
  <c r="I181"/>
  <c r="H181"/>
  <c r="G181"/>
  <c r="F181"/>
  <c r="E181"/>
  <c r="D181"/>
  <c r="C181"/>
  <c r="B181"/>
  <c r="AF180" s="1"/>
  <c r="L180"/>
  <c r="AF179"/>
  <c r="AE179"/>
  <c r="AD179"/>
  <c r="AC179"/>
  <c r="AB179"/>
  <c r="U179"/>
  <c r="T179"/>
  <c r="P179"/>
  <c r="L179" s="1"/>
  <c r="K179"/>
  <c r="J179"/>
  <c r="I179"/>
  <c r="H179"/>
  <c r="G179"/>
  <c r="F179"/>
  <c r="E179"/>
  <c r="D179"/>
  <c r="C179"/>
  <c r="B179"/>
  <c r="AF178"/>
  <c r="L178"/>
  <c r="AF177" s="1"/>
  <c r="AE177"/>
  <c r="AD177"/>
  <c r="AC177"/>
  <c r="AB177"/>
  <c r="U177"/>
  <c r="T177"/>
  <c r="P177"/>
  <c r="L177"/>
  <c r="K177"/>
  <c r="J177"/>
  <c r="I177"/>
  <c r="H177"/>
  <c r="G177"/>
  <c r="F177"/>
  <c r="E177"/>
  <c r="D177"/>
  <c r="C177"/>
  <c r="B177"/>
  <c r="AF176"/>
  <c r="AF175" s="1"/>
  <c r="AE175"/>
  <c r="AD175"/>
  <c r="AC175"/>
  <c r="AB175"/>
  <c r="U175"/>
  <c r="T175"/>
  <c r="P175"/>
  <c r="L175"/>
  <c r="K175"/>
  <c r="J175"/>
  <c r="I175"/>
  <c r="H175"/>
  <c r="G175"/>
  <c r="F175"/>
  <c r="E175"/>
  <c r="D175"/>
  <c r="C175"/>
  <c r="B175"/>
  <c r="AF174"/>
  <c r="L174"/>
  <c r="AF173" s="1"/>
  <c r="AE173"/>
  <c r="AD173"/>
  <c r="AC173"/>
  <c r="AB173"/>
  <c r="U173"/>
  <c r="T173"/>
  <c r="P173"/>
  <c r="L173" s="1"/>
  <c r="K173"/>
  <c r="J173"/>
  <c r="I173"/>
  <c r="H173"/>
  <c r="G173"/>
  <c r="F173"/>
  <c r="E173"/>
  <c r="D173"/>
  <c r="C173"/>
  <c r="B173"/>
  <c r="AF172"/>
  <c r="L172"/>
  <c r="AF171"/>
  <c r="L171"/>
  <c r="AF170" s="1"/>
  <c r="AE170" s="1"/>
  <c r="AD170" s="1"/>
  <c r="AC170" s="1"/>
  <c r="AB170"/>
  <c r="AA170"/>
  <c r="U170" s="1"/>
  <c r="T170" s="1"/>
  <c r="P170"/>
  <c r="L170"/>
  <c r="K170" s="1"/>
  <c r="J170" s="1"/>
  <c r="I170"/>
  <c r="H170"/>
  <c r="G170" s="1"/>
  <c r="F170" s="1"/>
  <c r="E170"/>
  <c r="D170"/>
  <c r="C170" s="1"/>
  <c r="B170" s="1"/>
  <c r="AF169" s="1"/>
  <c r="AE169"/>
  <c r="AD169"/>
  <c r="AC169"/>
  <c r="AB169"/>
  <c r="U169"/>
  <c r="T169"/>
  <c r="P169"/>
  <c r="L169"/>
  <c r="K169"/>
  <c r="J169"/>
  <c r="I169"/>
  <c r="H169"/>
  <c r="G169"/>
  <c r="F169"/>
  <c r="E169"/>
  <c r="D169"/>
  <c r="C169"/>
  <c r="B169"/>
  <c r="AF168" s="1"/>
  <c r="L168"/>
  <c r="AF167" s="1"/>
  <c r="L167"/>
  <c r="AF166" s="1"/>
  <c r="L166"/>
  <c r="AF165" s="1"/>
  <c r="AB165"/>
  <c r="L165"/>
  <c r="AF164" s="1"/>
  <c r="AB164"/>
  <c r="L164"/>
  <c r="AF163"/>
  <c r="AE163"/>
  <c r="AD163"/>
  <c r="AC163"/>
  <c r="AB163"/>
  <c r="U163"/>
  <c r="T163"/>
  <c r="P163"/>
  <c r="L163"/>
  <c r="K163"/>
  <c r="J163"/>
  <c r="I163"/>
  <c r="H163"/>
  <c r="G163"/>
  <c r="F163"/>
  <c r="E163"/>
  <c r="D163"/>
  <c r="C163"/>
  <c r="B163"/>
  <c r="AF162"/>
  <c r="L162"/>
  <c r="AF161"/>
  <c r="L161"/>
  <c r="AF160"/>
  <c r="AB160"/>
  <c r="L160"/>
  <c r="AF159" s="1"/>
  <c r="AE159" s="1"/>
  <c r="AD159" s="1"/>
  <c r="AC159" s="1"/>
  <c r="AB159" s="1"/>
  <c r="U159" s="1"/>
  <c r="T159" s="1"/>
  <c r="P159" s="1"/>
  <c r="L159"/>
  <c r="K159" s="1"/>
  <c r="J159" s="1"/>
  <c r="I159" s="1"/>
  <c r="H159"/>
  <c r="G159" s="1"/>
  <c r="F159" s="1"/>
  <c r="E159" s="1"/>
  <c r="D159" s="1"/>
  <c r="C159" s="1"/>
  <c r="B159" s="1"/>
  <c r="AF158" s="1"/>
  <c r="AE158"/>
  <c r="AD158"/>
  <c r="AC158"/>
  <c r="AB158"/>
  <c r="U158"/>
  <c r="T158"/>
  <c r="P158"/>
  <c r="L158"/>
  <c r="K158"/>
  <c r="J158"/>
  <c r="I158"/>
  <c r="H158"/>
  <c r="G158"/>
  <c r="F158"/>
  <c r="E158"/>
  <c r="D158"/>
  <c r="C158"/>
  <c r="B158"/>
  <c r="AF157" s="1"/>
  <c r="L157"/>
  <c r="AF156"/>
  <c r="L156"/>
  <c r="AF155" s="1"/>
  <c r="L155"/>
  <c r="AF154"/>
  <c r="L154"/>
  <c r="AF153" s="1"/>
  <c r="L153"/>
  <c r="AF152" s="1"/>
  <c r="AE152" s="1"/>
  <c r="AD152" s="1"/>
  <c r="AC152" s="1"/>
  <c r="AB152" s="1"/>
  <c r="U152" s="1"/>
  <c r="T152" s="1"/>
  <c r="P152" s="1"/>
  <c r="L152"/>
  <c r="K152" s="1"/>
  <c r="J152" s="1"/>
  <c r="I152" s="1"/>
  <c r="H152" s="1"/>
  <c r="G152" s="1"/>
  <c r="F152" s="1"/>
  <c r="E152" s="1"/>
  <c r="D152" s="1"/>
  <c r="C152" s="1"/>
  <c r="B152" s="1"/>
  <c r="AF151" s="1"/>
  <c r="AE151"/>
  <c r="AD151"/>
  <c r="AC151"/>
  <c r="AB151"/>
  <c r="U151"/>
  <c r="T151"/>
  <c r="P151"/>
  <c r="L151"/>
  <c r="K151"/>
  <c r="J151"/>
  <c r="I151"/>
  <c r="H151"/>
  <c r="G151"/>
  <c r="F151"/>
  <c r="E151"/>
  <c r="D151"/>
  <c r="C151"/>
  <c r="B151"/>
  <c r="AF150" s="1"/>
  <c r="L150"/>
  <c r="AF149" s="1"/>
  <c r="AE149"/>
  <c r="AD149"/>
  <c r="AC149"/>
  <c r="AB149"/>
  <c r="U149"/>
  <c r="T149"/>
  <c r="P149"/>
  <c r="L149"/>
  <c r="K149"/>
  <c r="J149"/>
  <c r="I149"/>
  <c r="H149"/>
  <c r="G149"/>
  <c r="F149"/>
  <c r="E149"/>
  <c r="D149"/>
  <c r="C149"/>
  <c r="B149"/>
  <c r="AF148"/>
  <c r="L148"/>
  <c r="AF147" s="1"/>
  <c r="L147"/>
  <c r="AF146"/>
  <c r="AE146"/>
  <c r="AD146"/>
  <c r="AC146"/>
  <c r="AB146"/>
  <c r="U146"/>
  <c r="T146"/>
  <c r="P146"/>
  <c r="L146"/>
  <c r="K146"/>
  <c r="J146"/>
  <c r="I146"/>
  <c r="H146"/>
  <c r="G146"/>
  <c r="F146"/>
  <c r="E146"/>
  <c r="D146"/>
  <c r="C146"/>
  <c r="B146"/>
  <c r="AF145" s="1"/>
  <c r="L145"/>
  <c r="AF144"/>
  <c r="L144"/>
  <c r="AF143"/>
  <c r="AE143"/>
  <c r="AD143"/>
  <c r="AC143"/>
  <c r="AB143"/>
  <c r="U143"/>
  <c r="T143"/>
  <c r="P143"/>
  <c r="L143"/>
  <c r="K143"/>
  <c r="J143"/>
  <c r="I143"/>
  <c r="H143"/>
  <c r="G143"/>
  <c r="F143"/>
  <c r="E143"/>
  <c r="D143"/>
  <c r="C143"/>
  <c r="B143"/>
  <c r="AF142" s="1"/>
  <c r="L142"/>
  <c r="AF141"/>
  <c r="L141"/>
  <c r="AF140" s="1"/>
  <c r="AE140" s="1"/>
  <c r="AD140" s="1"/>
  <c r="AC140"/>
  <c r="AB140" s="1"/>
  <c r="U140" s="1"/>
  <c r="T140" s="1"/>
  <c r="P140"/>
  <c r="L140"/>
  <c r="K140" s="1"/>
  <c r="J140" s="1"/>
  <c r="I140"/>
  <c r="H140" s="1"/>
  <c r="G140" s="1"/>
  <c r="F140" s="1"/>
  <c r="E140"/>
  <c r="D140" s="1"/>
  <c r="C140" s="1"/>
  <c r="B140" s="1"/>
  <c r="AF139"/>
  <c r="L139"/>
  <c r="AF138"/>
  <c r="AE138"/>
  <c r="AD138"/>
  <c r="AC138"/>
  <c r="AB138"/>
  <c r="U138"/>
  <c r="T138"/>
  <c r="P138"/>
  <c r="L138"/>
  <c r="K138"/>
  <c r="J138"/>
  <c r="I138"/>
  <c r="H138"/>
  <c r="G138"/>
  <c r="F138"/>
  <c r="E138"/>
  <c r="D138"/>
  <c r="C138"/>
  <c r="B138"/>
  <c r="AF137" s="1"/>
  <c r="L137"/>
  <c r="AF136" s="1"/>
  <c r="L136"/>
  <c r="AF135" s="1"/>
  <c r="L135"/>
  <c r="AF134"/>
  <c r="AE134"/>
  <c r="AD134" s="1"/>
  <c r="AC134" s="1"/>
  <c r="AB134" s="1"/>
  <c r="U134"/>
  <c r="T134" s="1"/>
  <c r="P134" s="1"/>
  <c r="L134"/>
  <c r="K134"/>
  <c r="J134" s="1"/>
  <c r="I134" s="1"/>
  <c r="H134" s="1"/>
  <c r="G134"/>
  <c r="F134" s="1"/>
  <c r="E134" s="1"/>
  <c r="D134" s="1"/>
  <c r="C134"/>
  <c r="B134" s="1"/>
  <c r="AF133"/>
  <c r="L133"/>
  <c r="AF132" s="1"/>
  <c r="AE132"/>
  <c r="AD132"/>
  <c r="AC132"/>
  <c r="AB132"/>
  <c r="U132"/>
  <c r="T132"/>
  <c r="P132"/>
  <c r="L132"/>
  <c r="K132"/>
  <c r="J132"/>
  <c r="I132"/>
  <c r="H132"/>
  <c r="G132"/>
  <c r="F132"/>
  <c r="E132"/>
  <c r="D132"/>
  <c r="C132"/>
  <c r="B132"/>
  <c r="AF131" s="1"/>
  <c r="L131"/>
  <c r="AF130"/>
  <c r="AE130"/>
  <c r="AD130"/>
  <c r="AC130"/>
  <c r="AB130"/>
  <c r="U130"/>
  <c r="T130"/>
  <c r="P130"/>
  <c r="L130" s="1"/>
  <c r="K130"/>
  <c r="J130"/>
  <c r="I130"/>
  <c r="H130"/>
  <c r="G130"/>
  <c r="F130"/>
  <c r="E130"/>
  <c r="D130"/>
  <c r="C130"/>
  <c r="B130"/>
  <c r="AF129"/>
  <c r="L129"/>
  <c r="AF128"/>
  <c r="L128"/>
  <c r="AF127"/>
  <c r="L127"/>
  <c r="AF126"/>
  <c r="L126"/>
  <c r="AF125"/>
  <c r="L125"/>
  <c r="AF124"/>
  <c r="L124"/>
  <c r="AK123" s="1"/>
  <c r="AJ123"/>
  <c r="AI123"/>
  <c r="AH123"/>
  <c r="AG123"/>
  <c r="AF123"/>
  <c r="AE123" s="1"/>
  <c r="AD123" s="1"/>
  <c r="AC123"/>
  <c r="AB123"/>
  <c r="AA123" s="1"/>
  <c r="Z123" s="1"/>
  <c r="Y123" s="1"/>
  <c r="X123" s="1"/>
  <c r="W123" s="1"/>
  <c r="V123"/>
  <c r="U123" s="1"/>
  <c r="T123" s="1"/>
  <c r="S123" s="1"/>
  <c r="R123" s="1"/>
  <c r="Q123"/>
  <c r="P123"/>
  <c r="O123" s="1"/>
  <c r="N123" s="1"/>
  <c r="M123"/>
  <c r="L123"/>
  <c r="K123" s="1"/>
  <c r="J123"/>
  <c r="I123" s="1"/>
  <c r="H123" s="1"/>
  <c r="G123" s="1"/>
  <c r="F123" s="1"/>
  <c r="E123" s="1"/>
  <c r="D123"/>
  <c r="C123" s="1"/>
  <c r="B123" s="1"/>
  <c r="AF122" s="1"/>
  <c r="AE122"/>
  <c r="AD122" s="1"/>
  <c r="AC122" s="1"/>
  <c r="AB122" s="1"/>
  <c r="U122"/>
  <c r="T122" s="1"/>
  <c r="P122" s="1"/>
  <c r="L122"/>
  <c r="K122" s="1"/>
  <c r="J122" s="1"/>
  <c r="I122" s="1"/>
  <c r="H122" s="1"/>
  <c r="G122" s="1"/>
  <c r="F122" s="1"/>
  <c r="E122" s="1"/>
  <c r="D122" s="1"/>
  <c r="C122" s="1"/>
  <c r="B122" s="1"/>
  <c r="AF121"/>
  <c r="AE121" s="1"/>
  <c r="AD121"/>
  <c r="AC121" s="1"/>
  <c r="AB121"/>
  <c r="U121" s="1"/>
  <c r="T121"/>
  <c r="P121" s="1"/>
  <c r="L121"/>
  <c r="K121" s="1"/>
  <c r="J121"/>
  <c r="I121" s="1"/>
  <c r="H121"/>
  <c r="G121" s="1"/>
  <c r="F121"/>
  <c r="E121" s="1"/>
  <c r="D121"/>
  <c r="C121" s="1"/>
  <c r="B121"/>
  <c r="AF120" s="1"/>
  <c r="L120"/>
  <c r="AF119" s="1"/>
  <c r="L119"/>
  <c r="AF118"/>
  <c r="AE118"/>
  <c r="AD118"/>
  <c r="AC118"/>
  <c r="AB118"/>
  <c r="U118"/>
  <c r="T118"/>
  <c r="P118"/>
  <c r="L118" s="1"/>
  <c r="K118"/>
  <c r="J118"/>
  <c r="I118"/>
  <c r="H118"/>
  <c r="G118"/>
  <c r="F118"/>
  <c r="E118"/>
  <c r="D118"/>
  <c r="C118"/>
  <c r="B118"/>
  <c r="AF117"/>
  <c r="L117"/>
  <c r="AF116" s="1"/>
  <c r="AE116"/>
  <c r="AD116"/>
  <c r="AC116"/>
  <c r="AB116"/>
  <c r="U116"/>
  <c r="T116"/>
  <c r="P116"/>
  <c r="L116"/>
  <c r="K116"/>
  <c r="J116"/>
  <c r="I116"/>
  <c r="H116"/>
  <c r="G116"/>
  <c r="F116"/>
  <c r="E116"/>
  <c r="D116"/>
  <c r="C116"/>
  <c r="B116"/>
  <c r="AF115" s="1"/>
  <c r="L115"/>
  <c r="AF114"/>
  <c r="L114"/>
  <c r="AI113"/>
  <c r="AF113" s="1"/>
  <c r="AE113"/>
  <c r="AD113"/>
  <c r="AC113"/>
  <c r="AB113"/>
  <c r="U113"/>
  <c r="T113"/>
  <c r="P113"/>
  <c r="L113" s="1"/>
  <c r="K113"/>
  <c r="J113"/>
  <c r="I113"/>
  <c r="H113"/>
  <c r="G113"/>
  <c r="F113"/>
  <c r="E113"/>
  <c r="D113"/>
  <c r="C113"/>
  <c r="B113"/>
  <c r="AF112"/>
  <c r="L112"/>
  <c r="AF111"/>
  <c r="L111"/>
  <c r="AF110"/>
  <c r="L110"/>
  <c r="AF109"/>
  <c r="L109"/>
  <c r="AK108"/>
  <c r="AI108"/>
  <c r="AF108"/>
  <c r="AE108"/>
  <c r="AD108"/>
  <c r="AC108"/>
  <c r="AB108"/>
  <c r="U108"/>
  <c r="T108"/>
  <c r="P108"/>
  <c r="L108"/>
  <c r="K108"/>
  <c r="J108"/>
  <c r="I108"/>
  <c r="H108"/>
  <c r="G108"/>
  <c r="F108"/>
  <c r="E108"/>
  <c r="D108"/>
  <c r="C108"/>
  <c r="B108"/>
  <c r="AF107"/>
  <c r="AB107"/>
  <c r="AA107"/>
  <c r="L107"/>
  <c r="AF106"/>
  <c r="AB106"/>
  <c r="L106"/>
  <c r="AF105"/>
  <c r="AB105"/>
  <c r="L105"/>
  <c r="AF104" s="1"/>
  <c r="L104"/>
  <c r="AF103"/>
  <c r="AE103"/>
  <c r="AD103" s="1"/>
  <c r="AC103"/>
  <c r="AB103" s="1"/>
  <c r="U103"/>
  <c r="T103" s="1"/>
  <c r="P103"/>
  <c r="L103" s="1"/>
  <c r="K103"/>
  <c r="J103" s="1"/>
  <c r="I103"/>
  <c r="H103" s="1"/>
  <c r="G103"/>
  <c r="F103" s="1"/>
  <c r="E103"/>
  <c r="D103" s="1"/>
  <c r="C103"/>
  <c r="B103" s="1"/>
  <c r="AF102"/>
  <c r="L102"/>
  <c r="AF101"/>
  <c r="L101"/>
  <c r="AF100"/>
  <c r="L100"/>
  <c r="AF99"/>
  <c r="AE99"/>
  <c r="AD99"/>
  <c r="AC99"/>
  <c r="AB99"/>
  <c r="U99"/>
  <c r="T99"/>
  <c r="P99"/>
  <c r="L99"/>
  <c r="K99"/>
  <c r="J99"/>
  <c r="I99"/>
  <c r="H99"/>
  <c r="G99"/>
  <c r="F99"/>
  <c r="E99"/>
  <c r="D99"/>
  <c r="C99"/>
  <c r="B99"/>
  <c r="AF98" s="1"/>
  <c r="L98"/>
  <c r="AF97"/>
  <c r="AF96"/>
  <c r="L96"/>
  <c r="AK95"/>
  <c r="AI95"/>
  <c r="AF95"/>
  <c r="AE95"/>
  <c r="AD95" s="1"/>
  <c r="AC95"/>
  <c r="AB95" s="1"/>
  <c r="U95" s="1"/>
  <c r="T95" s="1"/>
  <c r="P95"/>
  <c r="L95"/>
  <c r="K95" s="1"/>
  <c r="J95" s="1"/>
  <c r="I95"/>
  <c r="H95"/>
  <c r="G95" s="1"/>
  <c r="F95" s="1"/>
  <c r="E95"/>
  <c r="D95"/>
  <c r="C95" s="1"/>
  <c r="B95" s="1"/>
  <c r="AF94" s="1"/>
  <c r="AE94"/>
  <c r="AD94"/>
  <c r="AC94"/>
  <c r="AB94"/>
  <c r="U94"/>
  <c r="T94"/>
  <c r="P94"/>
  <c r="L94"/>
  <c r="K94"/>
  <c r="J94"/>
  <c r="I94"/>
  <c r="H94"/>
  <c r="G94"/>
  <c r="F94"/>
  <c r="E94"/>
  <c r="D94"/>
  <c r="C94"/>
  <c r="B94"/>
  <c r="AF93" s="1"/>
  <c r="L93"/>
  <c r="AF92"/>
  <c r="L92"/>
  <c r="AF91" s="1"/>
  <c r="L91"/>
  <c r="AF90" s="1"/>
  <c r="AE90"/>
  <c r="AD90"/>
  <c r="AC90"/>
  <c r="AB90"/>
  <c r="U90"/>
  <c r="T90"/>
  <c r="P90"/>
  <c r="L90" s="1"/>
  <c r="K90"/>
  <c r="J90"/>
  <c r="I90"/>
  <c r="H90"/>
  <c r="G90"/>
  <c r="F90"/>
  <c r="E90"/>
  <c r="D90"/>
  <c r="C90"/>
  <c r="B90"/>
  <c r="AF89"/>
  <c r="L89"/>
  <c r="AF88" s="1"/>
  <c r="AB88"/>
  <c r="U88"/>
  <c r="T88"/>
  <c r="P88"/>
  <c r="L88"/>
  <c r="K88"/>
  <c r="J88"/>
  <c r="I88"/>
  <c r="H88"/>
  <c r="G88"/>
  <c r="F88"/>
  <c r="E88"/>
  <c r="D88"/>
  <c r="C88"/>
  <c r="B88"/>
  <c r="AF87" s="1"/>
  <c r="L87"/>
  <c r="AF86" s="1"/>
  <c r="AB86"/>
  <c r="U86"/>
  <c r="T86"/>
  <c r="P86"/>
  <c r="L86" s="1"/>
  <c r="K86"/>
  <c r="J86"/>
  <c r="I86"/>
  <c r="H86"/>
  <c r="G86"/>
  <c r="F86"/>
  <c r="E86"/>
  <c r="D86"/>
  <c r="C86"/>
  <c r="B86"/>
  <c r="AF85"/>
  <c r="L85"/>
  <c r="AF84" s="1"/>
  <c r="AB84"/>
  <c r="U84"/>
  <c r="T84"/>
  <c r="P84"/>
  <c r="L84"/>
  <c r="K84"/>
  <c r="J84"/>
  <c r="I84"/>
  <c r="H84"/>
  <c r="G84"/>
  <c r="F84"/>
  <c r="E84"/>
  <c r="D84"/>
  <c r="C84"/>
  <c r="B84"/>
  <c r="AF83" s="1"/>
  <c r="L83"/>
  <c r="AF82"/>
  <c r="AC82"/>
  <c r="AB82"/>
  <c r="U82"/>
  <c r="T82"/>
  <c r="P82"/>
  <c r="L82" s="1"/>
  <c r="K82"/>
  <c r="J82"/>
  <c r="I82"/>
  <c r="H82"/>
  <c r="G82"/>
  <c r="F82"/>
  <c r="E82"/>
  <c r="D82"/>
  <c r="C82"/>
  <c r="B82"/>
  <c r="AF81"/>
  <c r="L81"/>
  <c r="AK80" s="1"/>
  <c r="AI80" s="1"/>
  <c r="AH80"/>
  <c r="AF80"/>
  <c r="AE80"/>
  <c r="AD80"/>
  <c r="AC80"/>
  <c r="AB80" s="1"/>
  <c r="AA80"/>
  <c r="Z80"/>
  <c r="Y80"/>
  <c r="X80" s="1"/>
  <c r="W80" s="1"/>
  <c r="V80" s="1"/>
  <c r="U80"/>
  <c r="T80"/>
  <c r="S80" s="1"/>
  <c r="R80"/>
  <c r="Q80"/>
  <c r="P80"/>
  <c r="O80" s="1"/>
  <c r="N80" s="1"/>
  <c r="M80"/>
  <c r="L80"/>
  <c r="K80" s="1"/>
  <c r="J80" s="1"/>
  <c r="I80" s="1"/>
  <c r="H80"/>
  <c r="G80" s="1"/>
  <c r="F80" s="1"/>
  <c r="E80" s="1"/>
  <c r="D80"/>
  <c r="C80" s="1"/>
  <c r="B80" s="1"/>
  <c r="AF79"/>
  <c r="AE79" s="1"/>
  <c r="AD79"/>
  <c r="AC79" s="1"/>
  <c r="AB79"/>
  <c r="AA79"/>
  <c r="Z79"/>
  <c r="Y79" s="1"/>
  <c r="X79" s="1"/>
  <c r="W79" s="1"/>
  <c r="V79"/>
  <c r="U79" s="1"/>
  <c r="T79"/>
  <c r="S79" s="1"/>
  <c r="R79"/>
  <c r="Q79" s="1"/>
  <c r="P79" s="1"/>
  <c r="O79"/>
  <c r="N79"/>
  <c r="M79" s="1"/>
  <c r="L79"/>
  <c r="K79"/>
  <c r="J79"/>
  <c r="I79" s="1"/>
  <c r="H79" s="1"/>
  <c r="G79" s="1"/>
  <c r="F79"/>
  <c r="E79" s="1"/>
  <c r="D79" s="1"/>
  <c r="C79" s="1"/>
  <c r="B79"/>
  <c r="AF78" s="1"/>
  <c r="AE78"/>
  <c r="AD78"/>
  <c r="AC78"/>
  <c r="AB78" s="1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AF77" s="1"/>
  <c r="T77" s="1"/>
  <c r="L77"/>
  <c r="AF76"/>
  <c r="AB76"/>
  <c r="T76" s="1"/>
  <c r="L76"/>
  <c r="AF75" s="1"/>
  <c r="T75" s="1"/>
  <c r="L75"/>
  <c r="AF74"/>
  <c r="T74"/>
  <c r="L74"/>
  <c r="AF73"/>
  <c r="T73" s="1"/>
  <c r="L73"/>
  <c r="AF72" s="1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AF71" s="1"/>
  <c r="T71"/>
  <c r="L71"/>
  <c r="AF70" s="1"/>
  <c r="T70"/>
  <c r="L70"/>
  <c r="AF69" s="1"/>
  <c r="AB69" s="1"/>
  <c r="AA69" s="1"/>
  <c r="T69"/>
  <c r="P69" s="1"/>
  <c r="O69" s="1"/>
  <c r="L69" s="1"/>
  <c r="K69"/>
  <c r="AF68" s="1"/>
  <c r="AE68" s="1"/>
  <c r="AD68"/>
  <c r="AC68"/>
  <c r="AB68" s="1"/>
  <c r="AA68" s="1"/>
  <c r="Z68"/>
  <c r="Y68"/>
  <c r="X68" s="1"/>
  <c r="W68" s="1"/>
  <c r="V68"/>
  <c r="U68"/>
  <c r="T68" s="1"/>
  <c r="S68" s="1"/>
  <c r="R68"/>
  <c r="Q68"/>
  <c r="P68" s="1"/>
  <c r="O68" s="1"/>
  <c r="N68"/>
  <c r="M68"/>
  <c r="L68" s="1"/>
  <c r="K68" s="1"/>
  <c r="J68"/>
  <c r="I68" s="1"/>
  <c r="H68" s="1"/>
  <c r="G68" s="1"/>
  <c r="F68" s="1"/>
  <c r="E68"/>
  <c r="D68" s="1"/>
  <c r="C68" s="1"/>
  <c r="B68"/>
  <c r="AF67"/>
  <c r="P67"/>
  <c r="L67"/>
  <c r="AF66" s="1"/>
  <c r="AE66"/>
  <c r="AD66"/>
  <c r="AC66"/>
  <c r="AB66" s="1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AF65" s="1"/>
  <c r="AB65"/>
  <c r="T65"/>
  <c r="P65"/>
  <c r="L65"/>
  <c r="AF64"/>
  <c r="AB64"/>
  <c r="T64"/>
  <c r="P64"/>
  <c r="L64"/>
  <c r="AF63"/>
  <c r="AE63" s="1"/>
  <c r="AD63" s="1"/>
  <c r="AC63"/>
  <c r="AB63"/>
  <c r="AA63"/>
  <c r="Z63" s="1"/>
  <c r="Y63" s="1"/>
  <c r="X63" s="1"/>
  <c r="W63" s="1"/>
  <c r="V63" s="1"/>
  <c r="U63" s="1"/>
  <c r="T63" s="1"/>
  <c r="S63" s="1"/>
  <c r="R63" s="1"/>
  <c r="Q63" s="1"/>
  <c r="P63"/>
  <c r="O63"/>
  <c r="N63" s="1"/>
  <c r="M63" s="1"/>
  <c r="L63"/>
  <c r="K63"/>
  <c r="J63"/>
  <c r="I63"/>
  <c r="H63" s="1"/>
  <c r="G63"/>
  <c r="F63"/>
  <c r="E63"/>
  <c r="D63" s="1"/>
  <c r="C63"/>
  <c r="B63"/>
  <c r="AF62" s="1"/>
  <c r="AB62"/>
  <c r="T62"/>
  <c r="P62"/>
  <c r="L62"/>
  <c r="AF61"/>
  <c r="AE61"/>
  <c r="AD61"/>
  <c r="AC61"/>
  <c r="AB61"/>
  <c r="AA61"/>
  <c r="Z61"/>
  <c r="Y61"/>
  <c r="X61"/>
  <c r="W61"/>
  <c r="V61"/>
  <c r="U61"/>
  <c r="T61" s="1"/>
  <c r="S61"/>
  <c r="R61"/>
  <c r="Q61"/>
  <c r="P61" s="1"/>
  <c r="O61"/>
  <c r="N61"/>
  <c r="M61"/>
  <c r="L61"/>
  <c r="K61"/>
  <c r="J61"/>
  <c r="I61"/>
  <c r="H61"/>
  <c r="G61"/>
  <c r="F61"/>
  <c r="E61"/>
  <c r="D61"/>
  <c r="C61"/>
  <c r="B61"/>
  <c r="AF60"/>
  <c r="AB60"/>
  <c r="L60"/>
  <c r="AF59"/>
  <c r="AB59"/>
  <c r="T59"/>
  <c r="P59"/>
  <c r="L59"/>
  <c r="AF58" s="1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AF57"/>
  <c r="AB57"/>
  <c r="T57"/>
  <c r="P57"/>
  <c r="L57"/>
  <c r="AF56" s="1"/>
  <c r="AB56"/>
  <c r="T56"/>
  <c r="P56"/>
  <c r="L56"/>
  <c r="AF55"/>
  <c r="AB55"/>
  <c r="T55"/>
  <c r="P55"/>
  <c r="L55"/>
  <c r="AF54"/>
  <c r="AB54"/>
  <c r="T54"/>
  <c r="P54"/>
  <c r="L54"/>
  <c r="AF53" s="1"/>
  <c r="AB53"/>
  <c r="T53"/>
  <c r="P53"/>
  <c r="L53"/>
  <c r="AF52"/>
  <c r="AE52"/>
  <c r="AD52"/>
  <c r="AC52"/>
  <c r="AB52"/>
  <c r="AA52"/>
  <c r="Z52"/>
  <c r="Y52"/>
  <c r="X52"/>
  <c r="W52"/>
  <c r="V52"/>
  <c r="U52"/>
  <c r="T52" s="1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AF51"/>
  <c r="AB51"/>
  <c r="T51"/>
  <c r="P51"/>
  <c r="L51"/>
  <c r="AF50"/>
  <c r="AB50"/>
  <c r="T50"/>
  <c r="P50"/>
  <c r="L50"/>
  <c r="AF49"/>
  <c r="AB49"/>
  <c r="T49"/>
  <c r="P49"/>
  <c r="L49"/>
  <c r="AF48"/>
  <c r="AB48"/>
  <c r="T48"/>
  <c r="P48"/>
  <c r="L48"/>
  <c r="AF47" s="1"/>
  <c r="AE47" s="1"/>
  <c r="AD47" s="1"/>
  <c r="AC47" s="1"/>
  <c r="AB47" s="1"/>
  <c r="AA47" s="1"/>
  <c r="Z47" s="1"/>
  <c r="Y47" s="1"/>
  <c r="X47" s="1"/>
  <c r="W47"/>
  <c r="V47"/>
  <c r="U47" s="1"/>
  <c r="T47" s="1"/>
  <c r="S47" s="1"/>
  <c r="R47" s="1"/>
  <c r="Q47" s="1"/>
  <c r="P47" s="1"/>
  <c r="O47" s="1"/>
  <c r="N47"/>
  <c r="M47" s="1"/>
  <c r="L47" s="1"/>
  <c r="K47" s="1"/>
  <c r="J47" s="1"/>
  <c r="I47" s="1"/>
  <c r="H47" s="1"/>
  <c r="G47" s="1"/>
  <c r="F47" s="1"/>
  <c r="E47" s="1"/>
  <c r="D47" s="1"/>
  <c r="C47" s="1"/>
  <c r="B47" s="1"/>
  <c r="AF46"/>
  <c r="AB46"/>
  <c r="T46"/>
  <c r="P46"/>
  <c r="L46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AF44"/>
  <c r="AB44"/>
  <c r="T44"/>
  <c r="P44"/>
  <c r="L44"/>
  <c r="AF43"/>
  <c r="AB43"/>
  <c r="T43"/>
  <c r="P43"/>
  <c r="L43"/>
  <c r="AF42"/>
  <c r="AB42"/>
  <c r="T42"/>
  <c r="P42"/>
  <c r="L42"/>
  <c r="AF41"/>
  <c r="L41"/>
  <c r="AF40" s="1"/>
  <c r="AE40" s="1"/>
  <c r="AD40" s="1"/>
  <c r="AC40" s="1"/>
  <c r="AB40" s="1"/>
  <c r="AA40"/>
  <c r="Z40"/>
  <c r="Y40" s="1"/>
  <c r="X40" s="1"/>
  <c r="W40" s="1"/>
  <c r="V40" s="1"/>
  <c r="U40" s="1"/>
  <c r="T40"/>
  <c r="S40"/>
  <c r="R40"/>
  <c r="Q40" s="1"/>
  <c r="P40" s="1"/>
  <c r="O40"/>
  <c r="N40" s="1"/>
  <c r="M40" s="1"/>
  <c r="L40"/>
  <c r="K40"/>
  <c r="J40" s="1"/>
  <c r="I40" s="1"/>
  <c r="H40" s="1"/>
  <c r="G40" s="1"/>
  <c r="F40" s="1"/>
  <c r="E40" s="1"/>
  <c r="D40" s="1"/>
  <c r="C40" s="1"/>
  <c r="B40" s="1"/>
  <c r="AF39"/>
  <c r="AE39"/>
  <c r="AD39"/>
  <c r="AC39"/>
  <c r="AB39" s="1"/>
  <c r="AA39"/>
  <c r="Z39"/>
  <c r="Y39"/>
  <c r="X39"/>
  <c r="W39"/>
  <c r="V39"/>
  <c r="U39"/>
  <c r="T39" s="1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AF38"/>
  <c r="AB38"/>
  <c r="T38"/>
  <c r="P38"/>
  <c r="L38"/>
  <c r="AF37"/>
  <c r="AB37"/>
  <c r="T37"/>
  <c r="P37"/>
  <c r="L37"/>
  <c r="AF36" s="1"/>
  <c r="AB36"/>
  <c r="T36"/>
  <c r="P36"/>
  <c r="L36"/>
  <c r="AF35"/>
  <c r="AB35"/>
  <c r="T35"/>
  <c r="P35"/>
  <c r="L35"/>
  <c r="AF34"/>
  <c r="AB34"/>
  <c r="T34"/>
  <c r="P34"/>
  <c r="L34"/>
  <c r="AF33"/>
  <c r="AB33"/>
  <c r="T33"/>
  <c r="P33"/>
  <c r="L33"/>
  <c r="AF32" s="1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AF31" s="1"/>
  <c r="AB31"/>
  <c r="T31"/>
  <c r="P31"/>
  <c r="L31"/>
  <c r="AF30"/>
  <c r="AB30"/>
  <c r="T30"/>
  <c r="P30"/>
  <c r="L30"/>
  <c r="AF29"/>
  <c r="AB29"/>
  <c r="T29"/>
  <c r="P29"/>
  <c r="L29"/>
  <c r="AF28" s="1"/>
  <c r="AB28"/>
  <c r="T28"/>
  <c r="P28"/>
  <c r="L28"/>
  <c r="AF27"/>
  <c r="AB27"/>
  <c r="T27"/>
  <c r="P27"/>
  <c r="L27"/>
  <c r="AK26"/>
  <c r="AI26" s="1"/>
  <c r="AF26"/>
  <c r="AE26"/>
  <c r="AD26"/>
  <c r="AC26"/>
  <c r="AB26"/>
  <c r="AA26"/>
  <c r="Z26"/>
  <c r="Y26"/>
  <c r="X26"/>
  <c r="W26"/>
  <c r="V26"/>
  <c r="U26"/>
  <c r="T26"/>
  <c r="S26" s="1"/>
  <c r="R26" s="1"/>
  <c r="Q26"/>
  <c r="P26"/>
  <c r="O26"/>
  <c r="N26"/>
  <c r="M26"/>
  <c r="L26"/>
  <c r="K26"/>
  <c r="J26"/>
  <c r="I26"/>
  <c r="H26"/>
  <c r="G26"/>
  <c r="F26"/>
  <c r="E26"/>
  <c r="D26"/>
  <c r="C26"/>
  <c r="B26"/>
  <c r="AF25"/>
  <c r="AB25"/>
  <c r="T25"/>
  <c r="P25"/>
  <c r="L25"/>
  <c r="AF24"/>
  <c r="AB24"/>
  <c r="T24"/>
  <c r="P24"/>
  <c r="L24"/>
  <c r="AF23"/>
  <c r="AB23"/>
  <c r="T23"/>
  <c r="P23"/>
  <c r="L23"/>
  <c r="AF22"/>
  <c r="AB22"/>
  <c r="T22"/>
  <c r="P22"/>
  <c r="L22"/>
  <c r="AF21"/>
  <c r="AB21"/>
  <c r="T21"/>
  <c r="P21"/>
  <c r="L21"/>
  <c r="AF20"/>
  <c r="AB20"/>
  <c r="T20"/>
  <c r="P20"/>
  <c r="L20"/>
  <c r="AF19" s="1"/>
  <c r="AB19"/>
  <c r="AA19"/>
  <c r="Z19"/>
  <c r="Y19"/>
  <c r="X19"/>
  <c r="W19"/>
  <c r="V19"/>
  <c r="T19"/>
  <c r="S19"/>
  <c r="R19"/>
  <c r="Q19"/>
  <c r="P19"/>
  <c r="N19"/>
  <c r="M19"/>
  <c r="L19"/>
  <c r="K19"/>
  <c r="J19" s="1"/>
  <c r="I19"/>
  <c r="H19"/>
  <c r="G19"/>
  <c r="F19"/>
  <c r="E19"/>
  <c r="D19"/>
  <c r="C19"/>
  <c r="B19"/>
  <c r="AK18"/>
  <c r="AI18" s="1"/>
  <c r="AH18"/>
  <c r="AF18"/>
  <c r="AE18" s="1"/>
  <c r="AD18"/>
  <c r="AC18"/>
  <c r="AB18"/>
  <c r="AA18" s="1"/>
  <c r="Z18" s="1"/>
  <c r="Y18"/>
  <c r="X18"/>
  <c r="W18" s="1"/>
  <c r="V18"/>
  <c r="U18"/>
  <c r="T18"/>
  <c r="S18"/>
  <c r="R18" s="1"/>
  <c r="Q18"/>
  <c r="P18"/>
  <c r="O18"/>
  <c r="N18"/>
  <c r="M18"/>
  <c r="L18"/>
  <c r="K18" s="1"/>
  <c r="J18"/>
  <c r="I18"/>
  <c r="H18" s="1"/>
  <c r="G18" s="1"/>
  <c r="F18"/>
  <c r="E18"/>
  <c r="D18" s="1"/>
  <c r="C18" s="1"/>
  <c r="B18"/>
  <c r="AF17"/>
  <c r="AD17"/>
  <c r="AC17"/>
  <c r="AB17"/>
  <c r="AA17"/>
  <c r="Z17"/>
  <c r="Y17"/>
  <c r="X17"/>
  <c r="W17"/>
  <c r="V17"/>
  <c r="U17"/>
  <c r="T17" s="1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AF16" s="1"/>
  <c r="AB16"/>
  <c r="T16"/>
  <c r="P16"/>
  <c r="L16"/>
  <c r="AF15"/>
  <c r="AB15"/>
  <c r="T15"/>
  <c r="P15"/>
  <c r="L15"/>
  <c r="J15"/>
  <c r="AF14" s="1"/>
  <c r="AB14"/>
  <c r="T14"/>
  <c r="P14"/>
  <c r="L14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F12"/>
  <c r="AB12"/>
  <c r="T12"/>
  <c r="P12"/>
  <c r="L12"/>
  <c r="AF11" s="1"/>
  <c r="AB11"/>
  <c r="P11"/>
  <c r="L11"/>
  <c r="AF10"/>
  <c r="AB10"/>
  <c r="T10"/>
  <c r="P10"/>
  <c r="L10"/>
  <c r="I10"/>
  <c r="H10"/>
  <c r="G10"/>
  <c r="F10"/>
  <c r="E10"/>
  <c r="AF9"/>
  <c r="AB9"/>
  <c r="L9"/>
  <c r="AF8"/>
  <c r="AB8"/>
  <c r="T8"/>
  <c r="P8"/>
  <c r="L8"/>
  <c r="AF7"/>
  <c r="AB7"/>
  <c r="T7"/>
  <c r="P7"/>
  <c r="L7"/>
  <c r="AF6"/>
  <c r="AB6"/>
  <c r="T6"/>
  <c r="P6"/>
  <c r="L6"/>
  <c r="AF5"/>
  <c r="AB5"/>
  <c r="T5"/>
  <c r="P5"/>
  <c r="L5"/>
  <c r="AF4"/>
  <c r="AB4"/>
  <c r="Z4"/>
  <c r="Y4"/>
  <c r="X4"/>
  <c r="W4"/>
  <c r="T4"/>
  <c r="P4"/>
  <c r="M4"/>
  <c r="L4"/>
  <c r="K4"/>
  <c r="I4"/>
  <c r="H4"/>
  <c r="G4"/>
  <c r="F4"/>
  <c r="E4"/>
  <c r="C4"/>
  <c r="B4"/>
  <c r="C519" i="1"/>
  <c r="C518"/>
  <c r="C517" s="1"/>
  <c r="F513" s="1"/>
  <c r="F512" s="1"/>
  <c r="D512"/>
  <c r="E511" s="1"/>
  <c r="D511"/>
  <c r="E509" s="1"/>
  <c r="D509"/>
  <c r="E505" s="1"/>
  <c r="D505"/>
  <c r="E503" s="1"/>
  <c r="D503"/>
  <c r="F499" s="1"/>
  <c r="F498" s="1"/>
  <c r="C498"/>
  <c r="E497" s="1"/>
  <c r="C497"/>
  <c r="F491" s="1"/>
  <c r="F490" s="1"/>
  <c r="C490"/>
  <c r="E489" s="1"/>
  <c r="C489"/>
  <c r="F487" s="1"/>
  <c r="C487" s="1"/>
  <c r="E486"/>
  <c r="C486"/>
  <c r="F481"/>
  <c r="F480" s="1"/>
  <c r="C480" s="1"/>
  <c r="E479"/>
  <c r="C479"/>
  <c r="F477" s="1"/>
  <c r="C477" s="1"/>
  <c r="E476"/>
  <c r="C476"/>
  <c r="F474" s="1"/>
  <c r="C474" s="1"/>
  <c r="E473"/>
  <c r="C473"/>
  <c r="F468" s="1"/>
  <c r="F467" s="1"/>
  <c r="C467" s="1"/>
  <c r="E466"/>
  <c r="C466"/>
  <c r="F462" s="1"/>
  <c r="F461" s="1"/>
  <c r="D461" s="1"/>
  <c r="E460"/>
  <c r="D460"/>
  <c r="F456" s="1"/>
  <c r="F455" s="1"/>
  <c r="C455" s="1"/>
  <c r="E454"/>
  <c r="C454"/>
  <c r="F450" s="1"/>
  <c r="F449" s="1"/>
  <c r="C449"/>
  <c r="F445" s="1"/>
  <c r="F444" s="1"/>
  <c r="C444" s="1"/>
  <c r="E443"/>
  <c r="C443"/>
  <c r="F439" s="1"/>
  <c r="F438" s="1"/>
  <c r="C438"/>
  <c r="E437" s="1"/>
  <c r="C437"/>
  <c r="F433" s="1"/>
  <c r="F432" s="1"/>
  <c r="C432"/>
  <c r="E431" s="1"/>
  <c r="C431"/>
  <c r="E429" s="1"/>
  <c r="C429"/>
  <c r="F425"/>
  <c r="F424" s="1"/>
  <c r="C424"/>
  <c r="E423"/>
  <c r="E422"/>
  <c r="F421" s="1"/>
  <c r="C421" s="1"/>
  <c r="E420"/>
  <c r="C420"/>
  <c r="F418" s="1"/>
  <c r="C418"/>
  <c r="E417" s="1"/>
  <c r="C417"/>
  <c r="E415" s="1"/>
  <c r="C415"/>
  <c r="E411" s="1"/>
  <c r="C411"/>
  <c r="E409" s="1"/>
  <c r="C409"/>
  <c r="F407" s="1"/>
  <c r="C407"/>
  <c r="E406" s="1"/>
  <c r="C406"/>
  <c r="F402" s="1"/>
  <c r="C402"/>
  <c r="E401" s="1"/>
  <c r="C401"/>
  <c r="F396" s="1"/>
  <c r="F395" s="1"/>
  <c r="C395"/>
  <c r="E394" s="1"/>
  <c r="C394"/>
  <c r="E392" s="1"/>
  <c r="C392"/>
  <c r="F390" s="1"/>
  <c r="C390" s="1"/>
  <c r="E389"/>
  <c r="C389"/>
  <c r="F387" s="1"/>
  <c r="C387" s="1"/>
  <c r="E386"/>
  <c r="C386"/>
  <c r="F382" s="1"/>
  <c r="F381" s="1"/>
  <c r="C381"/>
  <c r="E380" s="1"/>
  <c r="C380"/>
  <c r="F376" s="1"/>
  <c r="F375" s="1"/>
  <c r="C375" s="1"/>
  <c r="E374"/>
  <c r="C374"/>
  <c r="F370" s="1"/>
  <c r="F369" s="1"/>
  <c r="D369" s="1"/>
  <c r="E368"/>
  <c r="D368"/>
  <c r="F366" s="1"/>
  <c r="F365" s="1"/>
  <c r="C365"/>
  <c r="E364" s="1"/>
  <c r="C364"/>
  <c r="E362" s="1"/>
  <c r="C362"/>
  <c r="E357" s="1"/>
  <c r="C357"/>
  <c r="E354" s="1"/>
  <c r="C354"/>
  <c r="F349" s="1"/>
  <c r="F348" s="1"/>
  <c r="D348" s="1"/>
  <c r="E347"/>
  <c r="D347"/>
  <c r="F345" s="1"/>
  <c r="F344" s="1"/>
  <c r="C344"/>
  <c r="E343" s="1"/>
  <c r="C343"/>
  <c r="E341" s="1"/>
  <c r="C341"/>
  <c r="E336" s="1"/>
  <c r="C336"/>
  <c r="E333" s="1"/>
  <c r="C333"/>
  <c r="F328" s="1"/>
  <c r="F327" s="1"/>
  <c r="C327" s="1"/>
  <c r="E326"/>
  <c r="C326"/>
  <c r="F322" s="1"/>
  <c r="F321" s="1"/>
  <c r="C321"/>
  <c r="E320" s="1"/>
  <c r="C320"/>
  <c r="E318" s="1"/>
  <c r="C318"/>
  <c r="F311" s="1"/>
  <c r="F310" s="1"/>
  <c r="C310"/>
  <c r="E309" s="1"/>
  <c r="C309"/>
  <c r="E307" s="1"/>
  <c r="C307"/>
  <c r="E303"/>
  <c r="C303"/>
  <c r="F299" s="1"/>
  <c r="F298" s="1"/>
  <c r="C298"/>
  <c r="E297" s="1"/>
  <c r="C297"/>
  <c r="E295" s="1"/>
  <c r="C295"/>
  <c r="E290" s="1"/>
  <c r="C290"/>
  <c r="E288" s="1"/>
  <c r="C288"/>
  <c r="F286" s="1"/>
  <c r="C286" s="1"/>
  <c r="E285"/>
  <c r="C285"/>
  <c r="F281" s="1"/>
  <c r="C281" s="1"/>
  <c r="E280"/>
  <c r="C280"/>
  <c r="F274" s="1"/>
  <c r="F273" s="1"/>
  <c r="D273"/>
  <c r="E272"/>
  <c r="E271"/>
  <c r="F270" s="1"/>
  <c r="F269" s="1"/>
  <c r="C269"/>
  <c r="E268"/>
  <c r="E267"/>
  <c r="F266" s="1"/>
  <c r="C266"/>
  <c r="E265" s="1"/>
  <c r="C265"/>
  <c r="E263" s="1"/>
  <c r="C263"/>
  <c r="E258" s="1"/>
  <c r="C258"/>
  <c r="E256" s="1"/>
  <c r="C256"/>
  <c r="F254" s="1"/>
  <c r="C254" s="1"/>
  <c r="E253"/>
  <c r="C253"/>
  <c r="F249" s="1"/>
  <c r="C249" s="1"/>
  <c r="E248"/>
  <c r="C248"/>
  <c r="F243" s="1"/>
  <c r="F242" s="1"/>
  <c r="C242"/>
  <c r="E241" s="1"/>
  <c r="C241"/>
  <c r="E239" s="1"/>
  <c r="C239"/>
  <c r="F234" s="1"/>
  <c r="F233" s="1"/>
  <c r="C233"/>
  <c r="E232" s="1"/>
  <c r="C232"/>
  <c r="E230" s="1"/>
  <c r="C230"/>
  <c r="F226" s="1"/>
  <c r="F225" s="1"/>
  <c r="C225"/>
  <c r="F220" s="1"/>
  <c r="F219" s="1"/>
  <c r="C219"/>
  <c r="E218"/>
  <c r="E217"/>
  <c r="F216" s="1"/>
  <c r="C216"/>
  <c r="E215"/>
  <c r="E214"/>
  <c r="E213"/>
  <c r="F212"/>
  <c r="C212"/>
  <c r="E211" s="1"/>
  <c r="C211"/>
  <c r="E209"/>
  <c r="C209"/>
  <c r="E207" s="1"/>
  <c r="C207"/>
  <c r="F203" s="1"/>
  <c r="F202" s="1"/>
  <c r="C202"/>
  <c r="E201" s="1"/>
  <c r="C201"/>
  <c r="E199" s="1"/>
  <c r="C199"/>
  <c r="F195"/>
  <c r="F194" s="1"/>
  <c r="D194"/>
  <c r="E193"/>
  <c r="F192" s="1"/>
  <c r="D192" s="1"/>
  <c r="E191"/>
  <c r="D191"/>
  <c r="F189"/>
  <c r="F188" s="1"/>
  <c r="C188"/>
  <c r="E187"/>
  <c r="E186"/>
  <c r="E185"/>
  <c r="F184" s="1"/>
  <c r="C184"/>
  <c r="E183" s="1"/>
  <c r="C183"/>
  <c r="E181" s="1"/>
  <c r="C181"/>
  <c r="F179" s="1"/>
  <c r="C179"/>
  <c r="E178"/>
  <c r="F177" s="1"/>
  <c r="C177"/>
  <c r="E176" s="1"/>
  <c r="C176"/>
  <c r="F171" s="1"/>
  <c r="F170" s="1"/>
  <c r="C170" s="1"/>
  <c r="E169"/>
  <c r="C169"/>
  <c r="F165" s="1"/>
  <c r="C165"/>
  <c r="E164" s="1"/>
  <c r="C164"/>
  <c r="F162" s="1"/>
  <c r="F161" s="1"/>
  <c r="D161"/>
  <c r="E160" s="1"/>
  <c r="D160"/>
  <c r="F156" s="1"/>
  <c r="F155" s="1"/>
  <c r="D155"/>
  <c r="E154"/>
  <c r="D154"/>
  <c r="F148" s="1"/>
  <c r="F147" s="1"/>
  <c r="C147"/>
  <c r="E146" s="1"/>
  <c r="C146"/>
  <c r="F142" s="1"/>
  <c r="F141" s="1"/>
  <c r="C141"/>
  <c r="E140" s="1"/>
  <c r="C140"/>
  <c r="E138" s="1"/>
  <c r="C138"/>
  <c r="E135"/>
  <c r="C135"/>
  <c r="F133" s="1"/>
  <c r="C133" s="1"/>
  <c r="E132"/>
  <c r="C132"/>
  <c r="F129" s="1"/>
  <c r="C129" s="1"/>
  <c r="E128"/>
  <c r="C128"/>
  <c r="F124" s="1"/>
  <c r="F123" s="1"/>
  <c r="D123"/>
  <c r="E122"/>
  <c r="F121" s="1"/>
  <c r="D121"/>
  <c r="E120"/>
  <c r="E119"/>
  <c r="E118"/>
  <c r="E117"/>
  <c r="F116"/>
  <c r="F115" s="1"/>
  <c r="C115"/>
  <c r="E114"/>
  <c r="E113"/>
  <c r="F112" s="1"/>
  <c r="C112"/>
  <c r="E111" s="1"/>
  <c r="C111"/>
  <c r="E109" s="1"/>
  <c r="C109"/>
  <c r="E103" s="1"/>
  <c r="C103"/>
  <c r="E100" s="1"/>
  <c r="C100"/>
  <c r="F97" s="1"/>
  <c r="C97"/>
  <c r="E96" s="1"/>
  <c r="C96"/>
  <c r="F94" s="1"/>
  <c r="C94"/>
  <c r="E93"/>
  <c r="C93"/>
  <c r="E91" s="1"/>
  <c r="C91"/>
  <c r="F87" s="1"/>
  <c r="F86" s="1"/>
  <c r="D86"/>
  <c r="E85"/>
  <c r="E84"/>
  <c r="F83"/>
  <c r="F82" s="1"/>
  <c r="C82"/>
  <c r="E81"/>
  <c r="E80"/>
  <c r="F79" s="1"/>
  <c r="C79"/>
  <c r="E78" s="1"/>
  <c r="C78"/>
  <c r="E76" s="1"/>
  <c r="C76"/>
  <c r="E72" s="1"/>
  <c r="C72"/>
  <c r="E69" s="1"/>
  <c r="C69"/>
  <c r="F67" s="1"/>
  <c r="C67"/>
  <c r="E66"/>
  <c r="C66"/>
  <c r="F62" s="1"/>
  <c r="C62"/>
  <c r="E61" s="1"/>
  <c r="C61"/>
  <c r="F55"/>
  <c r="F54"/>
  <c r="D54"/>
  <c r="E53"/>
  <c r="E52"/>
  <c r="E51"/>
  <c r="E50"/>
  <c r="F49" s="1"/>
  <c r="D49"/>
  <c r="E48"/>
  <c r="F47" s="1"/>
  <c r="D47"/>
  <c r="E46"/>
  <c r="F45" s="1"/>
  <c r="F44" s="1"/>
  <c r="C44"/>
  <c r="E43"/>
  <c r="E42"/>
  <c r="E41"/>
  <c r="E40"/>
  <c r="F39" s="1"/>
  <c r="C39"/>
  <c r="E38"/>
  <c r="E37"/>
  <c r="F36" s="1"/>
  <c r="C36"/>
  <c r="E35" s="1"/>
  <c r="C35"/>
  <c r="E32"/>
  <c r="C32"/>
  <c r="E30" s="1"/>
  <c r="C30"/>
  <c r="E26" s="1"/>
  <c r="C26"/>
  <c r="E23" s="1"/>
  <c r="C23"/>
  <c r="F20" s="1"/>
  <c r="C20"/>
  <c r="E19" s="1"/>
  <c r="C19"/>
  <c r="F15" s="1"/>
  <c r="C15"/>
  <c r="E14" s="1"/>
  <c r="C14"/>
  <c r="E10" s="1"/>
  <c r="C10"/>
  <c r="D18" i="8" l="1"/>
  <c r="C22" i="4"/>
  <c r="C8"/>
  <c r="C6" i="8" s="1"/>
  <c r="C30" i="4"/>
  <c r="C5" i="11" s="1"/>
  <c r="C126" i="4"/>
  <c r="C77"/>
  <c r="C81"/>
  <c r="C80" s="1"/>
  <c r="C140"/>
  <c r="D31" i="9"/>
  <c r="G32"/>
  <c r="D32"/>
  <c r="G29" i="8"/>
  <c r="D29"/>
  <c r="D145" i="4"/>
  <c r="C74"/>
  <c r="AB204" i="3"/>
  <c r="P6" i="21"/>
  <c r="C7" i="8"/>
  <c r="C54" i="4"/>
  <c r="P11" i="21" s="1"/>
  <c r="C69" i="4"/>
  <c r="C68" s="1"/>
  <c r="C67" s="1"/>
  <c r="C65" s="1"/>
  <c r="C18" i="9"/>
  <c r="F6" i="10"/>
  <c r="F11" s="1"/>
  <c r="C96" i="4"/>
  <c r="P20" i="21"/>
  <c r="O20" s="1"/>
  <c r="C110" i="4"/>
  <c r="C109" s="1"/>
  <c r="P22" i="21"/>
  <c r="C29" i="4"/>
  <c r="C48"/>
  <c r="C30" i="9"/>
  <c r="C135" i="4"/>
  <c r="C134" s="1"/>
  <c r="C133" s="1"/>
  <c r="C130" s="1"/>
  <c r="C145" s="1"/>
  <c r="N6" i="21" l="1"/>
  <c r="J6"/>
  <c r="F6"/>
  <c r="I6"/>
  <c r="K6"/>
  <c r="G6"/>
  <c r="C6"/>
  <c r="M6"/>
  <c r="L6"/>
  <c r="H6"/>
  <c r="D6"/>
  <c r="E6"/>
  <c r="C47" i="4"/>
  <c r="C37" s="1"/>
  <c r="P10" i="21"/>
  <c r="C8" i="9"/>
  <c r="C17" s="1"/>
  <c r="P8" i="21"/>
  <c r="C9" i="8"/>
  <c r="P21" i="21"/>
  <c r="F6" i="9"/>
  <c r="C108" i="4"/>
  <c r="C107" s="1"/>
  <c r="D64"/>
  <c r="C87"/>
  <c r="C95"/>
  <c r="P19" i="21"/>
  <c r="F9" i="8"/>
  <c r="E8" i="21" l="1"/>
  <c r="G8"/>
  <c r="K8"/>
  <c r="P9"/>
  <c r="C10" i="8"/>
  <c r="C18" s="1"/>
  <c r="E19" i="21"/>
  <c r="N19"/>
  <c r="J19"/>
  <c r="F19"/>
  <c r="K19"/>
  <c r="L19"/>
  <c r="H19"/>
  <c r="M19"/>
  <c r="G19"/>
  <c r="I19"/>
  <c r="P13"/>
  <c r="C151" i="4"/>
  <c r="C31" i="9"/>
  <c r="P5" i="21"/>
  <c r="O6"/>
  <c r="C94" i="4"/>
  <c r="F8" i="8"/>
  <c r="C64" i="4"/>
  <c r="K5" i="21" l="1"/>
  <c r="G5"/>
  <c r="C5"/>
  <c r="F5"/>
  <c r="L5"/>
  <c r="H5"/>
  <c r="D5"/>
  <c r="N5"/>
  <c r="M5"/>
  <c r="I5"/>
  <c r="E5"/>
  <c r="J5"/>
  <c r="N9"/>
  <c r="J9"/>
  <c r="F9"/>
  <c r="K9"/>
  <c r="G9"/>
  <c r="C9"/>
  <c r="L9"/>
  <c r="H9"/>
  <c r="I9"/>
  <c r="D9"/>
  <c r="M9"/>
  <c r="E9"/>
  <c r="P7"/>
  <c r="O8"/>
  <c r="C93" i="4"/>
  <c r="P17" i="21"/>
  <c r="F7" i="8"/>
  <c r="C88" i="4"/>
  <c r="D87" s="1"/>
  <c r="P18" i="21"/>
  <c r="O19"/>
  <c r="C28" i="8"/>
  <c r="D151" i="4" l="1"/>
  <c r="D88"/>
  <c r="J14" i="21"/>
  <c r="I14" s="1"/>
  <c r="N18"/>
  <c r="L18"/>
  <c r="H18"/>
  <c r="D18"/>
  <c r="M18"/>
  <c r="I18"/>
  <c r="E18"/>
  <c r="G18"/>
  <c r="J18"/>
  <c r="F18"/>
  <c r="K18"/>
  <c r="C18"/>
  <c r="N17"/>
  <c r="J17"/>
  <c r="F17"/>
  <c r="K17"/>
  <c r="G17"/>
  <c r="C17"/>
  <c r="L17"/>
  <c r="H17"/>
  <c r="D17"/>
  <c r="M17"/>
  <c r="I17"/>
  <c r="E17"/>
  <c r="L14"/>
  <c r="K14"/>
  <c r="D92" i="4"/>
  <c r="D125" s="1"/>
  <c r="D150" s="1"/>
  <c r="P16" i="21"/>
  <c r="C92" i="4"/>
  <c r="F6" i="8"/>
  <c r="O9" i="21"/>
  <c r="H14"/>
  <c r="G14"/>
  <c r="O5"/>
  <c r="O18" l="1"/>
  <c r="L16"/>
  <c r="H16"/>
  <c r="D16"/>
  <c r="D26" s="1"/>
  <c r="G16"/>
  <c r="M16"/>
  <c r="M26" s="1"/>
  <c r="L26" s="1"/>
  <c r="I16"/>
  <c r="I26" s="1"/>
  <c r="H26" s="1"/>
  <c r="E16"/>
  <c r="E26" s="1"/>
  <c r="J16"/>
  <c r="J26" s="1"/>
  <c r="F16"/>
  <c r="F26" s="1"/>
  <c r="N16"/>
  <c r="N26" s="1"/>
  <c r="K16"/>
  <c r="C16"/>
  <c r="O17"/>
  <c r="K26" l="1"/>
  <c r="C26"/>
  <c r="O16"/>
  <c r="G26"/>
  <c r="P25" l="1"/>
  <c r="O26"/>
  <c r="C123" i="4"/>
  <c r="C122" s="1"/>
  <c r="C124"/>
  <c r="C13" i="21"/>
  <c r="C14" s="1"/>
  <c r="C27" s="1"/>
  <c r="P12"/>
  <c r="Q14" s="1"/>
  <c r="G28" i="8"/>
  <c r="F26"/>
  <c r="F27" s="1"/>
  <c r="D146" i="4"/>
  <c r="F10" i="21"/>
  <c r="F14" s="1"/>
  <c r="F27" s="1"/>
  <c r="E14"/>
  <c r="E27" s="1"/>
  <c r="D14"/>
  <c r="D27" s="1"/>
  <c r="O10"/>
  <c r="F16" i="9"/>
  <c r="F17" s="1"/>
  <c r="F31" s="1"/>
  <c r="C9" i="11"/>
  <c r="C11"/>
  <c r="D27" i="8"/>
  <c r="D28" s="1"/>
  <c r="C27"/>
  <c r="G31" i="9"/>
  <c r="B32" i="14"/>
  <c r="M14" i="21"/>
  <c r="M27" s="1"/>
  <c r="N14"/>
  <c r="C121" i="4"/>
  <c r="L27" i="21"/>
  <c r="K27"/>
  <c r="J27"/>
  <c r="I27"/>
  <c r="H27"/>
  <c r="G27"/>
  <c r="N28" i="20"/>
  <c r="C125" i="4" l="1"/>
  <c r="C146" s="1"/>
  <c r="P24" i="21"/>
  <c r="Q26" s="1"/>
  <c r="F11" i="8"/>
  <c r="F18" s="1"/>
  <c r="C29" s="1"/>
  <c r="G33" i="9"/>
  <c r="D33"/>
  <c r="D30" i="8"/>
  <c r="G30"/>
  <c r="F32" i="9"/>
  <c r="F29" i="8"/>
  <c r="F28"/>
  <c r="F30" s="1"/>
  <c r="O13" i="21"/>
  <c r="C33" i="9"/>
  <c r="F33"/>
  <c r="C32"/>
  <c r="O14" i="21"/>
  <c r="O27" s="1"/>
  <c r="C150" i="4" l="1"/>
  <c r="C30" i="8"/>
</calcChain>
</file>

<file path=xl/sharedStrings.xml><?xml version="1.0" encoding="utf-8"?>
<sst xmlns="http://schemas.openxmlformats.org/spreadsheetml/2006/main" count="4080" uniqueCount="1254">
  <si>
    <t>Öttevény Község Önkormányzata</t>
  </si>
  <si>
    <t>A rovat, tétel megnevezése, indoklása</t>
  </si>
  <si>
    <t>Részletezés (Ft)</t>
  </si>
  <si>
    <t>Előirányzat rovatok (E Ft)</t>
  </si>
  <si>
    <t>kiadás</t>
  </si>
  <si>
    <t>bevétel</t>
  </si>
  <si>
    <t>011130 Önkormányzatok és önkormányzati hivatalok jogalkotó és általános igazgatási tevékenysége</t>
  </si>
  <si>
    <t>K1101</t>
  </si>
  <si>
    <t>K1103</t>
  </si>
  <si>
    <t>K1107</t>
  </si>
  <si>
    <t>Béren kívüli juttatás
1 fő éves: 149.009 Ft (kedvezményes adózással)</t>
  </si>
  <si>
    <t>K1109</t>
  </si>
  <si>
    <t>Közlekedési költségtérítés
1 fő (50%)*4.120 Ft*12 hó=49.440 Ft</t>
  </si>
  <si>
    <t>K1113</t>
  </si>
  <si>
    <t>K11</t>
  </si>
  <si>
    <t>Foglalkoztatottak személyi juttatása</t>
  </si>
  <si>
    <t>K121</t>
  </si>
  <si>
    <t>K122</t>
  </si>
  <si>
    <t>K123</t>
  </si>
  <si>
    <t>Egyéb külső személyi juttatások
Reprezentáció:  20.000 Ft</t>
  </si>
  <si>
    <t>K12</t>
  </si>
  <si>
    <t>Külső személyi juttatások</t>
  </si>
  <si>
    <t>K1</t>
  </si>
  <si>
    <t>Személyi juttatások</t>
  </si>
  <si>
    <t>K21</t>
  </si>
  <si>
    <t>K24</t>
  </si>
  <si>
    <t>Egészségügyi hozzájárulás
Cafetéria után fizetendő: 2 fő*24.616 Ft=49.232 Ft
Cégtelefon adó éves keret: 48.000 Ft
Reprezentáció után fizetendő: 20.000Ft*1,19*27%=6.426 Ft
Összesen: 103.658 Ft</t>
  </si>
  <si>
    <t>K27</t>
  </si>
  <si>
    <t>Munkáltatót terhelő személyi jövedelem adó
Cafetéria után fizetendő: 2 fő*26.375 Ft=52.750 Ft
Cégtelefon adó éves keret: 27.000 Ft
Reprezentáció után fizetendő: 20.000Ft*1,19*15%=3.570 Ft
Összesen: 83.320 Ft</t>
  </si>
  <si>
    <t>K2</t>
  </si>
  <si>
    <t>Munkaadókat terhelő járulékok és szociális hozzájárulási adó</t>
  </si>
  <si>
    <t>K311</t>
  </si>
  <si>
    <t>Szakmai anyag</t>
  </si>
  <si>
    <t>K312</t>
  </si>
  <si>
    <t>Üzemeltetési anyag:
Munkaruha: 22.500 Ft</t>
  </si>
  <si>
    <t>K31</t>
  </si>
  <si>
    <t>Készletbeszerzés</t>
  </si>
  <si>
    <t>K321</t>
  </si>
  <si>
    <t>Informatikai szolgáltatás:
Molnár László (AM) - honlap karbantartás: 5.000*12 hó= 60.000 Ft
Localinfo - közérdekű karbantartás: 4.000*12 hó= 48.000 Ft
Web-Server Kft. - tárhely: 13.061 Ft
E-Szoft Team - eper: 15.000 Ft*12 hó=180.000 Ft
Internet díj: 71.000 Ft
Összesen: 372.061 Ft</t>
  </si>
  <si>
    <t>K322</t>
  </si>
  <si>
    <t>Telefon, fax, mobil díj
25.069 Ft*12 hó=300.828 Ft</t>
  </si>
  <si>
    <t>K32</t>
  </si>
  <si>
    <t>Kommunikációs szolgáltatások</t>
  </si>
  <si>
    <t>K335</t>
  </si>
  <si>
    <t>Közvetített szolgáltatás
Telefon és internet továbbszámlázás: 20.000 Ft*12 hó=240.000 Ft</t>
  </si>
  <si>
    <t>K336</t>
  </si>
  <si>
    <t>Egyéb szolgáltatások
Megoldás Kft.-belső ellenőrzés: 250.000 Ft</t>
  </si>
  <si>
    <t>K337</t>
  </si>
  <si>
    <t>K33</t>
  </si>
  <si>
    <t>Szolgáltatási kiadások</t>
  </si>
  <si>
    <t>K341</t>
  </si>
  <si>
    <t>K34</t>
  </si>
  <si>
    <t xml:space="preserve">Kiküldetés  </t>
  </si>
  <si>
    <t>K351</t>
  </si>
  <si>
    <t>Működési célú Áfa:
1.185.889*27%=320.190 Ft</t>
  </si>
  <si>
    <t>K355</t>
  </si>
  <si>
    <t>K35</t>
  </si>
  <si>
    <t>Különféle befizetések és egyéb dologi kiadások</t>
  </si>
  <si>
    <t>K3</t>
  </si>
  <si>
    <t>Dologi kiadások</t>
  </si>
  <si>
    <t>K506</t>
  </si>
  <si>
    <t>K513</t>
  </si>
  <si>
    <t>K5</t>
  </si>
  <si>
    <t>Egyéb működési célú kiadások</t>
  </si>
  <si>
    <t>K61</t>
  </si>
  <si>
    <t>K63</t>
  </si>
  <si>
    <t>Informatikai eszköz beszerzés</t>
  </si>
  <si>
    <t>K64</t>
  </si>
  <si>
    <r>
      <t xml:space="preserve">Egyéb berendezés:
</t>
    </r>
    <r>
      <rPr>
        <sz val="12"/>
        <rFont val="Times New Roman"/>
        <family val="1"/>
        <charset val="238"/>
      </rPr>
      <t>Iskolának: 787.402 Ft</t>
    </r>
  </si>
  <si>
    <t>K67</t>
  </si>
  <si>
    <t>Beruházási célú áfa</t>
  </si>
  <si>
    <t>K6</t>
  </si>
  <si>
    <t>Beruházások</t>
  </si>
  <si>
    <t>Szakfeladat kiadások összesen</t>
  </si>
  <si>
    <t>B16</t>
  </si>
  <si>
    <r>
      <t xml:space="preserve">Egyéb működési célú támogatások:
</t>
    </r>
    <r>
      <rPr>
        <sz val="12"/>
        <rFont val="Times New Roman"/>
        <family val="1"/>
        <charset val="238"/>
      </rPr>
      <t>Abdai Önkormányzat-telefonra: 50.000 Ft
Mosonszentmiklós - telefonra: 50.000 Ft
Kunsziget - telefonra: 40.000 Ft
Összesen: 140.000 Ft</t>
    </r>
  </si>
  <si>
    <t>B1</t>
  </si>
  <si>
    <t>Működési célú támogatások Áht.belülről</t>
  </si>
  <si>
    <t>B25</t>
  </si>
  <si>
    <t>B2</t>
  </si>
  <si>
    <t>Felhalmozási célú támogatások Áht.belülről</t>
  </si>
  <si>
    <t>B403</t>
  </si>
  <si>
    <r>
      <t xml:space="preserve">Közvetített szolgáltatások
</t>
    </r>
    <r>
      <rPr>
        <sz val="12"/>
        <rFont val="Times New Roman"/>
        <family val="1"/>
        <charset val="238"/>
      </rPr>
      <t>Telefon és internet díj: 20.000*12hó=240.000 Ft</t>
    </r>
  </si>
  <si>
    <t>B406</t>
  </si>
  <si>
    <r>
      <t xml:space="preserve">Fizetendő áfa
</t>
    </r>
    <r>
      <rPr>
        <sz val="12"/>
        <rFont val="Times New Roman"/>
        <family val="1"/>
        <charset val="238"/>
      </rPr>
      <t>240.000 Ft * 27%=64.800 Ft</t>
    </r>
  </si>
  <si>
    <t>B408</t>
  </si>
  <si>
    <r>
      <t xml:space="preserve">Kamatbevételek:
</t>
    </r>
    <r>
      <rPr>
        <sz val="12"/>
        <rFont val="Times New Roman"/>
        <family val="1"/>
        <charset val="238"/>
      </rPr>
      <t>Általános: 5.000 Ft</t>
    </r>
  </si>
  <si>
    <t>B411</t>
  </si>
  <si>
    <t>B4</t>
  </si>
  <si>
    <t>Működési bevételek</t>
  </si>
  <si>
    <t>Szakfeladat bevételei összesen</t>
  </si>
  <si>
    <t>013320 Köztemető-fenntartás és -működtetés</t>
  </si>
  <si>
    <t>Céljuttatás, projektprémium</t>
  </si>
  <si>
    <t>Foglalkoztatottak személyi juttatásai</t>
  </si>
  <si>
    <t>Egészségügyi hozzájárulás
Cafetéria után fizetendő: 1 fő*24.616 Ft=24.616 Ft
Cégtelefon adó éves keret: 3.000 Ft
Összesen: 27.616 Ft</t>
  </si>
  <si>
    <t>Munkáltatót terhelő személyi jövedelem adó
Cafetéria után fizetendő: 1 fő*26.375 Ft=26.375 Ft
Cégtelefon adó éves keret: 3.000 Ft
Összesen: 29.375 Ft</t>
  </si>
  <si>
    <t>Munkáltatót terhelő járulékok</t>
  </si>
  <si>
    <t>Üzemeltetési anyag:
Munkaruha: 15.000 Ft
Egyéb anyagok: 50.000 Ft
Összesen: 65.000 Ft</t>
  </si>
  <si>
    <t>Internet díj:
1 fő*903 Ft*12 hó=10.836 Ft</t>
  </si>
  <si>
    <t>Telefon, fax, mobil díj:
Feltöltés (Harang): 6*3.937 Ft= 23.622 Ft
1 fő*2.185 Ft*12 hó=26.220 Ft
Összesen: 49.842 Ft</t>
  </si>
  <si>
    <t>K331</t>
  </si>
  <si>
    <t>Közüzemi díjak:
Villamosenergia: 18.061 Ft
Vízdíj: 37.820 Ft
Összesen: 55.881 Ft</t>
  </si>
  <si>
    <t>K334</t>
  </si>
  <si>
    <t>Karbantartás, kisjavítás</t>
  </si>
  <si>
    <t>Egyéb szolgáltatások
GYHG - hulladék: 9.350 Ft * 12 hó=112.200 Ft
NHKV - hulladék: 17.748 Ft*12 hó= 212.976 Ft
Hess System - vagyonvédelem: 10.425*4=41.700 Ft
Összesen: 366.876 Ft</t>
  </si>
  <si>
    <t>Működési célú Áfa:
649.000 Ft*27%= 175.230 Ft</t>
  </si>
  <si>
    <t>Egyéb tárgyi eszköz beszerzés</t>
  </si>
  <si>
    <t xml:space="preserve">Beruházás </t>
  </si>
  <si>
    <t>Szakfeladat kiadásai összesen</t>
  </si>
  <si>
    <t>B402</t>
  </si>
  <si>
    <t>013350 Önkormányzati vagyonnal való gazdálkodás</t>
  </si>
  <si>
    <t>Üzemeltetési anyag:
Tisztítószer: 190.000 Ft
Egyéb anyag: 60.000 Ft
Összesen: 250.000 Ft</t>
  </si>
  <si>
    <t>K313</t>
  </si>
  <si>
    <t>Árubeszerzés 130.000 * 10 hó=1.300.000 Ft</t>
  </si>
  <si>
    <t>Informatikai szolgáltatások: 1.500*12 hó= 18.000 Ft</t>
  </si>
  <si>
    <t>Telefon, fax, mobil díj</t>
  </si>
  <si>
    <t>Közüzemi díjak:
Villamosenergia: 420.000 Ft
Gázdíj: 560.000 Ft
Vízdíj: 245.000 Ft
Összesen: 1.225.000 Ft</t>
  </si>
  <si>
    <t>K333</t>
  </si>
  <si>
    <t>Bérleti díj:
Klik(M) - csarnok: 140.000*10 hó= 1.400.000 Ft</t>
  </si>
  <si>
    <t>Működési célú Áfa:
4.964.000 Ft*27%= 1.340.280 Ft</t>
  </si>
  <si>
    <t>K62</t>
  </si>
  <si>
    <t>Ingatlan beszerzés, létesítés:</t>
  </si>
  <si>
    <t>B401</t>
  </si>
  <si>
    <r>
      <t xml:space="preserve">Készletértékesítés:
</t>
    </r>
    <r>
      <rPr>
        <sz val="12"/>
        <rFont val="Times New Roman"/>
        <family val="1"/>
        <charset val="238"/>
      </rPr>
      <t>Büfé: 170.000 * 10 hó=1.700.000 Ft</t>
    </r>
  </si>
  <si>
    <r>
      <t xml:space="preserve">Szolgáltatások nyújtása:
</t>
    </r>
    <r>
      <rPr>
        <sz val="12"/>
        <rFont val="Times New Roman"/>
        <family val="1"/>
        <charset val="238"/>
      </rPr>
      <t>Klik - iskola karbantartás: 56.189*10 hó=561.890 Ft
Moldvai Sándor szolgáltatás: 394 Ft*12 hó=4.728 Ft
Szabó Elemérné - lakbér: 22.400*12hó=268.800 Ft
Közterület bérlet: 107.000 Ft
Terembérlet: 962.000 Ft
Öttevényi Agrár Zrt. - földbérlet: 160.123 Ft</t>
    </r>
    <r>
      <rPr>
        <b/>
        <sz val="12"/>
        <rFont val="Times New Roman"/>
        <family val="1"/>
        <charset val="238"/>
      </rPr>
      <t xml:space="preserve">
</t>
    </r>
    <r>
      <rPr>
        <sz val="12"/>
        <rFont val="Times New Roman"/>
        <family val="1"/>
        <charset val="238"/>
      </rPr>
      <t>Összesen: 2.064.541 Ft</t>
    </r>
  </si>
  <si>
    <r>
      <t xml:space="preserve">Közvetített szolgáltatás:
</t>
    </r>
    <r>
      <rPr>
        <sz val="12"/>
        <rFont val="Times New Roman"/>
        <family val="1"/>
        <charset val="238"/>
      </rPr>
      <t>Lakbérekkel, bérleményekkel kapcsolatos: 200.000 Ft</t>
    </r>
  </si>
  <si>
    <r>
      <t xml:space="preserve">Kiszámlázott áfa:
</t>
    </r>
    <r>
      <rPr>
        <sz val="12"/>
        <rFont val="Times New Roman"/>
        <family val="1"/>
        <charset val="238"/>
      </rPr>
      <t xml:space="preserve">(1.700.000 Ft+4.728 Ft+561.890 Ft)*27%=611.987 Ft
</t>
    </r>
  </si>
  <si>
    <t>016080 Kiemelt állami és önkormányzati rendezvények</t>
  </si>
  <si>
    <t>Egyéb külső személyi juttatások:
Reprezentáció (adóköteles rendezvények): 
2016 teljesítés 429.932 Ft</t>
  </si>
  <si>
    <t>Egészségügyi hozzájárulás
Reprezentáció után 1,19*27%: 128.520 Ft</t>
  </si>
  <si>
    <t>Személyi jövedelemadó
Reprezentáció után fizetendő 1,19*15%: 71.400 Ft</t>
  </si>
  <si>
    <t>Munkáltatókat terhelő járulék</t>
  </si>
  <si>
    <t>Működési célú áfa</t>
  </si>
  <si>
    <t>Különféle befizetések és egyéb szolgáltatások</t>
  </si>
  <si>
    <t>018010 Önkormányzatok elszámolásai a központi költségvetéssel</t>
  </si>
  <si>
    <t>K5022</t>
  </si>
  <si>
    <t>Helyi önkormányzatok törvényi előíráson alapuló befizetései</t>
  </si>
  <si>
    <t>K502</t>
  </si>
  <si>
    <t>Elvonások és befizetések</t>
  </si>
  <si>
    <t>B111</t>
  </si>
  <si>
    <t>B112</t>
  </si>
  <si>
    <t>B113</t>
  </si>
  <si>
    <t>B114</t>
  </si>
  <si>
    <t>B11</t>
  </si>
  <si>
    <t>Önkormányzati működési támogatás</t>
  </si>
  <si>
    <t>Működési célú támogatások Áht. Belülről</t>
  </si>
  <si>
    <t>018030 Támogatási célú finanszírozási műveletek</t>
  </si>
  <si>
    <t>B813</t>
  </si>
  <si>
    <t>B81</t>
  </si>
  <si>
    <t>Belföldi finanszírozás bevételei</t>
  </si>
  <si>
    <t>B8</t>
  </si>
  <si>
    <t>Finanszírozási bevételek</t>
  </si>
  <si>
    <t>K915</t>
  </si>
  <si>
    <t>K914</t>
  </si>
  <si>
    <t>K91</t>
  </si>
  <si>
    <t>Belföldi finanszírozás kiadása</t>
  </si>
  <si>
    <t>K9</t>
  </si>
  <si>
    <t>Finanszírozási kiadások</t>
  </si>
  <si>
    <t>041233 Hosszabb időtartamú közfogalalkoztatás</t>
  </si>
  <si>
    <t>Foglalkoztatottak egyéb személyi juttatása
(betegszabadság, egyéb hozzájárulás)</t>
  </si>
  <si>
    <t>Üzemeltetési anyagok</t>
  </si>
  <si>
    <t>Ingatlan beszerzés, létesítés</t>
  </si>
  <si>
    <t>Egyéb gépek, berendezések</t>
  </si>
  <si>
    <t>B1606</t>
  </si>
  <si>
    <t xml:space="preserve">Egyéb működési célú támogatás Áht. Belülről </t>
  </si>
  <si>
    <t>B53</t>
  </si>
  <si>
    <t>Egyéb tárgyi eszköz értékesítése</t>
  </si>
  <si>
    <t>B5</t>
  </si>
  <si>
    <t>Felhalmozási bevételek</t>
  </si>
  <si>
    <t>042180 Állat-egészségügy</t>
  </si>
  <si>
    <t>Különféle egyéb befizetések</t>
  </si>
  <si>
    <t>045160 Közutak, hidak, alagutak üzemeltetése, fenntartása</t>
  </si>
  <si>
    <t>Felújítások</t>
  </si>
  <si>
    <t>K71</t>
  </si>
  <si>
    <t>K74</t>
  </si>
  <si>
    <t>K7</t>
  </si>
  <si>
    <t>047320 Turizmusfejlesztési támogatások és tevékenységek</t>
  </si>
  <si>
    <t>063020 Víztermelés, -kezelés, -ellátás</t>
  </si>
  <si>
    <t>Közüzemi díjak:
Közkifolyók: 9.855 Ft * 12 hó= 118.260 Ft</t>
  </si>
  <si>
    <t>Működési célú Áfa:
118.260 Ft*27%=31.930 Ft</t>
  </si>
  <si>
    <t>064010 Közvilágítás</t>
  </si>
  <si>
    <t>066010 Zöldterület kezelés</t>
  </si>
  <si>
    <t>Béren kívüli juttatás (Cafetéria)
1 fő*149.009 Ft=149.009 Ft</t>
  </si>
  <si>
    <t>Üzemeltetési anyag:
Hajtó és kenőanyag: 300.000 Ft
Munkaruha: 30.000 Ft
Egyéb anyag: 575.000 Ft
Összesen: 905.000 Ft</t>
  </si>
  <si>
    <t>Telefon, fax, mobil díj
(2.265 Ft*75%)*12 hó= 20.385 Ft</t>
  </si>
  <si>
    <t>Közüzemi díjak:
Villamosenergia: 8.334 Ft
Vízdíj: 12.380 Ft
Összesen: 20.714 Ft</t>
  </si>
  <si>
    <t>Bérleti díj:
Kosaras autó bérleti díj (terv alapján): 275.591 Ft Ft</t>
  </si>
  <si>
    <t>Egyéb szolgáltatások
Allianz biztosító - YIF400: 16.536 Ft
Allianz biztosító - traktor: 10.296 Ft
Union biztosító - YGC002: 8.138 Ft
Union biztosító - YLG372: 13.571 Ft
Union biztosító - YIR018: 3.669 Ft
NHKV - hulladék (sportpálya): 18.702 Ft*12 hó=224.424 Ft
Összesen: 276.634 Ft</t>
  </si>
  <si>
    <t>Működési célú Áfa:
1.476.114*27%=398.551 Ft</t>
  </si>
  <si>
    <r>
      <t xml:space="preserve">Szolgáltatások ellenértéke:
</t>
    </r>
    <r>
      <rPr>
        <sz val="12"/>
        <rFont val="Times New Roman"/>
        <family val="1"/>
        <charset val="238"/>
      </rPr>
      <t>KLIK - fűnyírási szolg.: 31.299 * 6 hó=187.794 Ft</t>
    </r>
  </si>
  <si>
    <t>Fizetendő Áfa</t>
  </si>
  <si>
    <t>Működési bevétel</t>
  </si>
  <si>
    <t>066020 Város-, községgazdálkodási egyéb szolgáltatások</t>
  </si>
  <si>
    <t>Telefon, fax, mobil díj
2.806 Ft * 12 hó=33.672 Ft</t>
  </si>
  <si>
    <t>Közüzemi díjak:
Térfigyelő kamerák villamosenergia ellátása : 67.061 Ft</t>
  </si>
  <si>
    <t>Bérleti díj:
Körtvélyesi Istvánné - napelem terület: 150.000 Ft</t>
  </si>
  <si>
    <t>Egyéb szolgáltatások
LH Patent Security Kft.-riasztó: 36.000 Ft
Hess System - vagyonvédelem: 41.700 Ft
Aegon biztosító - falubusz: 11.458*4 név=45.832 Ft
Aegon Casco - falubusz: 26.094 Ft*4 név=104.376 Ft
TÜVI Kft. - poroltók vizsg: 57.180 Ft
Egyéb felmerülő: 200.000 Ft
Összesen: 485.088 Ft</t>
  </si>
  <si>
    <t>072111 Háziorvosi alapellátás</t>
  </si>
  <si>
    <t>Üzemeltetés anyag:
Egyéb anyag: 10.000 Ft</t>
  </si>
  <si>
    <t>Közüzemi díjak:
Villamosenergia: 14.306 Ft
Gázdíj: 189.770 Ft
Vízdíj: 50.942 Ft
Összesen: 255.018 Ft</t>
  </si>
  <si>
    <t>Egyéb szolgáltatások
LH Patent Security Kft.-riasztó: 12.000 Ft
Hess System - vagyonvédelem: 2.606 Ft*4 név=10.424 Ft
NHKV - huladékszállítás: 1.025 Ft*12 hó= 12.300 Ft
Összesen: 34.724 Ft</t>
  </si>
  <si>
    <t>Működési célú Áfa:
304.742*27%=82.280 Ft</t>
  </si>
  <si>
    <t>072311 Fogorvosi alapellátás</t>
  </si>
  <si>
    <t>Szakmai tevékenységet segítő szolgáltatások:
EESZI - fogászati ügyelet 187.600 Ft</t>
  </si>
  <si>
    <t>Működési célú Áfa:
434.842*27%=117.407 Ft</t>
  </si>
  <si>
    <t>074011 Foglalkoztatás-egészségügyi alapellátás</t>
  </si>
  <si>
    <t xml:space="preserve">Szakmai tevékenységet segítő szolgáltatások:
Medi-Vist Kft. - 260.500 Ft </t>
  </si>
  <si>
    <t>074031 Család és nővédelmi egészségügyi gondozás</t>
  </si>
  <si>
    <t>Üzemeltetés anyag:
Irodaszer: 5.145 Ft
Egyéb anyag: 9.712 Ft
Összesen: 14.857 Ft</t>
  </si>
  <si>
    <t>Informatikai szolgáltatások:
Stefánia védőnői nyilvántartó szoftver:
5.484 Ft * 4 negyedév=21.936 Ft</t>
  </si>
  <si>
    <t>Telefon, fax, mobil díj
(2.265*15,49%)*12 hó=4.210 Ft</t>
  </si>
  <si>
    <t>Közüzemi díjak:
Villamosenergia: 6.947 Ft
Gázdíj: 70.545 Ft
Vízdíj: 22.542 Ft
Összesen: 100.034 Ft</t>
  </si>
  <si>
    <t>Működési célú Áfa:
795.000*27%=214.650 Ft</t>
  </si>
  <si>
    <t>B1605</t>
  </si>
  <si>
    <t>Egyéb működési célú támogatás Áht belülről társadalombiztosítás pénzügyi alapja:
OEP finanszírozás területi védőnői ellátás
(103.000 Ft-41.200 Ft+33.000 Ft)*12 hó= 1.137.600 Ft</t>
  </si>
  <si>
    <t>074032 Ifjúság-egészségügyi gondozás</t>
  </si>
  <si>
    <t>Üzemeltetés anyag:
Irodaszer: 34.146 Ft
Egyéb anyag: 14.869 Ft
Összesen: 49.015 Ft</t>
  </si>
  <si>
    <t>Informatikai szolgáltatások:
Stefánia védőnői nyilvántartó szoftver:
14.827 Ft * 4 negyedév=59.308 Ft</t>
  </si>
  <si>
    <t>Telefon, fax, mobil díj
(2.265*84,51%)*12 hó=22.970 Ft</t>
  </si>
  <si>
    <t>Közüzemi díjak:
Villamosenergia: 20.514 Ft
Gázdíj: 219.899 Ft
Vízdíj: 79.340 Ft
Összesen: 319.753 Ft</t>
  </si>
  <si>
    <t>Működési célú Áfa:
3.391.424*27%=915.684 Ft</t>
  </si>
  <si>
    <t>081041 Versenysport- és utánpótlás-nevelési tevékenység és támogatás</t>
  </si>
  <si>
    <t>K51203</t>
  </si>
  <si>
    <t>Egyéb működési célú támogatások Áht. Kívülre civil szervezeteknek: (1.850.000)</t>
  </si>
  <si>
    <t>K512</t>
  </si>
  <si>
    <t>Egyéb működési célú támogatások Áht. Kívülre</t>
  </si>
  <si>
    <t>081045 Szabadidősport tevékenység és támogatás</t>
  </si>
  <si>
    <t>Egyéb működési célú támogatások Áht. Kívülre civil szervezeteknek: (450.000)</t>
  </si>
  <si>
    <t>082044 Könyvtári szolgáltatások</t>
  </si>
  <si>
    <t>Munkavégzésre irányuló egyéb jogviszony nem saját dolgozónak:
1 fő*40.000Ft* 12 hó= 480.000 Ft</t>
  </si>
  <si>
    <t>Működési célú Áfa:
3.000*27%=810 Ft</t>
  </si>
  <si>
    <t>082092 Közművelődés - hagyományos kulturális értékek gondozása</t>
  </si>
  <si>
    <t>Üzemeltetési anyag:
Munkaruha: 15.000 Ft
Egyéb anyag: 10.000 Ft
Összesen: 25.000 Ft</t>
  </si>
  <si>
    <t>Közüzemi díjak:
Villamosenergia: 911.417 Ft
Gázdíj: 408.652 Ft
Vízdíj: 7.972 Ft
Összesen: 1.328.041 Ft</t>
  </si>
  <si>
    <t>Egyéb szolgáltatások
LH Patent Security Kft.-riasztó: 48.000 Ft</t>
  </si>
  <si>
    <t>Működési célú Áfa:
1.551.357*27%=418.866 Ft</t>
  </si>
  <si>
    <t>K72</t>
  </si>
  <si>
    <t>Ingatlan felújítás</t>
  </si>
  <si>
    <t>Felújítási célú áfa</t>
  </si>
  <si>
    <t>083030 Egyéb kiadói tevékenység</t>
  </si>
  <si>
    <t>Egyéb szolgáltatások:
Öttevényi újság kiadás: 450.000*2 fév=900.000 Ft</t>
  </si>
  <si>
    <t>084032 Civil szervezetek programtámogatása</t>
  </si>
  <si>
    <t>094260 Hallgatói és oktatói ösztöndíjak, egyéb juttatások</t>
  </si>
  <si>
    <t>K4</t>
  </si>
  <si>
    <t>Ellátottak pénzbeli juttatásai</t>
  </si>
  <si>
    <t>103010 Elhunyt személyek hátramaradottainak pénzbeli ellátása</t>
  </si>
  <si>
    <t>K486</t>
  </si>
  <si>
    <t>K48</t>
  </si>
  <si>
    <t>Egyéb nem intézményi ellátások</t>
  </si>
  <si>
    <t>104051 Gyermekvédelmi pénzbeli és természetbeni ellátások</t>
  </si>
  <si>
    <t>B1604</t>
  </si>
  <si>
    <t>Egyéb működési célú támogatások bevételei Áht. Belülről egyéb fejezeti kezelésű eitől:
Erzsébet utalvány: 120.000 Ft</t>
  </si>
  <si>
    <t>106020 Lakásfenntartással, lakhatással összefüggő ellátások</t>
  </si>
  <si>
    <t>K482</t>
  </si>
  <si>
    <t>107051 Szociális étkezés</t>
  </si>
  <si>
    <t>107052 Házi segítségnyújtás</t>
  </si>
  <si>
    <t>Egészségügyi hozzájárulás
Cégtelefonadó éves keret: 1.000 Ft</t>
  </si>
  <si>
    <t>Személyi jövedelmadó
Cégtelefonadó éves keret: 1.000 Ft</t>
  </si>
  <si>
    <t>Munkáltatókat terhelő járulékok</t>
  </si>
  <si>
    <t>107060 Egyéb szociális pénzbeli és természetbeni ellátások, támogatások</t>
  </si>
  <si>
    <t>K485</t>
  </si>
  <si>
    <t>Önkormányzati segély
Rendkívüli települési támogatás (42.750 Ft * 10 fő=427.500 Ft</t>
  </si>
  <si>
    <t>K488</t>
  </si>
  <si>
    <t>K489</t>
  </si>
  <si>
    <t>Egyéb intézményi ellátások</t>
  </si>
  <si>
    <t>900020 Önkormányzatok funkcióira nem sorolható bevételei Áht kívülről</t>
  </si>
  <si>
    <t>B311</t>
  </si>
  <si>
    <t>Magánszemélyek jövedelem adói:
Termőföld bérbeadás: 30.000 Ft</t>
  </si>
  <si>
    <t>B31</t>
  </si>
  <si>
    <t>Jövedelemadók</t>
  </si>
  <si>
    <t>B343</t>
  </si>
  <si>
    <t>B34</t>
  </si>
  <si>
    <t>Vagyon típusú adók</t>
  </si>
  <si>
    <t>B351</t>
  </si>
  <si>
    <t>B354</t>
  </si>
  <si>
    <t>B355</t>
  </si>
  <si>
    <t>B35</t>
  </si>
  <si>
    <t>Termék és szolgáltatások adói</t>
  </si>
  <si>
    <t>B361</t>
  </si>
  <si>
    <t>B36</t>
  </si>
  <si>
    <t>Egyéb közhatalmi bevételek</t>
  </si>
  <si>
    <t>B3</t>
  </si>
  <si>
    <t>Közhatalmi bevételek</t>
  </si>
  <si>
    <t>Kiadás</t>
  </si>
  <si>
    <t>Bevétel</t>
  </si>
  <si>
    <t>Öttevényi Polgármesteri Hivatal</t>
  </si>
  <si>
    <t>Önkormányzatok és önkormányzati hivatalok jogalkotási ás általános igazgatási tevékenysége (011130/999000)</t>
  </si>
  <si>
    <t>Adó-, vám- és jövedéki igazgatás (011220/999000)</t>
  </si>
  <si>
    <t>Más szerv részére végzett pénzügyi szolgáltatás (013360)</t>
  </si>
  <si>
    <t>Támogatási célú finanszírozási műveletek (018030/999000)</t>
  </si>
  <si>
    <t>Gyermekétkeztetés köznevelési intézményben (096015/562912);
Gyermekétkeztetés bölcsődében (104035/889103)</t>
  </si>
  <si>
    <t>Gyermekvédelmi pénzbeli és természetbeni ellátások (104051/999000)</t>
  </si>
  <si>
    <t>Választás, népszvazás (016020/999000)</t>
  </si>
  <si>
    <t>Összesen</t>
  </si>
  <si>
    <t>Benkő Réka anyakönyv</t>
  </si>
  <si>
    <t>Benkő Réka igazgatás</t>
  </si>
  <si>
    <t>Dr. Földesi Tamás</t>
  </si>
  <si>
    <t>Faragóné Kökény Anikó</t>
  </si>
  <si>
    <t>Pénzügy új (50%)</t>
  </si>
  <si>
    <t>Horváthné Cserháti Lívia</t>
  </si>
  <si>
    <t>Megbízási díjak</t>
  </si>
  <si>
    <t>Adó</t>
  </si>
  <si>
    <t>Cseriné Tóth Ildikó (25%)</t>
  </si>
  <si>
    <t>Konyha</t>
  </si>
  <si>
    <t>K1101 - Törvény szerinti illetmények, munkabérek</t>
  </si>
  <si>
    <t>K1103 - Céljuttatás, projektprémium</t>
  </si>
  <si>
    <t>K1104 - Készenléti, ügyeleti, helyettesítési díj, túlóra, túlszolgálat</t>
  </si>
  <si>
    <t xml:space="preserve">K1106 - Jubileumi jutalom </t>
  </si>
  <si>
    <t>K1107 - Béren kívüli juttatás (cafeteria)</t>
  </si>
  <si>
    <t>K1108 - Ruházati költségtérítés</t>
  </si>
  <si>
    <t>K1109 - Közlekedési költségtérítés</t>
  </si>
  <si>
    <t>K1110 - Egyéb költségtérítés (bank, szemüveg)</t>
  </si>
  <si>
    <t>K1113 - Foglalkoztatottak egyéb személyi juttatásai</t>
  </si>
  <si>
    <t>K11 - Foglalkoztatottak személyi juttatásai</t>
  </si>
  <si>
    <t>K121 - Választott tisztségviselők juttatásai</t>
  </si>
  <si>
    <t>K122 - Munkavégzésre irányuló egyéb jogviszonyban nem saját foglalkoztatottnak fizetett juttatások</t>
  </si>
  <si>
    <t xml:space="preserve">K123 - Egyéb külső személyi juttatások (Reprezentáció, céges telefon) </t>
  </si>
  <si>
    <t>K12 -Külső személyi juttatások</t>
  </si>
  <si>
    <t>K1 - Személyi juttatások</t>
  </si>
  <si>
    <t>K21 - Szociális hozzájárulási adó</t>
  </si>
  <si>
    <t>K22 - Rehabilitációs hozzájárulás</t>
  </si>
  <si>
    <t>K23 - Korkedvezmény-biztosítási járulék</t>
  </si>
  <si>
    <t>K24 - Egészségügyi hozzájárulás (cafeteria, reprezentáció, céges telefon)</t>
  </si>
  <si>
    <t>K25 - Táppénz hozzájárulás</t>
  </si>
  <si>
    <t>K26 - Egyéb járulék jellegű kötelezettség</t>
  </si>
  <si>
    <t>K27 - Munkáltatót terhelő személyi jövedelemadó (cafeteria, reprezentáció, céges telefon)</t>
  </si>
  <si>
    <t>K2 - Munkaadókat terhelő járulékok és szociális hozzájárulási adó</t>
  </si>
  <si>
    <t>K3111 - Gyógyszer</t>
  </si>
  <si>
    <t>K3112 - Vegyszerek</t>
  </si>
  <si>
    <t>K3113 - Papír alapú könyvek, folyóiratok (HVG, Munkaügyi levelek, Költégvetési levelek)</t>
  </si>
  <si>
    <t>K3115 - Elektronikus információ hordozók  (jogtár)</t>
  </si>
  <si>
    <t>K3116 - Egyéb szakmai anyag</t>
  </si>
  <si>
    <t>K311 - Szakmai anyagok</t>
  </si>
  <si>
    <t>K3121 - Élelmiszerek</t>
  </si>
  <si>
    <t>K3122 - Irodaszer, nyomtatványok</t>
  </si>
  <si>
    <t>K3123 - Tonnerek, festékpaptronok</t>
  </si>
  <si>
    <t>K3124 - Tüzelőanyagok, hajtó- és kenőanyagok</t>
  </si>
  <si>
    <t>K3125 - Munka- és védőruha</t>
  </si>
  <si>
    <t>K312 - Üzemeltetési anyagok</t>
  </si>
  <si>
    <t>K31 - Készletbeszerzés</t>
  </si>
  <si>
    <t>K3211 - Számítógép üzembe helyezése, rendszer tervezés</t>
  </si>
  <si>
    <t>K3213 - Informatikai eszközök bérleti, karbantartása (Emb-System Kft. 42.000 Ft/hó*11 hó=462.000 Ft, Euro-Profil - fénymásolók  277 000 Ft,  Vizual Regiszter 76 000 Ft, Önkormányzati jogtár 135 000 Ft,- , fax, nyomtatók karbantartása 50 000 Ft, készletnyilvántartó 100.000 Ft)</t>
  </si>
  <si>
    <t>K3216 - Inernetes portálok készítése, működtetése</t>
  </si>
  <si>
    <t>K3217 - Számítógépek közötti adatátviteli célú távközlési kapcsolatok (internet előfizetés Magyar Telekom - 6.900 * 12 hó=82.800 Ft, Telenor 2.709 Ft * 12 hó= 32.508 Ft)</t>
  </si>
  <si>
    <t xml:space="preserve">K321 - Informatikai szolgáltatások igénybevétele </t>
  </si>
  <si>
    <t>K322 - Egyéb kommunikációs szolgáltatások (telefon, fax, mobil)</t>
  </si>
  <si>
    <t>K32 - Kommunikációs szolgáltatások</t>
  </si>
  <si>
    <t>K3311 - Villamosenergia díja</t>
  </si>
  <si>
    <t>K3312 - Gázenergia díja</t>
  </si>
  <si>
    <t>K3313 - Távhő- és melegvíz szolgáltatás díja</t>
  </si>
  <si>
    <t>K3314 - Víz- és csatornadíj</t>
  </si>
  <si>
    <t>K331 - Közüzemi díjak</t>
  </si>
  <si>
    <t>K332 - Vásárolt élelmezés</t>
  </si>
  <si>
    <t>K333 - Bérleti és lizingdíjak</t>
  </si>
  <si>
    <t xml:space="preserve">K334 - Karbantartás és kisjavítási szolgáltatások </t>
  </si>
  <si>
    <t>K3351 - Közvetített szolgáltatások Áht-n belül</t>
  </si>
  <si>
    <t>K3352 - Közvetített szolgáltatások Áht-n kívül</t>
  </si>
  <si>
    <t>K335 - Közvetített szolgáltatások</t>
  </si>
  <si>
    <t>K336 - Szakmai tevékenységet segítő szolgáltatások</t>
  </si>
  <si>
    <t>K33 - Szolgáltatási kiadások</t>
  </si>
  <si>
    <t>K3411 - Foglalkoztatottak és választott tisztségviselők kiküldetései</t>
  </si>
  <si>
    <t>K3413 - Külsős kikületési költségei</t>
  </si>
  <si>
    <t>K341 - Kiküldetések kiadásai</t>
  </si>
  <si>
    <t>K342 - Reklám és propaganda kiadások</t>
  </si>
  <si>
    <t>K34 - Kiküldetések, reklám és propaganda kiadások</t>
  </si>
  <si>
    <t>K351 - Működési célú áfa</t>
  </si>
  <si>
    <t>K352 - Fizetendő áfa</t>
  </si>
  <si>
    <t>K3532 - Hitelek utánni kamatkiadásk</t>
  </si>
  <si>
    <t>K353 - Kamatkiadások</t>
  </si>
  <si>
    <t>K3551 - Behajthatalnal adott előlegek</t>
  </si>
  <si>
    <t>K3553 - Kerekítési különbözet</t>
  </si>
  <si>
    <t>K3554 - Adó-, vám-, illeték és más adójellegű kiadások</t>
  </si>
  <si>
    <t>K3555 - Kötelező jellegű díjak (közbeszerzés díja, műszaki vizsgáztatás, hatósági díjak)autópálya haszn díj</t>
  </si>
  <si>
    <t>K3556 - Egyéb dologi kiadások (kötbér, késedelmi kamat)</t>
  </si>
  <si>
    <t>K355 - Egyéb dologi kiadások</t>
  </si>
  <si>
    <t>K35 - Különféle befizetések é egyéb dologi kiadások</t>
  </si>
  <si>
    <t>K3 - Dologi kiadások</t>
  </si>
  <si>
    <t>K4215 - Egyéb pénzbeli és természetbeni gyermekvédelmi támogatások (Természetbeni gyv. T. - Erzsébet utalványok 5.800 Ft x 20 fő= 116.000 Ft)</t>
  </si>
  <si>
    <t>K42 - Családi támogatások</t>
  </si>
  <si>
    <t>K441 - Ápolási díj méltányossági jogon</t>
  </si>
  <si>
    <t>K44 - Betegséggel kapcsolatos ellátások</t>
  </si>
  <si>
    <t>K458 - Foglalkoztatást helyettesítő támogatás</t>
  </si>
  <si>
    <t>K45 - Foglalkoztatással, munkanélküliséggel kapcsolatos ellátások</t>
  </si>
  <si>
    <t>K463 - Lakásfenntartási támogatás</t>
  </si>
  <si>
    <t>K46 - Lakhatással kapcsolatos ellátások</t>
  </si>
  <si>
    <t>K473 - Felsőoktatásba résztvevők részére nyújtott támogatás</t>
  </si>
  <si>
    <t>K47 - Intézményi ellátottak pénzbeli juttatásai</t>
  </si>
  <si>
    <t>K4822 - Köztemetés</t>
  </si>
  <si>
    <t>K4823 - Önkormányzat saját hatáskörben adott pénzügyi ellátás (közgyógy ellátás, lakásfenntartási támogatás, temetési támogatás, beiskolázási támogatás)</t>
  </si>
  <si>
    <t>K4824 - Önkormányzat saját hatáskörben adott természetbeni ellátás (rendkívüli gyermekvédelmi támogatás)</t>
  </si>
  <si>
    <t>K48 - Egyéb nem intézményi ellátások</t>
  </si>
  <si>
    <t>K4 - Ellátottak bénzbeli juttatásai</t>
  </si>
  <si>
    <t>K5021 - Jogosulatlan támogatás visszafizetése</t>
  </si>
  <si>
    <t>K5022 - Költségvetési maradványt terhelő visszafizetések</t>
  </si>
  <si>
    <t>K5024 - Költségvetési szervek többletbevétel után irányító szerv felé befizetési kötelezettsége</t>
  </si>
  <si>
    <t>K502 - Elvonások és befizetések (eredetiben nem tervezhető)</t>
  </si>
  <si>
    <t>K508 - Működési célú visszatérítendő támogatások, kölcsönök nyújtása Áht-n kívülre</t>
  </si>
  <si>
    <t>K511 - Egyéb működési célú támogatások Áht-n kívülre</t>
  </si>
  <si>
    <t>K512 - Tartalékok</t>
  </si>
  <si>
    <t>K5 - Egyéb működési célú kiadások</t>
  </si>
  <si>
    <t>K61 - Immateriális javak beszerzése</t>
  </si>
  <si>
    <t>K63 - Informatikai eszközök beszerzése</t>
  </si>
  <si>
    <t>K67 - Beruházási célú áfa</t>
  </si>
  <si>
    <t>K6 - Beruházások</t>
  </si>
  <si>
    <t>K71 - Ingatlanok felújítása</t>
  </si>
  <si>
    <t>K72 - Informatikai eszközök felújítása</t>
  </si>
  <si>
    <t>K73 - Egyéb tárgyi eszközök felújítása</t>
  </si>
  <si>
    <t>K74 - Felújítási célú áfa</t>
  </si>
  <si>
    <t>K7 - Felújítások</t>
  </si>
  <si>
    <t>K86 - Felhalmozási célú visszatérítendő támogatások Áht-n kívülre</t>
  </si>
  <si>
    <t>K88 - Egyéb felhalmozási célú támogatások Áht-n kívülre</t>
  </si>
  <si>
    <t>K8 - Egyéb felhalmozási célú kiadások</t>
  </si>
  <si>
    <t>K9111 - Hosszú lejáratú hitelek, kölcsönök törlesztése Áht-n kívülre</t>
  </si>
  <si>
    <t>K911 - Hitel, kölcsön törlesztés Áht-n kívülre</t>
  </si>
  <si>
    <t>K914 - Megelőlegezések visszafizetése Áht-n belül</t>
  </si>
  <si>
    <t>K915 - Irányítószervi támogatás</t>
  </si>
  <si>
    <t>K91 - Belföldi finanszírozás kiadásai</t>
  </si>
  <si>
    <t>K9 - Finanszírozási kiadások</t>
  </si>
  <si>
    <t>KIADÁSOK</t>
  </si>
  <si>
    <t>B111 - Helyi önkormányzatok működésének általános támogatása</t>
  </si>
  <si>
    <t>B112 - Települési önkormányzatok egyes köznevelési feladatainak támogatása</t>
  </si>
  <si>
    <t>B113 - Települési önkormányzatok szociális, gyermekjóléti és gyermekétkeztetési feladatainak támogatása</t>
  </si>
  <si>
    <t>B114 - Települési önkormányzatok kulturális feladatainak támogatása</t>
  </si>
  <si>
    <t>B115 - Működési célú központosított előirányzatok</t>
  </si>
  <si>
    <t>B116 - Helyi önkormányzatok kiegészítő támogatásai</t>
  </si>
  <si>
    <t>B11 - Önkormányzatok működési támogatásai</t>
  </si>
  <si>
    <t>B122 - Költségvetési maradványt terhelő befizetési kötelezettség teljesítéséből származó bevétel</t>
  </si>
  <si>
    <t>B12 - Elvonások és befizetések bevételei</t>
  </si>
  <si>
    <t>B16 - Egyéb működési célú támogatások bevételei Áht-n belülről</t>
  </si>
  <si>
    <t>B1 - Működési célú támogatások Áht-n belülről</t>
  </si>
  <si>
    <t>B211 - Felhalmozási célra biztosított központosított bevételek</t>
  </si>
  <si>
    <t>B212 - Vis maior támogatások</t>
  </si>
  <si>
    <t>B213 - Egyéb felhalomzási célú támogatások</t>
  </si>
  <si>
    <t>B21 - Felhalmozási célú önkormányzti támogatások</t>
  </si>
  <si>
    <t>B25 - Egyéb felhalmozási célú támogatások Áht-n belülről</t>
  </si>
  <si>
    <t>B2 - Felhalmozási célú támogatások Áht-n belülről</t>
  </si>
  <si>
    <t>B342 - Épületek utánni idegenforgalmi adó</t>
  </si>
  <si>
    <t>B343 - Magánszemélyek kommunális adója</t>
  </si>
  <si>
    <t>B34 - Vagyoni típusú adók</t>
  </si>
  <si>
    <t>B3517 - Állabdó jelleggel végzett iparűzési adó</t>
  </si>
  <si>
    <t>B3518 - Ideiglenes jelleggel végzett iparűzési adó</t>
  </si>
  <si>
    <t>B351 - Értékesítési és forgalmi adó</t>
  </si>
  <si>
    <t>B3541 - Gépjárműadó központi ktgvetést megillető része</t>
  </si>
  <si>
    <t>B3542 - Gépjárműadó helyi önkormányzatot megillető része</t>
  </si>
  <si>
    <t>B354 - Gépjárműadó</t>
  </si>
  <si>
    <t>B3559 - Telejterhelési díj</t>
  </si>
  <si>
    <t>B355 - Egyéb áruhasználati és szolgáltatási adó</t>
  </si>
  <si>
    <t>B35 - Termékek és szolgáltatások adói</t>
  </si>
  <si>
    <t>B362 - Eljárási illetékek</t>
  </si>
  <si>
    <t>B363 - Igazgatási szolgáltatási díj</t>
  </si>
  <si>
    <t>B3610 - Építésügyi bírság</t>
  </si>
  <si>
    <t>B3611 - Szabálysértési pénz- és helyszíni bírság</t>
  </si>
  <si>
    <t>B3612 - Egyéb bírság</t>
  </si>
  <si>
    <t>B36 - Egyéb közhatalmi bevételek</t>
  </si>
  <si>
    <t>B3 - Közhatalmi bevételek</t>
  </si>
  <si>
    <t>B402 - Szolgáltatások ellenértéke</t>
  </si>
  <si>
    <t>B403 - Közvetített szolgáltatások ellenértéke</t>
  </si>
  <si>
    <t>B4041 - Tárgyi eszköz ellenérték fejében történű vagyonkezelésbe, haszonbérbe adásából származó bevételek</t>
  </si>
  <si>
    <t>B404 - Tulajdonosi bevételek</t>
  </si>
  <si>
    <t>B405 - Ellátási díjak</t>
  </si>
  <si>
    <t>B406 - Kiszámlázott áfa</t>
  </si>
  <si>
    <t>B407 - Áfa visszatérítés</t>
  </si>
  <si>
    <t>B408 - Kamatbevételek</t>
  </si>
  <si>
    <t>B410 - Egyéb működési bevételek</t>
  </si>
  <si>
    <t>B4 - Működési bevételek</t>
  </si>
  <si>
    <t>B52 - Ingatlanok értékesítése</t>
  </si>
  <si>
    <t>B53 - Egyéb tárgyi eszközök értékesítése</t>
  </si>
  <si>
    <t>B5 - Felhalmozási bevételek</t>
  </si>
  <si>
    <t>B63 - Egyéb működési célú átvett pénzeszköz</t>
  </si>
  <si>
    <t>B6 - Működési célú átvett pénzeszköz</t>
  </si>
  <si>
    <t>B74 - Egyéb felhalmozási célú kölcsön visszatérítése</t>
  </si>
  <si>
    <t>B7 - Felhalmozási célú átvett pénzeszköz</t>
  </si>
  <si>
    <t>B8111 - Hosszú lejáratú hitelek, kölcsönök felvétele</t>
  </si>
  <si>
    <t>B811 - Hitel-, kölcsöfelévtel Áht-n kívülről</t>
  </si>
  <si>
    <t>B8131 - Előző év költségvetési maradvány igénybevétele</t>
  </si>
  <si>
    <t>B813 - Maradvány igénybevétele</t>
  </si>
  <si>
    <t>B814 - Áht-n belüli megelőlegezések</t>
  </si>
  <si>
    <t>B816 - Irányító szervi támogatás</t>
  </si>
  <si>
    <t>B81 - Belföldi finanszírozás bevétele</t>
  </si>
  <si>
    <t>B8 - Finanszírozási bevételek</t>
  </si>
  <si>
    <t>BEVÉTELEK</t>
  </si>
  <si>
    <t>Különbözet</t>
  </si>
  <si>
    <t>Hivatali támogatás</t>
  </si>
  <si>
    <t>Támogatás</t>
  </si>
  <si>
    <t>Étkeztetés személyi</t>
  </si>
  <si>
    <t>Étkezés személyi</t>
  </si>
  <si>
    <t>Érdekeltségi</t>
  </si>
  <si>
    <t>Étkeztetés dologi</t>
  </si>
  <si>
    <t>Étkezés dologi</t>
  </si>
  <si>
    <t>Hivatal hiány</t>
  </si>
  <si>
    <t>Pályázati maradvány</t>
  </si>
  <si>
    <t>Konyha hiány</t>
  </si>
  <si>
    <t>Erzsébet támogatás</t>
  </si>
  <si>
    <t>Szoc támogatás</t>
  </si>
  <si>
    <t>Érdekeltségi (adó)</t>
  </si>
  <si>
    <t>Összes támogatás</t>
  </si>
  <si>
    <t>Önkormányzati hozzájárulás</t>
  </si>
  <si>
    <t>Öttevényi Mackó-Kuckó Napközi Otthonos Óvoda és Bölcsőde</t>
  </si>
  <si>
    <t>Óvodai nevelés, ellátás szakmai feladatai (091110/999000)</t>
  </si>
  <si>
    <t>Sajátos nevelési igényű gyermekek óvodai nevelése (0911120/999000)</t>
  </si>
  <si>
    <t>Óvodai nevelés működtetése (091140/999000)</t>
  </si>
  <si>
    <t>Gyermekek napközbeni ellátása (104031/889101)</t>
  </si>
  <si>
    <t>Gyermekétkeztetés köznevelési intézményben (096015/562912)</t>
  </si>
  <si>
    <t>Gyermekétkeztetés bölcsődében (104035/889103)</t>
  </si>
  <si>
    <t>Benkőné Krankovits Melinda</t>
  </si>
  <si>
    <t>Bab Károlyné</t>
  </si>
  <si>
    <t>Béres-Zalavári Dóra</t>
  </si>
  <si>
    <t>Érdiné Szabó Edina</t>
  </si>
  <si>
    <t>Gerencsér Tamásné</t>
  </si>
  <si>
    <t>Gősiné Köntös Marianna</t>
  </si>
  <si>
    <t>Pacsuta Nagy Renáta</t>
  </si>
  <si>
    <t>Szabóné Sánta Annamária</t>
  </si>
  <si>
    <t>Tóthné Balogh Nikolett</t>
  </si>
  <si>
    <t>Tubáné Horváth Erika</t>
  </si>
  <si>
    <t>Dajkák Balogh Ferenc Zoltánné</t>
  </si>
  <si>
    <t>Brányi-Takács Éva</t>
  </si>
  <si>
    <t>Domján Gáborné</t>
  </si>
  <si>
    <t>Kissné Laki Renáta Ildikó</t>
  </si>
  <si>
    <t>Némethné Cordier Alíz</t>
  </si>
  <si>
    <t>Pedasszisztens Lévainé Krejcsa Melinda</t>
  </si>
  <si>
    <t>Titkár Brányi Albert Gézáné</t>
  </si>
  <si>
    <t>Óvoda</t>
  </si>
  <si>
    <t>Balázsné Nádasi Edina</t>
  </si>
  <si>
    <t>Tamás Renáta</t>
  </si>
  <si>
    <t>Burcz Márta</t>
  </si>
  <si>
    <t>Bölcsőde</t>
  </si>
  <si>
    <t>K1110 - Egyéb költségtérítés (napidíj)</t>
  </si>
  <si>
    <t xml:space="preserve">K3113 - Papír alapú könyvek, folyóiratok </t>
  </si>
  <si>
    <t xml:space="preserve">K3115 - Elektronikus információ hordozók </t>
  </si>
  <si>
    <t>K3213 - Informatikai eszközök bérleti, karbantartása (Fax, nyomtatók karbantartása 50 000 Ft)</t>
  </si>
  <si>
    <t>K3217 - Számítógépek közötti adatátviteli célú távközlési kapcsolatok (internet előfizetés )</t>
  </si>
  <si>
    <t>K3361 - Egészségügyi, okatási, szociális, útüzemeltetési, környezetvédelmi szolgáltatások</t>
  </si>
  <si>
    <t>K3362 - Más szakmai jellegű szolgáltatás</t>
  </si>
  <si>
    <t>K3555 - Kötelező jellegű díjak</t>
  </si>
  <si>
    <t>K4215 - Egyéb pénzbeli és természetbeni gyermekvédelmi támogatások(Természetbeni gyv. T. - Erzsébet utalványok 5800 Ft x 40 fő</t>
  </si>
  <si>
    <t>Óvoda pedagógusok bértámogatás (8 hó)</t>
  </si>
  <si>
    <t>Óvoda működési támogatás (8 hó)</t>
  </si>
  <si>
    <t>Kisegítők bértámogatása (8 hó)</t>
  </si>
  <si>
    <t>Bölcsődei dolgozók támogatása</t>
  </si>
  <si>
    <t>Óvoda működési támogatás (4 hó)</t>
  </si>
  <si>
    <t>Óvoda pedagógusok bértámogatás (4 hó)</t>
  </si>
  <si>
    <t>Bölcsődei üzemeltetési támogatás</t>
  </si>
  <si>
    <t>Óvoda működési támogatás (8 hó) pót</t>
  </si>
  <si>
    <t>Kisegítők bértámogatása (4 hó)</t>
  </si>
  <si>
    <t>Óvoda pedagógusok bértámogatás (8 hó) pót</t>
  </si>
  <si>
    <t>Kisegítők bértámogatása (8 hó) pót</t>
  </si>
  <si>
    <t>Óvoda minősített pedagógus támogatás</t>
  </si>
  <si>
    <t>Szoc támogatás bölcsődére</t>
  </si>
  <si>
    <t>Pót támogatás</t>
  </si>
  <si>
    <t>2018. teljesítés</t>
  </si>
  <si>
    <t>2019 költségvetés
(Ft)</t>
  </si>
  <si>
    <t>Molnár Imréré</t>
  </si>
  <si>
    <t>Veneszné Gecsei Fatime</t>
  </si>
  <si>
    <t>Jandó Árpádné</t>
  </si>
  <si>
    <t>Dr. Gyöngy Anna</t>
  </si>
  <si>
    <t>Czank-Kuti Adrienn</t>
  </si>
  <si>
    <t>B411 - Egyéb működési bevételek</t>
  </si>
  <si>
    <t xml:space="preserve">B411 - Egyéb működési bevétel </t>
  </si>
  <si>
    <t>K3126 - Egyéb anyag:tisztítószerek, elem, egyéb karbantartási anyagok</t>
  </si>
  <si>
    <t>K3351 - Közvetített szolgáltatások Áht-n belül (Konyha közüzemi díj)</t>
  </si>
  <si>
    <t>Farkasné Kristóf Zsuzsanna</t>
  </si>
  <si>
    <t>Dr. Királyné Szabadkai Márta</t>
  </si>
  <si>
    <t xml:space="preserve">K334 - Karbantartás és kisjavítási szolgáltatások (alap + lépcső burkolás 390.000 Ft)
</t>
  </si>
  <si>
    <t>K3116 - Egyéb szakmai anyag
(Eszközök gondozási feladathoz 95.000 Ft, fogalakozási eszközök 600.000 Ft, szakmai munkához naplók 35.000 Ft, egyéb 40.000 Ft)</t>
  </si>
  <si>
    <t>K337 - Egyéb szolgáltatások (Bank ktg 100.000 Ft, szemét szállítás 140.000 Ft, Posta 10.000 Ft, Egyéb üzemeltetési szolgáltatás - kirándulások, egyéb 450.000 Ft)</t>
  </si>
  <si>
    <t>2018. eredeti ei</t>
  </si>
  <si>
    <t>Megtakarítás</t>
  </si>
  <si>
    <t>Előző évi megtakarítás</t>
  </si>
  <si>
    <t>Bérkiegészítés</t>
  </si>
  <si>
    <t>K3361 - Egészségügyi, okatási, szociális, útüzemeltetési, környezetvédelmi szolgáltatások (szakmai továbbképzések 1 fő mérlegképes  k. továbbképzése, 19.050 Ft x1= 20.000  Ft,egyéb konferenciák, továbbképzések 150.000 Ft)</t>
  </si>
  <si>
    <t>Pénzügy új (50%) - Kocsis Kornélia</t>
  </si>
  <si>
    <t>Somogyiné Bakos Edina</t>
  </si>
  <si>
    <t>Turiné Török Anita - Keserűné Kertész Krisztina</t>
  </si>
  <si>
    <t>Hivatal - Berzai Petra Judit és egyéb</t>
  </si>
  <si>
    <t>Molnár Szilvia</t>
  </si>
  <si>
    <t>Nagy József Gábor</t>
  </si>
  <si>
    <t>Takács Benkő Hajnal Emese</t>
  </si>
  <si>
    <t>Cseriné Tóth Ildikó   (75%)/munkaügy</t>
  </si>
  <si>
    <t>Nyári Noémi/ főépítész</t>
  </si>
  <si>
    <t xml:space="preserve">K3126 - Egyéb anyag:tisztítószerek, elem,  karbantartási anyagok, egyéb </t>
  </si>
  <si>
    <t>K337 - Egyéb szolgáltatások (Közszolgálati egyetem 200.000 Ft, parkolójegyek 35 000Ft, hulladékszállítás 63 000Ft, , számlavezetési díj 300 000FT, Tulajdoni lapok:30 000Ft, Lart-Sec Inf, biztonság:420 000Ft, egyéb 52.000 Ft)</t>
  </si>
  <si>
    <t>K64 - Egyéb tárgyi eszközök beszerzése (Mosogatógép 400.000 Ft)</t>
  </si>
  <si>
    <t>K3362 - Más szakmai jellegű szolgáltatás (Ördög konyha 240.000 * 12 hó = 2.880.000 Ft, dajkák 2*35.850 Ft*12 hó = 860.400 Ft - jogalkotás pénzügy Ani-Vali Bt. 3.600.000 Ft)</t>
  </si>
  <si>
    <t>Bér kiegészítő</t>
  </si>
  <si>
    <t>Magánszemélyek kommunális adója
Kommunális adó: 6.700.000 Ft
2018. évi hátralék: 240.674 Ft</t>
  </si>
  <si>
    <t>Értéksítési és fogyasztási adók:
Iparűzési adó: 55.000.000 Ft
2018. évi hátralék: 712.678 Ft</t>
  </si>
  <si>
    <t>Gépjárműadó itt maradó része
Gépjárműadó: 9.200.000 Ft
2018. évi hátralék:  101.756 Ft</t>
  </si>
  <si>
    <t>Egyéb közhatalmi bevételek:
Pótlék: 100.000 Ft
2018. évi hátralék: 215.850 Ft
Idegen közig. Bírság: 200.000 Ft
2018. évi hátralék: 176.083 Ft</t>
  </si>
  <si>
    <t>Egyéb áruhasználati és szolgáltatási adó:
Idegenforgalmi adó: 140.000 Ft
Talajterhelési díj: 5.000 Ft 
2018 .véi hátralék: 21.195 Ft</t>
  </si>
  <si>
    <t>Önkormányzat saját hatáskörben adott pénzügyi ellátás:
Beiskolázási támogatás: 8.000 Ft * 60 gyermek = 480.000 Ft
Szociális kölcsön: 2 fő * 100.000 = 200.000 Ft
Köztemetés: 1 fő * 150.000 Ft = 150.000 Ft</t>
  </si>
  <si>
    <t>Önkormányzat saját hatáskörben adott természetbeni ellátás:
Segélycsomagok: 742.000 Ft</t>
  </si>
  <si>
    <t>Egyéb dologi kiadások:</t>
  </si>
  <si>
    <t>Törvény szerintri illetmény
1 fő (50%)*69.000 Ft*1 hó=69.000 Ft
1 fő (50%)*74.500 Ft*11 hó=819.500 Ft
Összesen: 888.500 Ft</t>
  </si>
  <si>
    <t>Szociális hozzájárulási adó
888.500 Ft*19,5%=173.258 Ft</t>
  </si>
  <si>
    <t>Települési támogatás:
Lakásfenntartási tám.: 5 fő * 2.500 Ft *12 hó = 150.000 Ft</t>
  </si>
  <si>
    <t>Temetési segély: 25.500 * 5 fő=127.500 Ft</t>
  </si>
  <si>
    <t>Intézményi ellátottak támogatása
résztvevők pénzbeli juttatásai
Bursa: 2 félév*200.000 Ft = 400.000 Ft</t>
  </si>
  <si>
    <t>Egyéb működési célú támogatások Áht. Kívülre civil szervezeteknek:
Ifjúsági és közbiztonsági feladatok támogatása: 1.500.000 Ft
Civil pályázati keret: 2.900.000 Ft
Egyéb eseti támogatás: 400.000 Ft
Összesen: 4.800.000 Ft</t>
  </si>
  <si>
    <t>084031 Civil szervezetek működési támogatása</t>
  </si>
  <si>
    <t>Egyéb működési célú támogatások Áht. Kívülre civil szervezeteknek
Civil szervezetek: 900.000 Ft
Móvári Vizitársulás: 120.000 Ft</t>
  </si>
  <si>
    <t>Egészségügyi hozzájárulás
Cégtelefon adó éves keret: 600 Ft
Összesen: 600 Ft</t>
  </si>
  <si>
    <t>Munkáltatót terhelő személyi jövedelem adó
Cégtelefon adó éves keret: 600 Ft
Összesen: 600 Ft</t>
  </si>
  <si>
    <t>Telefon, fax, mobil díj
(27%) 5.193 Ft*12hó=62.316 Ft
(5%) 6.500 Ft*12hó=78.000 Ft
Összesen: 140.316 Ft</t>
  </si>
  <si>
    <t xml:space="preserve">Szociális hozzájárulási adó
1 fő - 480.000 * 19,5%= 93.600 Ft </t>
  </si>
  <si>
    <t>Szakmai tevékenységet segítő szolgáltatások:
Praevius Ker. és Szolg. Kft. - védőnői szolgáltatás 
59.400 Ft*12 hó = 712.800 Ft</t>
  </si>
  <si>
    <t>Szakmai tevékenységet segítő szolgáltatások:
Praevius Ker. és Szolg. Kft. - védőnői szolgáltatás 
210.600 Ft*12 hó = 2.527.200 Ft
Mediment Kft. OEP finansz= 157.200 Ft
Összesen:  2.684.400 Ft</t>
  </si>
  <si>
    <t>Szakmai anyag:</t>
  </si>
  <si>
    <t>Egyéb működési célú támogatások Áht. Kívülre civil szervezeteknek:
Öttevény Községért Közalapítvány: (önkormányzati rendezvények) 
510.000 Ft * 12 hó = 6.120.000 Ft</t>
  </si>
  <si>
    <t>Törvény szerinti illetmények, munkabérek:
1 fő*200.000 Ft*2 hó=400.000 Ft
1 fő*236.000 Ft*10 hó = 2.360.000 Ft
1 fő*250.000 Ft*2 hó= 500.000 Ft
1 fő*300.000 Ft*10 hó= 3.000.000 Ft
Összesen: 6.260.000 Ft</t>
  </si>
  <si>
    <t>Béren kívüli juttatás
2 fő éves: 149.009 Ft * 2 = 298.018 Ft (kedvezményes adózással)</t>
  </si>
  <si>
    <t>Szociális hozzájárulási adó
6.260.000 Ft * 19,5% = 1.220.700 Ft</t>
  </si>
  <si>
    <t>Egészségügyi hozzájárulás
Cafetéria után fizetendő: 2 fő*24.616 Ft=49.232 Ft
Cégtelefon adó éves keret: 9.000 Ft
Összesen: 58.232 Ft</t>
  </si>
  <si>
    <t>Munkáltatót terhelő személyi jövedelem adó
Cafetéria után fizetendő: 2 fő*26.375 Ft=52.750 Ft
Cégtelefon adó éves keret: 5.000 Ft
Összesen: 57.750 Ft</t>
  </si>
  <si>
    <t>Üzemeltetési anyag:
Hajtó és kenőanyag: 410.278 Ft
Munkaruha: 60.000 Ft
Egyéb anyag (csavarok, kulcsok …): 738.237 Ft
Összesen: 1.208.515 Ft</t>
  </si>
  <si>
    <t>Működési célú Áfa:
1.870.096*27%=504.926 Ft</t>
  </si>
  <si>
    <t>Közüzemi díjak:
Villamosenergia: 2018. évi teljesítés: 5.651.443 Ft</t>
  </si>
  <si>
    <t>Karbantartás, kisjavítás
E.on Kft. 2018. évi teljesítés: 1.304.703 Ft</t>
  </si>
  <si>
    <t>Működési célú Áfa:
(5.651.443+1.304.703)*27%=1.878.159 Ft</t>
  </si>
  <si>
    <r>
      <t xml:space="preserve">Egyéb berendezések beszerzése
</t>
    </r>
    <r>
      <rPr>
        <sz val="12"/>
        <rFont val="Times New Roman"/>
        <family val="1"/>
        <charset val="238"/>
      </rPr>
      <t>Támogatás szerint: 222.047 Ft</t>
    </r>
  </si>
  <si>
    <r>
      <t xml:space="preserve">Beruházási célú áfa </t>
    </r>
    <r>
      <rPr>
        <sz val="12"/>
        <rFont val="Times New Roman"/>
        <family val="1"/>
        <charset val="238"/>
      </rPr>
      <t>(59.953 Ft)</t>
    </r>
  </si>
  <si>
    <r>
      <t xml:space="preserve">Ingatlanok felújítás
</t>
    </r>
    <r>
      <rPr>
        <sz val="12"/>
        <rFont val="Times New Roman"/>
        <family val="1"/>
        <charset val="238"/>
      </rPr>
      <t xml:space="preserve">Járdák felújítása </t>
    </r>
  </si>
  <si>
    <t xml:space="preserve">Felújítási célú áfa </t>
  </si>
  <si>
    <t xml:space="preserve">Beruházási célú áfa </t>
  </si>
  <si>
    <r>
      <t>Ingatalnok beruházása</t>
    </r>
    <r>
      <rPr>
        <sz val="12"/>
        <rFont val="Times New Roman"/>
        <family val="1"/>
        <charset val="238"/>
      </rPr>
      <t/>
    </r>
  </si>
  <si>
    <t>Vagyoni értékű jog</t>
  </si>
  <si>
    <t xml:space="preserve">Működési célú áfa </t>
  </si>
  <si>
    <t>Egyéb szolgáltatások</t>
  </si>
  <si>
    <t>Üzemeltetési anyag (járda önereje)</t>
  </si>
  <si>
    <t>Szakmai tevékenységet segítő szolgáltatás
Xantus János Állatkert Közhasznú Nonprofit Kft. - gyepmesteri szolgáltatás: 50.000*12 hó = 600.000 Ft</t>
  </si>
  <si>
    <t>Működési célú Áfa:
600.000*27%=162.000 Ft</t>
  </si>
  <si>
    <t>Törvény szerinti illetmények, munkabérek:
5 fő*81.530 Ft * 3 hó=1.222.950 Ft</t>
  </si>
  <si>
    <r>
      <t xml:space="preserve">Szociális hozzájárulási adó
</t>
    </r>
    <r>
      <rPr>
        <sz val="12"/>
        <rFont val="Times New Roman"/>
        <family val="1"/>
        <charset val="238"/>
      </rPr>
      <t>(1.222.950 Ft*9,75%=119.238 Ft)</t>
    </r>
  </si>
  <si>
    <t>Egyéb működési célú támogatás Áht. Belülről elkülőnített állami pénzalapok
(1.343.000 Ft - 536.874 Ft előleg = 806.126 Ft</t>
  </si>
  <si>
    <t>Áht belüli megelőlegezés visszafizetése: 5.539.458 Ft</t>
  </si>
  <si>
    <r>
      <t xml:space="preserve">Immateriális javak:
</t>
    </r>
    <r>
      <rPr>
        <sz val="12"/>
        <rFont val="Times New Roman"/>
        <family val="1"/>
        <charset val="238"/>
      </rPr>
      <t>Településrendezési terv: 300.000 Ft</t>
    </r>
  </si>
  <si>
    <t>Egyéb működési célú kiadás</t>
  </si>
  <si>
    <t>K5063</t>
  </si>
  <si>
    <t xml:space="preserve">K506 </t>
  </si>
  <si>
    <t>Egyéb működési célú kiadás Áht belülre</t>
  </si>
  <si>
    <t>Kónyi társulásnak megállapodás alapján fizetendő elszámolás: 
Házi segítségnyújtás: 1.618.835 Ft (2018. évi)</t>
  </si>
  <si>
    <r>
      <t xml:space="preserve">Helyi önkormányzatok működésének általános támogatása
Hivatal működési támogatása: 37.601.800 Ft
Település-üzemeltetési támogatás: 16.820.371 Ft
Egyéb önkormányzati feladatok: 5.022.188 Ft
Üdülőhelyi feladatok támogatása: 282.000 Ft
Polgármesteri illetmény támogatása: 972.400 Ft
</t>
    </r>
    <r>
      <rPr>
        <b/>
        <sz val="12"/>
        <rFont val="Times New Roman"/>
        <family val="1"/>
        <charset val="238"/>
      </rPr>
      <t>Összesen: 60.698.759 Ft</t>
    </r>
  </si>
  <si>
    <r>
      <t xml:space="preserve">Köznevelési feladatok támogatása:
Óvoda bértámogatás: 36.720.600 Ft
Kisegítők bértámogatása: 13.230.000 Ft
Óvoda működési tám.: 8.766.000 Ft
Kiegészítő támogatás minősítés: 793.400 Ft
</t>
    </r>
    <r>
      <rPr>
        <b/>
        <sz val="12"/>
        <rFont val="Times New Roman"/>
        <family val="1"/>
        <charset val="238"/>
      </rPr>
      <t>Összesen: 59.510.000 Ft</t>
    </r>
  </si>
  <si>
    <r>
      <t xml:space="preserve">Szociális feladatok támogatása:
Egyéb támogatás: 7.607.476 Ft
Bölcsődei ellátás bér: 11.302.900 Ft
Bölcsődei üzemeltetési: 1.940.000 Ft
Gyermekétkeztetés tám.: 9.728.000 Ft
Gyermekétkeztetés műk.tám.: 4.639.228 Ft
</t>
    </r>
    <r>
      <rPr>
        <b/>
        <sz val="12"/>
        <rFont val="Times New Roman"/>
        <family val="1"/>
        <charset val="238"/>
      </rPr>
      <t>Összesen: 35.217.604 Ft</t>
    </r>
  </si>
  <si>
    <t>Kulturális feladatok támogatása: 3.717.120 Ft</t>
  </si>
  <si>
    <t>B115</t>
  </si>
  <si>
    <t>Kiegészítő bérrendszeri juttatás: 4.926.000 Ft</t>
  </si>
  <si>
    <t>Bérleti díjak</t>
  </si>
  <si>
    <t>Üzemeltetési anyagok
Nem reprezentációnak minősülő rendezvények anyagai</t>
  </si>
  <si>
    <t>1 fő * 43.450 * 12 hó = 521.400 Ft</t>
  </si>
  <si>
    <t>Egyéb külső személyi juttatások
2 fő*40.000 Ft*8 hó= 640.000 Ft</t>
  </si>
  <si>
    <t>Szociális hozzájárulási adó
1.161.400 Ft * 19,5% = 226.473 Ft</t>
  </si>
  <si>
    <t>Közvetített szolgáltatások</t>
  </si>
  <si>
    <r>
      <t xml:space="preserve">Ingatlan beszerzés, létesítés
</t>
    </r>
    <r>
      <rPr>
        <sz val="12"/>
        <rFont val="Times New Roman"/>
        <family val="1"/>
        <charset val="238"/>
      </rPr>
      <t>Terület vásárlás (E.on)</t>
    </r>
  </si>
  <si>
    <r>
      <t xml:space="preserve">Egyéb szolgáltatások
LH Patnet- riasztó: 96.000 Ft + 11.475*4=141.900 Ft
Aegon biztosító(M) - vagyon: 77.545*4=310.180 Ft
GYHG - hulladék: 4.100 * 12 hó=49.200 Ft
Hess System - vagyonvédelem: 29.729 *4=118.916 Ft
Terület rendezés költségei (E.on): 11.000.000 Ft
</t>
    </r>
    <r>
      <rPr>
        <b/>
        <sz val="12"/>
        <rFont val="Times New Roman"/>
        <family val="1"/>
        <charset val="238"/>
      </rPr>
      <t>Összesen: 11.620.196 Ft</t>
    </r>
  </si>
  <si>
    <t>B52</t>
  </si>
  <si>
    <t>Ingatlanok értékesítése</t>
  </si>
  <si>
    <r>
      <t>Szolgáltatások nyújtása:</t>
    </r>
    <r>
      <rPr>
        <sz val="12"/>
        <rFont val="Times New Roman"/>
        <family val="1"/>
        <charset val="238"/>
      </rPr>
      <t xml:space="preserve">
2018. évi teljesítés: 423.000 Ft</t>
    </r>
  </si>
  <si>
    <r>
      <t xml:space="preserve">Kiszámlázott áfa:
</t>
    </r>
    <r>
      <rPr>
        <sz val="12"/>
        <rFont val="Times New Roman"/>
        <family val="1"/>
        <charset val="238"/>
      </rPr>
      <t>423.000*27%= 114.210 Ft</t>
    </r>
  </si>
  <si>
    <t>Törvény szerinti illetmények, munkabérek:
1 fő*236.000 Ft*12 hó=2.832.000 Ft</t>
  </si>
  <si>
    <t>Szociális hozzájárulási adó
2.832.000 Ft *19,5%= 552.240 Ft</t>
  </si>
  <si>
    <r>
      <t xml:space="preserve">Egyéb működési bevétel:
</t>
    </r>
    <r>
      <rPr>
        <sz val="12"/>
        <rFont val="Times New Roman"/>
        <family val="1"/>
        <charset val="238"/>
      </rPr>
      <t>Közműfejlesztési hj: 150.000 Ft</t>
    </r>
    <r>
      <rPr>
        <b/>
        <sz val="12"/>
        <rFont val="Times New Roman"/>
        <family val="1"/>
        <charset val="238"/>
      </rPr>
      <t xml:space="preserve">
</t>
    </r>
    <r>
      <rPr>
        <sz val="12"/>
        <rFont val="Times New Roman"/>
        <family val="1"/>
        <charset val="238"/>
      </rPr>
      <t>Allianz Hungária szolgáltatás visszavásárlása hozammal: 60.000.000 Ft + 3.000.000 Ft = 63.000.000 Ft
Összesen: 63.150.000 Ft
(Ebből: pénzmaradvány 
Biztosíték (Za&amp;Zé és Szabó): 5.199.940 Ft
Sportcsarnok támogatása: 19.999.997 Ft)</t>
    </r>
  </si>
  <si>
    <t>Felhalmozási célú támogatás</t>
  </si>
  <si>
    <r>
      <t xml:space="preserve">Támogatások áht belül
</t>
    </r>
    <r>
      <rPr>
        <sz val="12"/>
        <rFont val="Times New Roman"/>
        <family val="1"/>
        <charset val="238"/>
      </rPr>
      <t xml:space="preserve">Szigetköz-Felső-Duna mente Társulás - tagdíj: 46.140 Ft
Győr Nagytérségi Hulladék Társulás - tagdíj: 808.408 Ft
</t>
    </r>
    <r>
      <rPr>
        <b/>
        <sz val="12"/>
        <rFont val="Times New Roman"/>
        <family val="1"/>
        <charset val="238"/>
      </rPr>
      <t>Összesen: 854.548 Ft</t>
    </r>
  </si>
  <si>
    <r>
      <t xml:space="preserve">Egyéb dologi kiadások:
Települési Önkormányzatok OSZ - tagdíj: 61.180 Ft
Magyar Limes Szövetség: díj 50.000 Ft
</t>
    </r>
    <r>
      <rPr>
        <b/>
        <sz val="12"/>
        <rFont val="Times New Roman"/>
        <family val="1"/>
        <charset val="238"/>
      </rPr>
      <t>Összesen:  111.180 Ft</t>
    </r>
  </si>
  <si>
    <t>Kiküldetés költségei
2018. évi teljesítés: 210.055 Ft</t>
  </si>
  <si>
    <t>Egyéb szolgáltatások
Kiss Sándor(AM) - tanácsadás: 50.000*4=200.000 Ft
Bank ktg (ÁHK): 2.110.000 Ft
Magyar Posta(AM) - levélfeladás: 455.000 Ft
Összesen: 2.765.000 Ft</t>
  </si>
  <si>
    <t>Mebízási díj
Szabóné Lipót Rozália: 5.000 Ft*12 hó= 60.000 Ft</t>
  </si>
  <si>
    <t>Foglalkoztatottak egyéb személyi juttatása
(betegszabadság, egyéb hozzájárulás)
2019. évi keret: 100.000 Ft
Összesen: 100.000 Ft</t>
  </si>
  <si>
    <r>
      <t xml:space="preserve">Választott tisztségviselők juttatásai
1 fő illetmény:1 fő*560.400 Ft*12 hó=6.724.800 Ft
1 fő ktg általány:1 fő*82.267 Ft*12 hó=987.204 Ft
1 fő jutalom keret: 1 fő*560.400 Ft*3 hó=1.681.200 Ft
Cafetéria éves keret: 1 fő *149.009 Ft (kedvezményes adózással)
Külső bizottsági tagdíj: 3 fő*5.000 Ft*12 hó=180.000 Ft
Képviselői tiszteletdíjak: 5 fő*24.000*12 hó=1.440.000 Ft
</t>
    </r>
    <r>
      <rPr>
        <b/>
        <sz val="12"/>
        <rFont val="Times New Roman"/>
        <family val="1"/>
        <charset val="238"/>
      </rPr>
      <t>Összesen:  11.162.213 Ft</t>
    </r>
  </si>
  <si>
    <t>Céljuttatás, projektprémium
2019. évi keret:  13.040.400 Ft *10%=1.304.040 Ft</t>
  </si>
  <si>
    <t>Szociális hozzájárulási adó
13.365.744 Ft * 19,5% = 2.606.320 Ft</t>
  </si>
  <si>
    <t>2019. évi rovatrend</t>
  </si>
  <si>
    <t xml:space="preserve">   2019. évi fő tételek (E Ft)</t>
  </si>
  <si>
    <t>Hiány (+)</t>
  </si>
  <si>
    <r>
      <t xml:space="preserve">K63 - Informatikai eszközök beszerzése
</t>
    </r>
    <r>
      <rPr>
        <sz val="11"/>
        <color theme="1"/>
        <rFont val="Calibri"/>
        <family val="2"/>
        <charset val="238"/>
        <scheme val="minor"/>
      </rPr>
      <t xml:space="preserve">(Projektor 79.000 Ft, kivetítő 12.000 Ft, laptop 126.000 Ft - Wifi hálózat kiépítés 400.000 Ft) </t>
    </r>
    <r>
      <rPr>
        <sz val="11"/>
        <color rgb="FFFF0000"/>
        <rFont val="Calibri"/>
        <family val="2"/>
        <charset val="238"/>
        <scheme val="minor"/>
      </rPr>
      <t>(Önkormányzat céltartalék 217.000 Ft)</t>
    </r>
  </si>
  <si>
    <r>
      <t xml:space="preserve">K64 - Egyéb tárgyi eszközök beszerzése
</t>
    </r>
    <r>
      <rPr>
        <sz val="11"/>
        <color theme="1"/>
        <rFont val="Calibri"/>
        <family val="2"/>
        <charset val="238"/>
        <scheme val="minor"/>
      </rPr>
      <t xml:space="preserve">(Mosógép 79.000 Ft
Porszívó 40.000 Ft,
Fényképezőgép 32.000 Ft,
Szőnyeg 12.000 Ft,
Klíma 79.000 Ft,
Karnisok, függönnyel 158.000 Ft,
Tornszerek, fejlesztő eszököz 237.000 Ft,
Udvari eszközök 788.000 Ft,
6 db szék 40.000 Ft,
Mosogató (bölcsi) 40.000 Ft,
Párakapu 40.000 Ft)
</t>
    </r>
    <r>
      <rPr>
        <sz val="11"/>
        <color rgb="FFFF0000"/>
        <rFont val="Calibri"/>
        <family val="2"/>
        <charset val="238"/>
        <scheme val="minor"/>
      </rPr>
      <t>(Önkormányzat céltartalék 1.000.000 Ft)</t>
    </r>
  </si>
  <si>
    <t>Egyéb működési célú támogatás Áht belülről társadalombiztosítás pénzügyi alapja:
OEP finanszírozás 
Iskola eü: 11.900 Ft*12 hó= 142.800 Ft
Védőnői ellátás: 323.875 Ft * 12 hó=3.886.500 Ft
Összesen: 4.029.300 Ft</t>
  </si>
  <si>
    <t>Törvény szerinti illetmények, munkabérek:
1 fő*75%*200.000 Ft*11 hó=1.650.000 Ft</t>
  </si>
  <si>
    <t>Szociális hozzájárulási adó
1.650.000*19,5%=321.750 Ft</t>
  </si>
  <si>
    <t>Törvény szerinti illetmények, munkabérek:
1 fő*25%*200.000 Ft*11 hó=550.000 Ft</t>
  </si>
  <si>
    <t>Szociális hozzájárulási adó
1 fő*550.000 Ft*19,5%=107.250 Ft</t>
  </si>
  <si>
    <t>Finanszírozás Óvoda
(Normatív támogatás=  76.212.094 Ft
Előző évi megtakarítás= 4.053.759 Ft
Önkorm. Finanszírozás=  17.856.030 Ft)</t>
  </si>
  <si>
    <t>Megnevezés</t>
  </si>
  <si>
    <t>Önkormányzat</t>
  </si>
  <si>
    <t>01</t>
  </si>
  <si>
    <t>Feladat megnevezése</t>
  </si>
  <si>
    <t>Összes bevétel, kiadás</t>
  </si>
  <si>
    <t>Forintban !</t>
  </si>
  <si>
    <t>Száma</t>
  </si>
  <si>
    <t>Előirányzat-csoport, kiemelt előirányzat megnevezése</t>
  </si>
  <si>
    <t>2019. évi eredeti előirányzat</t>
  </si>
  <si>
    <t>2019. évi módosított előirányzat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</si>
  <si>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</si>
  <si>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</si>
  <si>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</si>
  <si>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</si>
  <si>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</si>
  <si>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</si>
  <si>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</si>
  <si>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</si>
  <si>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</si>
  <si>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</si>
  <si>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</si>
  <si>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</si>
  <si>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</si>
  <si>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</si>
  <si>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</si>
  <si>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</si>
  <si>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</si>
  <si>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</si>
  <si>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</si>
  <si>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</si>
  <si>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</si>
  <si>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</si>
  <si>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</si>
  <si>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</si>
  <si>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</si>
  <si>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</si>
  <si>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</si>
  <si>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</si>
  <si>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</si>
  <si>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</si>
  <si>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</si>
  <si>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</si>
  <si>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</si>
  <si>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</si>
  <si>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</si>
  <si>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</si>
  <si>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</si>
  <si>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</si>
  <si>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</si>
  <si>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</si>
  <si>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</si>
  <si>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</si>
  <si>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</si>
  <si>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</si>
  <si>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</si>
  <si>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</si>
  <si>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(4.1.1.+….+4.1.4.)</t>
  </si>
  <si>
    <t>4.1.1.</t>
  </si>
  <si>
    <t>- Jövedelemadó</t>
  </si>
  <si>
    <t>4.1.2.</t>
  </si>
  <si>
    <t>- Vagyoni típusú adók</t>
  </si>
  <si>
    <t>4.1.3.</t>
  </si>
  <si>
    <t>- Értékesítési és fogyasztási adó</t>
  </si>
  <si>
    <t>4.1.4.</t>
  </si>
  <si>
    <t>- Gépjárműadó</t>
  </si>
  <si>
    <t>4.1.5.</t>
  </si>
  <si>
    <t>- Egyéb áruhasználati és szolgáltatási adók</t>
  </si>
  <si>
    <t>4.2.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</si>
  <si>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</si>
  <si>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</si>
  <si>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</si>
  <si>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</si>
  <si>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</si>
  <si>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</si>
  <si>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</si>
  <si>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</si>
  <si>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</si>
  <si>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</si>
  <si>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</si>
  <si>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</si>
  <si>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</si>
  <si>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</si>
  <si>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</si>
  <si>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</si>
  <si>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</si>
  <si>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</si>
  <si>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</si>
  <si>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</si>
  <si>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</si>
  <si>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</si>
  <si>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</si>
  <si>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</si>
  <si>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</si>
  <si>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</si>
  <si>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</si>
  <si>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</si>
  <si>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</si>
  <si>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</si>
  <si>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</si>
  <si>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</si>
  <si>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</si>
  <si>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</si>
  <si>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</si>
  <si>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</si>
  <si>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</si>
  <si>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</si>
  <si>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</si>
  <si>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</si>
  <si>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</si>
  <si>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</si>
  <si>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</si>
  <si>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</si>
  <si>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</si>
  <si>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</si>
  <si>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</si>
  <si>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</si>
  <si>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</si>
  <si>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</si>
  <si>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</si>
  <si>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</si>
  <si>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</si>
  <si>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</si>
  <si>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</si>
  <si>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</si>
  <si>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</si>
  <si>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</si>
  <si>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</si>
  <si>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</si>
  <si>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</si>
  <si>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</si>
  <si>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</si>
  <si>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</si>
  <si>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</si>
  <si>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</si>
  <si>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</si>
  <si>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</si>
  <si>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</si>
  <si>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</si>
  <si>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</si>
  <si>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</si>
  <si>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</si>
  <si>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</si>
  <si>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</si>
  <si>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</si>
  <si>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</si>
  <si>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</si>
  <si>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</si>
  <si>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</si>
  <si>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</si>
  <si>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</si>
  <si>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</si>
  <si>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</si>
  <si>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</si>
  <si>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</si>
  <si>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</si>
  <si>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</si>
  <si>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</si>
  <si>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</si>
  <si>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</si>
  <si>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</si>
  <si>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</si>
  <si>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</si>
  <si>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</si>
  <si>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</si>
  <si>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</si>
  <si>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</si>
  <si>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</si>
  <si>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</si>
  <si>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</si>
  <si>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</si>
  <si>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</si>
  <si>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</si>
  <si>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</si>
  <si>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</si>
  <si>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</si>
  <si>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</si>
  <si>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</si>
  <si>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</si>
  <si>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</si>
  <si>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</si>
  <si>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</si>
  <si>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</si>
  <si>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</si>
  <si>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</si>
  <si>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</si>
  <si>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</si>
  <si>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</si>
  <si>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</si>
  <si>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</si>
  <si>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</si>
  <si>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</si>
  <si>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</si>
  <si>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</si>
  <si>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</si>
  <si>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</si>
  <si>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</si>
  <si>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</si>
  <si>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</si>
  <si>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</si>
  <si>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</si>
  <si>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</si>
  <si>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</si>
  <si>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</si>
  <si>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</si>
  <si>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</si>
  <si>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</si>
  <si>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</si>
  <si>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</si>
  <si>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</si>
  <si>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</si>
  <si>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</si>
  <si>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</si>
  <si>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</si>
  <si>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</si>
  <si>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</si>
  <si>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</si>
  <si>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</si>
  <si>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</si>
  <si>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</si>
  <si>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</si>
  <si>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</si>
  <si>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</si>
  <si>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</si>
  <si>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</si>
  <si>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</si>
  <si>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</si>
  <si>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</si>
  <si>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</si>
  <si>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Központi irányítószervi támogatás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</si>
  <si>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</si>
  <si>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</si>
  <si>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</si>
  <si>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</si>
  <si>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</si>
  <si>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</si>
  <si>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</si>
  <si>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</si>
  <si>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</si>
  <si>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</si>
  <si>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</si>
  <si>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</si>
  <si>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</si>
  <si>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</si>
  <si>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011130</t>
  </si>
  <si>
    <t>013320</t>
  </si>
  <si>
    <t>013350</t>
  </si>
  <si>
    <t>013360</t>
  </si>
  <si>
    <t>013370</t>
  </si>
  <si>
    <t>016080</t>
  </si>
  <si>
    <t>018010</t>
  </si>
  <si>
    <t>018030</t>
  </si>
  <si>
    <t>041233</t>
  </si>
  <si>
    <t>042180</t>
  </si>
  <si>
    <t>045160</t>
  </si>
  <si>
    <t>047320</t>
  </si>
  <si>
    <t>063020</t>
  </si>
  <si>
    <t>064010</t>
  </si>
  <si>
    <t>066010</t>
  </si>
  <si>
    <t>066020</t>
  </si>
  <si>
    <t>072111</t>
  </si>
  <si>
    <t>072311</t>
  </si>
  <si>
    <t>074011</t>
  </si>
  <si>
    <t>074031</t>
  </si>
  <si>
    <t>074032</t>
  </si>
  <si>
    <t>081041</t>
  </si>
  <si>
    <t>081045</t>
  </si>
  <si>
    <t>082044</t>
  </si>
  <si>
    <t>082092</t>
  </si>
  <si>
    <t>083030</t>
  </si>
  <si>
    <t>084032</t>
  </si>
  <si>
    <t>091140</t>
  </si>
  <si>
    <t>094260</t>
  </si>
  <si>
    <t>096015</t>
  </si>
  <si>
    <t>101150</t>
  </si>
  <si>
    <t>103010</t>
  </si>
  <si>
    <t>104051</t>
  </si>
  <si>
    <t>106020</t>
  </si>
  <si>
    <t>107051</t>
  </si>
  <si>
    <t>107052</t>
  </si>
  <si>
    <t>900020</t>
  </si>
  <si>
    <t>900060</t>
  </si>
  <si>
    <t>Közhatalmi bevételek (4.1.+4.2.)</t>
  </si>
  <si>
    <t>Éves engedélyezett létszám előirányzat (fő)</t>
  </si>
  <si>
    <t>Közfoglalkoztatottak létszáma (fő)</t>
  </si>
  <si>
    <t>Költségv.szerv megnevezése</t>
  </si>
  <si>
    <t>Polgármesteri /közös/ hivatal</t>
  </si>
  <si>
    <t>02</t>
  </si>
  <si>
    <t>011220</t>
  </si>
  <si>
    <t>016020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</si>
  <si>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</si>
  <si>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</si>
  <si>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</si>
  <si>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</si>
  <si>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</si>
  <si>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</si>
  <si>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</si>
  <si>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</si>
  <si>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</si>
  <si>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4.3.</t>
  </si>
  <si>
    <t>- ebből EU-s támogatás</t>
  </si>
  <si>
    <t>Felhalmozási bevételek (5.1.+…+5.3.)</t>
  </si>
  <si>
    <t>Működési célú átvett pénzeszközök</t>
  </si>
  <si>
    <t>Felhalmozási célú átvett pénzeszközök</t>
  </si>
  <si>
    <t>Költségvetési bevételek összesen (1.+…+7.)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</si>
  <si>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</si>
  <si>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</si>
  <si>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</si>
  <si>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</si>
  <si>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</si>
  <si>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</si>
  <si>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</si>
  <si>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</si>
  <si>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</si>
  <si>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</si>
  <si>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</si>
  <si>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</si>
  <si>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</si>
  <si>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Napköziotthonos Óvoda és Bölcsőde</t>
  </si>
  <si>
    <t>03</t>
  </si>
  <si>
    <t>091110</t>
  </si>
  <si>
    <t>091120</t>
  </si>
  <si>
    <t>104031</t>
  </si>
  <si>
    <t>104035</t>
  </si>
  <si>
    <t>I. Működési célú bevételek és kiadások mérlege
(Önkormányzati szinten)</t>
  </si>
  <si>
    <t xml:space="preserve"> Ezer forintban !</t>
  </si>
  <si>
    <t>Sor-
szám</t>
  </si>
  <si>
    <t>Önkormányzatok működési támogatásai</t>
  </si>
  <si>
    <t>Működési célú támogatások államháztartáson belülről</t>
  </si>
  <si>
    <t>2.-ból EU-s támogatás</t>
  </si>
  <si>
    <t xml:space="preserve">Dologi kiadások </t>
  </si>
  <si>
    <t>Tartalékok</t>
  </si>
  <si>
    <t>4.-ből EU-s támogatás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</si>
  <si>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</si>
  <si>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</si>
  <si>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</si>
  <si>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</si>
  <si>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</si>
  <si>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</si>
  <si>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</si>
  <si>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</si>
  <si>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</si>
  <si>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</si>
  <si>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</si>
  <si>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</si>
  <si>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</si>
  <si>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</si>
  <si>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</si>
  <si>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</si>
  <si>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</si>
  <si>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</si>
  <si>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</si>
  <si>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</si>
  <si>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</si>
  <si>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</si>
  <si>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</si>
  <si>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</si>
  <si>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</si>
  <si>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</si>
  <si>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</si>
  <si>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</si>
  <si>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Áht. Belüli megelőlegezés visszafizetése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</si>
  <si>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</si>
  <si>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</si>
  <si>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</si>
  <si>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</si>
  <si>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</si>
  <si>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</si>
  <si>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</si>
  <si>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</si>
  <si>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</si>
  <si>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</si>
  <si>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</si>
  <si>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</si>
  <si>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</si>
  <si>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</si>
  <si>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</si>
  <si>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</si>
  <si>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</si>
  <si>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</si>
  <si>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</si>
  <si>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</si>
  <si>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</si>
  <si>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</si>
  <si>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</si>
  <si>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</si>
  <si>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</si>
  <si>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</si>
  <si>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</si>
  <si>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</si>
  <si>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</si>
  <si>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</si>
  <si>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</si>
  <si>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</si>
  <si>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</si>
  <si>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</si>
  <si>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</si>
  <si>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</si>
  <si>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</si>
  <si>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</si>
  <si>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</si>
  <si>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</si>
  <si>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</si>
  <si>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</si>
  <si>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</si>
  <si>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2019. évi erdeti előirányzat</t>
  </si>
  <si>
    <t>Forintban</t>
  </si>
  <si>
    <t xml:space="preserve"> Forintban !</t>
  </si>
  <si>
    <t>Öttevény Község Önkormányzata adósságot keletkeztető ügyletekből és kezességvállalásokból fennálló kötelezettségei</t>
  </si>
  <si>
    <t>Sor-szám</t>
  </si>
  <si>
    <t>MEGNEVEZÉS</t>
  </si>
  <si>
    <t>Évek</t>
  </si>
  <si>
    <t>Összesen
(6=3+4+5)</t>
  </si>
  <si>
    <t>Magyar Államkincstár megelőlegezés</t>
  </si>
  <si>
    <t>ÖSSZES KÖTELEZETTSÉG</t>
  </si>
  <si>
    <t>2019.</t>
  </si>
  <si>
    <t>Öttevény Község Önkormányzata saját bevételeinek részletezése az adósságot keletkeztető ügyletből származó tárgyévi fizetési kötelezettség megállapításához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</si>
  <si>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</si>
  <si>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</si>
  <si>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</si>
  <si>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</si>
  <si>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</si>
  <si>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</si>
  <si>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</si>
  <si>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</si>
  <si>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Felújítási kiadások előirányzata felújításonként</t>
  </si>
  <si>
    <t>Felújítás  megnevezése</t>
  </si>
  <si>
    <t>Teljes költség</t>
  </si>
  <si>
    <t>Kivitelezés kezdési és befejezési éve</t>
  </si>
  <si>
    <t>Felhasználás
2017. XII.31-ig</t>
  </si>
  <si>
    <t>2018. évi előirányzat</t>
  </si>
  <si>
    <t>2018. évi teljesítés</t>
  </si>
  <si>
    <t>Öttevényi Mackó-Kuckó Napköziotthonos Óvoda és Bölcsőde</t>
  </si>
  <si>
    <t>ÖSSZESEN:</t>
  </si>
  <si>
    <t>Beruházási (felhalmozási) kiadások előirányzata beruházásonként</t>
  </si>
  <si>
    <t>Beruházás  megnevezése</t>
  </si>
  <si>
    <t xml:space="preserve">
2018. év utáni szükséglet</t>
  </si>
  <si>
    <t>6=(2-4-5)</t>
  </si>
  <si>
    <t>Kisértékű egyéb berendezések</t>
  </si>
  <si>
    <t>2019</t>
  </si>
  <si>
    <t>Turisztikai beruházás</t>
  </si>
  <si>
    <t>Iskolának eszközök</t>
  </si>
  <si>
    <t>Település rendezési terv</t>
  </si>
  <si>
    <r>
      <t xml:space="preserve">
a 2013. évi tervezett tartalékokról   (</t>
    </r>
    <r>
      <rPr>
        <b/>
        <sz val="11"/>
        <rFont val="Times New Roman"/>
        <family val="1"/>
        <charset val="238"/>
      </rPr>
      <t>E Ft!)</t>
    </r>
  </si>
  <si>
    <t>Szakfeladat</t>
  </si>
  <si>
    <t>Általános</t>
  </si>
  <si>
    <t>működési tartalék</t>
  </si>
  <si>
    <t>működésre</t>
  </si>
  <si>
    <t>felhalmozásra</t>
  </si>
  <si>
    <t>Sportcsarnok felújítása</t>
  </si>
  <si>
    <t>2017. évi iparűzésiadó bevétel 10% felhasználása</t>
  </si>
  <si>
    <t>2016. évi iparűzésiadó bevétel 10% felhasználása</t>
  </si>
  <si>
    <t>Önkormányzat összesen</t>
  </si>
  <si>
    <t>Ft!</t>
  </si>
  <si>
    <t>2018. évi iparűzésiadó bevétel 10% felhasználása</t>
  </si>
  <si>
    <t>Föld vásárlás</t>
  </si>
  <si>
    <t>Óvoda fejlesztés</t>
  </si>
  <si>
    <t>TOP Bölcsőde visszafizetési kötelezettség</t>
  </si>
  <si>
    <t>VP Piac pályázati önerő</t>
  </si>
  <si>
    <t>Biztosíték (Za&amp;Zé és Szabó)</t>
  </si>
  <si>
    <t>Elöző évi költségvetési mardvány igénybe vétele:
Állami megelőlegezés: 5.539.458 Ft
Iparűzési adó 10% (2016): 5.406.334 Ft - tervezés 810.260 Ft = 4.596.074 Ft
Iparűzési adó 10% (2017): 5.800.672 Ft
Iparűzési adó 10% (2018): 6.944.974 Ft
Közfogalakoztatotti támogatás előleg: 536.874 Ft
IPA érdekeltési: 387.049 Ft
Összesen: 23.805.101 Ft</t>
  </si>
  <si>
    <t>Finanszírozás Hivatal
(Normatív támogatás= 59.163.310 Ft
Előző évi megtakarítás= 4.636.019 Ft
Önkorm. Finanszírozás=  4.723.216 Ft)</t>
  </si>
  <si>
    <r>
      <t xml:space="preserve">Tartalék:
</t>
    </r>
    <r>
      <rPr>
        <sz val="12"/>
        <rFont val="Times New Roman"/>
        <family val="1"/>
        <charset val="238"/>
      </rPr>
      <t xml:space="preserve">Általános tartalék: 2.382.509 Ft
</t>
    </r>
    <r>
      <rPr>
        <b/>
        <sz val="12"/>
        <rFont val="Times New Roman"/>
        <family val="1"/>
        <charset val="238"/>
      </rPr>
      <t>Céltartalék:</t>
    </r>
    <r>
      <rPr>
        <sz val="12"/>
        <rFont val="Times New Roman"/>
        <family val="1"/>
        <charset val="238"/>
      </rPr>
      <t xml:space="preserve">
Iparűzési 2016 10%: 5.406.334 Ft - tervezés 810.260 Ft = 4.596.074 Ft
Iparűzési 2017 10%: 5.800.672 Ft
Iparűzési 2018 10%:  6.944.974 Ft
Sportcsarnok felújítás: 23.529.290 Ft
Biztosíték (Za&amp;Zé és Szabó): 5.199.940 Ft
VP Piac pályázat önerő: 15.400.159 Ft
TOP Bölcsőde visszafizetési kötelezettség: 5.000.000 Ft
Óvoda fejlesztés: 1.545.590 Ft
</t>
    </r>
    <r>
      <rPr>
        <b/>
        <sz val="12"/>
        <rFont val="Times New Roman"/>
        <family val="1"/>
        <charset val="238"/>
      </rPr>
      <t>Összesen:  68.016.699 Ft</t>
    </r>
  </si>
  <si>
    <t>Kötelező feladatainak bevétele, kiadása</t>
  </si>
  <si>
    <t>Adatszolgáltatás 
az elismert tartozásállományról</t>
  </si>
  <si>
    <t>Költségvetési szerv neve:</t>
  </si>
  <si>
    <t xml:space="preserve">Éves eredeti kiadási előirányzat: </t>
  </si>
  <si>
    <t>30 napon túli elismert tartozásállomány összesen: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</si>
  <si>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</si>
  <si>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</si>
  <si>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</si>
  <si>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</si>
  <si>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</si>
  <si>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Összesen: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</si>
  <si>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</si>
  <si>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</si>
  <si>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</si>
  <si>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</si>
  <si>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</si>
  <si>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Dr. Bider Zsolt</t>
  </si>
  <si>
    <t>költségvetési szerv vezetője</t>
  </si>
  <si>
    <t>dr. Földesi Tamás</t>
  </si>
  <si>
    <t>Öttevény, 2019. február 14.</t>
  </si>
  <si>
    <t>Molnár Imréné</t>
  </si>
  <si>
    <t>Egyéb tartozásállomány (szállítók - 1.320.088 Ft)</t>
  </si>
  <si>
    <t>Egyéb tartozásállomány (szállítók - 51.286 Ft)</t>
  </si>
  <si>
    <t>Egyéb tartozásállomány (Szállítók - 3 Ft)</t>
  </si>
  <si>
    <t>Támogatott szervezet neve</t>
  </si>
  <si>
    <t>Támogatás célja</t>
  </si>
  <si>
    <t>Felosztható</t>
  </si>
  <si>
    <t>Támogatás összge 
(Ft)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</si>
  <si>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</si>
  <si>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</si>
  <si>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</si>
  <si>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</si>
  <si>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9=(4+5+6+7+8)</t>
  </si>
  <si>
    <t>Működési célú finanszírozási kiadások
(hiteltörlesztés, értékpapír vásárlás, stb.)</t>
  </si>
  <si>
    <t>…………………..</t>
  </si>
  <si>
    <t>............................</t>
  </si>
  <si>
    <t>Felhalmozási célú finanszírozási kiadások
(hiteltörlesztés, értékpapír vásárlás, stb.)</t>
  </si>
  <si>
    <t>………………….</t>
  </si>
  <si>
    <t>Beruházási kiadások beruházásonként</t>
  </si>
  <si>
    <t>Településrendezési terv</t>
  </si>
  <si>
    <t>2016</t>
  </si>
  <si>
    <t>Felújítási kiadások felújításonként</t>
  </si>
  <si>
    <t>Egyéb (Pl.: garancia és kezességvállalás, stb.)</t>
  </si>
  <si>
    <t>Összesen (1+4+7+9+11)</t>
  </si>
  <si>
    <t>2019 előtti kifizetés</t>
  </si>
  <si>
    <t>Az önkormányzat által adott közvetett támogatások
(kedvezmények)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</si>
  <si>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</si>
  <si>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</si>
  <si>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</si>
  <si>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</si>
  <si>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</si>
  <si>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</si>
  <si>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</si>
  <si>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</si>
  <si>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</si>
  <si>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Magánszemélyek kommunális adója </t>
  </si>
  <si>
    <t xml:space="preserve">Idegenforgalmi adó tartózkodás után </t>
  </si>
  <si>
    <t xml:space="preserve">Talajterhelési díj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</si>
  <si>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</si>
  <si>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</si>
  <si>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</si>
  <si>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</si>
  <si>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</si>
  <si>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</si>
  <si>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Egyéb áruhasználati és szolgáltatrási adó</t>
  </si>
  <si>
    <t>Jövedelemadó</t>
  </si>
  <si>
    <t>Öttevény Község Önkormányzat likviditási terve
2017.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</si>
  <si>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</si>
  <si>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</si>
  <si>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</si>
  <si>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</si>
  <si>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</si>
  <si>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</si>
  <si>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</si>
  <si>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</si>
  <si>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</si>
  <si>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</si>
  <si>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</si>
  <si>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</si>
  <si>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Nyitó pénzkészlet</t>
  </si>
  <si>
    <t>-----</t>
  </si>
  <si>
    <t>Működési célú támogatások ÁH-on belül</t>
  </si>
  <si>
    <t>Felhalmozási célú támogatások ÁH-on belül</t>
  </si>
  <si>
    <t>Bevételek összesen:</t>
  </si>
  <si>
    <t>Ellátottak pénzbeli juttatása</t>
  </si>
  <si>
    <t>Kiadások összesen:</t>
  </si>
  <si>
    <t>Egyenleg (11-21)</t>
  </si>
  <si>
    <t>Likvid terv 3/2019.(II.25.) önkormányzati rendelethez</t>
  </si>
  <si>
    <t>Forintban!</t>
  </si>
  <si>
    <t>Ssz.</t>
  </si>
  <si>
    <t xml:space="preserve"> Egyéb működési célú kiadások</t>
  </si>
  <si>
    <t>Egyenleg</t>
  </si>
  <si>
    <t>Államigazgatási feladatok bevétele, kiadása</t>
  </si>
  <si>
    <t>Kötelező feladatok bevétele, kiadása</t>
  </si>
  <si>
    <t>Önként vállalt feladatok bevétele, kiadása</t>
  </si>
  <si>
    <t>7.1.2 melléklet a 3/2019. (II.25.) önkormányzati rendelethez</t>
  </si>
  <si>
    <t>Előirányzat-felhasználási terv
2019. évre</t>
  </si>
  <si>
    <t>Informatikai eszközök (keret)</t>
  </si>
  <si>
    <t>Egyéb gépek, berendezések (keret)</t>
  </si>
  <si>
    <t>Modern Magyar Falu rendezvény</t>
  </si>
  <si>
    <t>1.1. melléklet a 8/2019. (V.20.) önkormányzati rendelethez</t>
  </si>
  <si>
    <t>4.1.(7.1.) melléklet a  8/2019. (V.20.) önkormányzati rendelethez</t>
  </si>
  <si>
    <t>4.1.1.(7.1.1) melléklet a 8/2019. (V.20.) önkormányzati rendelethez</t>
  </si>
  <si>
    <t>4.1.3.(7.1.3) melléklet a 8/2019. (V.20.) önkormányzati rendelethez</t>
  </si>
  <si>
    <t>4.2.(7.2.) melléklet a 8/2019. (V.20.) önkormányzati rendelethez</t>
  </si>
  <si>
    <t>4.2.1.(7.2.1) melléklet a 8/2019. (V.20.) önkormányzati rendelethez</t>
  </si>
  <si>
    <t>4.2.2.(7.2.2) melléklet a 8/2019. (V.20.) önkormányzati rendelethez</t>
  </si>
  <si>
    <t>4.3.(7.3.) melléklet a 8/2019. (V.20.) önkormányzati rendelethez</t>
  </si>
  <si>
    <t>4.3.1.(7.3.1) melléklet a 8/2019. (V.20.) önkormányzati rendelethez</t>
  </si>
  <si>
    <t>5.(8.) számú melléklet a 8/2019 (V.20.) önkormányzati rendelethez</t>
  </si>
</sst>
</file>

<file path=xl/styles.xml><?xml version="1.0" encoding="utf-8"?>
<styleSheet xmlns="http://schemas.openxmlformats.org/spreadsheetml/2006/main">
  <numFmts count="5">
    <numFmt numFmtId="6" formatCode="#,##0\ &quot;Ft&quot;;[Red]\-#,##0\ &quot;Ft&quot;"/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\ &quot;Ft&quot;"/>
  </numFmts>
  <fonts count="89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30"/>
      <name val="Times New Roman"/>
      <family val="1"/>
      <charset val="238"/>
    </font>
    <font>
      <b/>
      <sz val="12"/>
      <color indexed="3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color rgb="FF00B050"/>
      <name val="Times New Roman"/>
      <family val="1"/>
      <charset val="238"/>
    </font>
    <font>
      <b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B05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0070C0"/>
      <name val="Calibri"/>
      <family val="2"/>
      <charset val="238"/>
    </font>
    <font>
      <b/>
      <sz val="12"/>
      <color rgb="FF0070C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</font>
    <font>
      <i/>
      <sz val="11"/>
      <name val="Calibri"/>
      <family val="2"/>
      <charset val="238"/>
      <scheme val="minor"/>
    </font>
    <font>
      <i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0066FF"/>
      <name val="Calibri"/>
      <family val="2"/>
      <charset val="238"/>
    </font>
    <font>
      <b/>
      <sz val="12"/>
      <color rgb="FF00B0F0"/>
      <name val="Calibri"/>
      <family val="2"/>
      <charset val="238"/>
    </font>
    <font>
      <b/>
      <i/>
      <sz val="12"/>
      <color rgb="FF0070C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0"/>
      <name val="Times New Roman CE"/>
      <charset val="238"/>
    </font>
    <font>
      <sz val="9"/>
      <name val="Times New Roman"/>
      <family val="1"/>
      <charset val="238"/>
    </font>
    <font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i/>
      <sz val="8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MS Sans Serif"/>
      <family val="2"/>
      <charset val="238"/>
    </font>
    <font>
      <b/>
      <i/>
      <sz val="8"/>
      <name val="Times New Roman CE"/>
      <family val="1"/>
      <charset val="238"/>
    </font>
    <font>
      <sz val="9"/>
      <color indexed="10"/>
      <name val="Times New Roman CE"/>
      <charset val="238"/>
    </font>
    <font>
      <b/>
      <i/>
      <sz val="8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MS Sans Serif"/>
      <family val="2"/>
      <charset val="238"/>
    </font>
    <font>
      <sz val="12"/>
      <color indexed="8"/>
      <name val="Times New Roman"/>
      <family val="1"/>
    </font>
    <font>
      <b/>
      <i/>
      <sz val="12"/>
      <name val="Times New Roman CE"/>
      <family val="1"/>
      <charset val="238"/>
    </font>
    <font>
      <sz val="10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Horizontal">
        <bgColor theme="0"/>
      </patternFill>
    </fill>
    <fill>
      <patternFill patternType="darkHorizontal"/>
    </fill>
    <fill>
      <patternFill patternType="lightHorizontal"/>
    </fill>
  </fills>
  <borders count="9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38" fillId="0" borderId="0"/>
    <xf numFmtId="0" fontId="46" fillId="0" borderId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38" fillId="0" borderId="0"/>
    <xf numFmtId="0" fontId="69" fillId="0" borderId="0"/>
    <xf numFmtId="0" fontId="69" fillId="0" borderId="0"/>
    <xf numFmtId="9" fontId="38" fillId="0" borderId="0" applyFont="0" applyFill="0" applyBorder="0" applyAlignment="0" applyProtection="0"/>
    <xf numFmtId="0" fontId="74" fillId="0" borderId="0"/>
    <xf numFmtId="0" fontId="16" fillId="0" borderId="0"/>
    <xf numFmtId="0" fontId="46" fillId="0" borderId="0"/>
  </cellStyleXfs>
  <cellXfs count="1921">
    <xf numFmtId="0" fontId="0" fillId="0" borderId="0" xfId="0"/>
    <xf numFmtId="0" fontId="3" fillId="0" borderId="0" xfId="1"/>
    <xf numFmtId="0" fontId="5" fillId="0" borderId="0" xfId="1" applyFont="1"/>
    <xf numFmtId="3" fontId="4" fillId="2" borderId="10" xfId="1" applyNumberFormat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left" vertical="center" wrapText="1"/>
    </xf>
    <xf numFmtId="3" fontId="7" fillId="3" borderId="16" xfId="1" applyNumberFormat="1" applyFont="1" applyFill="1" applyBorder="1" applyAlignment="1">
      <alignment horizontal="right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left" vertical="center" wrapText="1"/>
    </xf>
    <xf numFmtId="3" fontId="4" fillId="3" borderId="16" xfId="1" applyNumberFormat="1" applyFont="1" applyFill="1" applyBorder="1" applyAlignment="1">
      <alignment horizontal="right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right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vertical="center" wrapText="1"/>
    </xf>
    <xf numFmtId="3" fontId="7" fillId="3" borderId="19" xfId="1" applyNumberFormat="1" applyFont="1" applyFill="1" applyBorder="1" applyAlignment="1">
      <alignment vertical="center"/>
    </xf>
    <xf numFmtId="3" fontId="7" fillId="3" borderId="19" xfId="1" applyNumberFormat="1" applyFont="1" applyFill="1" applyBorder="1" applyAlignment="1">
      <alignment horizontal="right" vertical="center" wrapText="1"/>
    </xf>
    <xf numFmtId="3" fontId="7" fillId="3" borderId="20" xfId="1" applyNumberFormat="1" applyFont="1" applyFill="1" applyBorder="1" applyAlignment="1">
      <alignment horizontal="right" vertical="center" wrapText="1"/>
    </xf>
    <xf numFmtId="0" fontId="7" fillId="3" borderId="19" xfId="1" applyNumberFormat="1" applyFont="1" applyFill="1" applyBorder="1" applyAlignment="1">
      <alignment vertical="center" wrapText="1"/>
    </xf>
    <xf numFmtId="3" fontId="7" fillId="3" borderId="20" xfId="1" applyNumberFormat="1" applyFont="1" applyFill="1" applyBorder="1" applyAlignment="1">
      <alignment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vertical="center" wrapText="1"/>
    </xf>
    <xf numFmtId="3" fontId="4" fillId="3" borderId="19" xfId="1" applyNumberFormat="1" applyFont="1" applyFill="1" applyBorder="1" applyAlignment="1">
      <alignment vertical="center"/>
    </xf>
    <xf numFmtId="3" fontId="4" fillId="3" borderId="19" xfId="1" applyNumberFormat="1" applyFont="1" applyFill="1" applyBorder="1" applyAlignment="1">
      <alignment horizontal="right" vertical="center" wrapText="1"/>
    </xf>
    <xf numFmtId="3" fontId="8" fillId="3" borderId="20" xfId="1" applyNumberFormat="1" applyFont="1" applyFill="1" applyBorder="1" applyAlignment="1">
      <alignment vertical="center" wrapText="1"/>
    </xf>
    <xf numFmtId="0" fontId="9" fillId="3" borderId="18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vertical="center" wrapText="1"/>
    </xf>
    <xf numFmtId="3" fontId="9" fillId="3" borderId="19" xfId="1" applyNumberFormat="1" applyFont="1" applyFill="1" applyBorder="1" applyAlignment="1">
      <alignment vertical="center"/>
    </xf>
    <xf numFmtId="3" fontId="9" fillId="3" borderId="19" xfId="1" applyNumberFormat="1" applyFont="1" applyFill="1" applyBorder="1" applyAlignment="1">
      <alignment horizontal="right" vertical="center" wrapText="1"/>
    </xf>
    <xf numFmtId="3" fontId="9" fillId="3" borderId="20" xfId="1" applyNumberFormat="1" applyFont="1" applyFill="1" applyBorder="1" applyAlignment="1">
      <alignment vertical="center" wrapText="1"/>
    </xf>
    <xf numFmtId="0" fontId="11" fillId="0" borderId="0" xfId="1" applyFont="1"/>
    <xf numFmtId="0" fontId="9" fillId="3" borderId="19" xfId="1" applyFont="1" applyFill="1" applyBorder="1" applyAlignment="1">
      <alignment vertical="center" wrapText="1"/>
    </xf>
    <xf numFmtId="3" fontId="9" fillId="3" borderId="20" xfId="1" applyNumberFormat="1" applyFont="1" applyFill="1" applyBorder="1" applyAlignment="1">
      <alignment horizontal="right" vertical="center" wrapText="1"/>
    </xf>
    <xf numFmtId="0" fontId="7" fillId="3" borderId="21" xfId="1" applyFont="1" applyFill="1" applyBorder="1" applyAlignment="1">
      <alignment horizontal="center" vertical="center" wrapText="1"/>
    </xf>
    <xf numFmtId="0" fontId="7" fillId="3" borderId="22" xfId="1" applyFont="1" applyFill="1" applyBorder="1" applyAlignment="1">
      <alignment vertical="center" wrapText="1"/>
    </xf>
    <xf numFmtId="3" fontId="7" fillId="3" borderId="22" xfId="1" applyNumberFormat="1" applyFont="1" applyFill="1" applyBorder="1" applyAlignment="1">
      <alignment vertical="center"/>
    </xf>
    <xf numFmtId="3" fontId="7" fillId="3" borderId="22" xfId="1" applyNumberFormat="1" applyFont="1" applyFill="1" applyBorder="1" applyAlignment="1">
      <alignment horizontal="right" vertical="center" wrapText="1"/>
    </xf>
    <xf numFmtId="3" fontId="7" fillId="3" borderId="23" xfId="1" applyNumberFormat="1" applyFont="1" applyFill="1" applyBorder="1" applyAlignment="1">
      <alignment horizontal="right" vertical="center" wrapText="1"/>
    </xf>
    <xf numFmtId="3" fontId="7" fillId="3" borderId="22" xfId="1" applyNumberFormat="1" applyFont="1" applyFill="1" applyBorder="1" applyAlignment="1">
      <alignment vertical="center" wrapText="1"/>
    </xf>
    <xf numFmtId="3" fontId="3" fillId="0" borderId="0" xfId="1" applyNumberFormat="1"/>
    <xf numFmtId="0" fontId="4" fillId="3" borderId="21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vertical="center" wrapText="1"/>
    </xf>
    <xf numFmtId="3" fontId="4" fillId="3" borderId="22" xfId="1" applyNumberFormat="1" applyFont="1" applyFill="1" applyBorder="1" applyAlignment="1">
      <alignment vertical="center" wrapText="1"/>
    </xf>
    <xf numFmtId="3" fontId="4" fillId="3" borderId="23" xfId="1" applyNumberFormat="1" applyFont="1" applyFill="1" applyBorder="1" applyAlignment="1">
      <alignment horizontal="right" vertical="center" wrapText="1"/>
    </xf>
    <xf numFmtId="3" fontId="5" fillId="0" borderId="0" xfId="1" applyNumberFormat="1" applyFont="1"/>
    <xf numFmtId="0" fontId="10" fillId="3" borderId="18" xfId="1" applyFont="1" applyFill="1" applyBorder="1" applyAlignment="1">
      <alignment horizontal="center" vertical="center" wrapText="1"/>
    </xf>
    <xf numFmtId="3" fontId="10" fillId="3" borderId="19" xfId="1" applyNumberFormat="1" applyFont="1" applyFill="1" applyBorder="1" applyAlignment="1">
      <alignment vertical="center"/>
    </xf>
    <xf numFmtId="3" fontId="10" fillId="3" borderId="19" xfId="1" applyNumberFormat="1" applyFont="1" applyFill="1" applyBorder="1" applyAlignment="1">
      <alignment horizontal="right" vertical="center" wrapText="1"/>
    </xf>
    <xf numFmtId="3" fontId="10" fillId="3" borderId="20" xfId="1" applyNumberFormat="1" applyFont="1" applyFill="1" applyBorder="1" applyAlignment="1">
      <alignment horizontal="right" vertical="center" wrapText="1"/>
    </xf>
    <xf numFmtId="3" fontId="4" fillId="3" borderId="20" xfId="1" applyNumberFormat="1" applyFont="1" applyFill="1" applyBorder="1" applyAlignment="1">
      <alignment horizontal="right" vertical="center" wrapText="1"/>
    </xf>
    <xf numFmtId="3" fontId="4" fillId="4" borderId="25" xfId="1" applyNumberFormat="1" applyFont="1" applyFill="1" applyBorder="1" applyAlignment="1">
      <alignment horizontal="right" vertical="center" wrapText="1"/>
    </xf>
    <xf numFmtId="0" fontId="4" fillId="5" borderId="18" xfId="1" applyFont="1" applyFill="1" applyBorder="1" applyAlignment="1">
      <alignment horizontal="center" vertical="center" wrapText="1"/>
    </xf>
    <xf numFmtId="0" fontId="4" fillId="5" borderId="19" xfId="1" applyFont="1" applyFill="1" applyBorder="1" applyAlignment="1">
      <alignment vertical="center" wrapText="1"/>
    </xf>
    <xf numFmtId="3" fontId="4" fillId="5" borderId="19" xfId="1" applyNumberFormat="1" applyFont="1" applyFill="1" applyBorder="1" applyAlignment="1">
      <alignment vertical="center"/>
    </xf>
    <xf numFmtId="3" fontId="4" fillId="5" borderId="19" xfId="1" applyNumberFormat="1" applyFont="1" applyFill="1" applyBorder="1" applyAlignment="1">
      <alignment vertical="center" wrapText="1"/>
    </xf>
    <xf numFmtId="3" fontId="7" fillId="5" borderId="20" xfId="1" applyNumberFormat="1" applyFont="1" applyFill="1" applyBorder="1" applyAlignment="1">
      <alignment horizontal="right" vertical="center" wrapText="1"/>
    </xf>
    <xf numFmtId="0" fontId="12" fillId="5" borderId="18" xfId="1" applyFont="1" applyFill="1" applyBorder="1" applyAlignment="1">
      <alignment horizontal="center" vertical="center" wrapText="1"/>
    </xf>
    <xf numFmtId="0" fontId="12" fillId="5" borderId="19" xfId="1" applyNumberFormat="1" applyFont="1" applyFill="1" applyBorder="1" applyAlignment="1">
      <alignment vertical="center" wrapText="1"/>
    </xf>
    <xf numFmtId="3" fontId="12" fillId="5" borderId="19" xfId="1" applyNumberFormat="1" applyFont="1" applyFill="1" applyBorder="1" applyAlignment="1">
      <alignment vertical="center"/>
    </xf>
    <xf numFmtId="3" fontId="12" fillId="5" borderId="19" xfId="1" applyNumberFormat="1" applyFont="1" applyFill="1" applyBorder="1" applyAlignment="1">
      <alignment horizontal="right" vertical="center" wrapText="1"/>
    </xf>
    <xf numFmtId="3" fontId="12" fillId="5" borderId="20" xfId="1" applyNumberFormat="1" applyFont="1" applyFill="1" applyBorder="1" applyAlignment="1">
      <alignment vertical="center" wrapText="1"/>
    </xf>
    <xf numFmtId="0" fontId="4" fillId="5" borderId="19" xfId="1" applyNumberFormat="1" applyFont="1" applyFill="1" applyBorder="1" applyAlignment="1">
      <alignment vertical="center" wrapText="1"/>
    </xf>
    <xf numFmtId="3" fontId="4" fillId="5" borderId="19" xfId="1" applyNumberFormat="1" applyFont="1" applyFill="1" applyBorder="1" applyAlignment="1">
      <alignment horizontal="right" vertical="center" wrapText="1"/>
    </xf>
    <xf numFmtId="3" fontId="4" fillId="5" borderId="20" xfId="1" applyNumberFormat="1" applyFont="1" applyFill="1" applyBorder="1" applyAlignment="1">
      <alignment vertical="center" wrapText="1"/>
    </xf>
    <xf numFmtId="3" fontId="12" fillId="5" borderId="20" xfId="1" applyNumberFormat="1" applyFont="1" applyFill="1" applyBorder="1" applyAlignment="1">
      <alignment horizontal="right" vertical="center" wrapText="1"/>
    </xf>
    <xf numFmtId="3" fontId="4" fillId="6" borderId="25" xfId="1" applyNumberFormat="1" applyFont="1" applyFill="1" applyBorder="1" applyAlignment="1">
      <alignment horizontal="right" vertical="center" wrapText="1"/>
    </xf>
    <xf numFmtId="0" fontId="4" fillId="3" borderId="26" xfId="1" applyFont="1" applyFill="1" applyBorder="1" applyAlignment="1">
      <alignment horizontal="center" vertical="center" wrapText="1"/>
    </xf>
    <xf numFmtId="3" fontId="4" fillId="3" borderId="26" xfId="1" applyNumberFormat="1" applyFont="1" applyFill="1" applyBorder="1" applyAlignment="1">
      <alignment horizontal="right" vertical="center" wrapText="1"/>
    </xf>
    <xf numFmtId="0" fontId="9" fillId="3" borderId="21" xfId="1" applyFont="1" applyFill="1" applyBorder="1" applyAlignment="1">
      <alignment horizontal="center" vertical="center" wrapText="1"/>
    </xf>
    <xf numFmtId="0" fontId="9" fillId="3" borderId="22" xfId="1" applyFont="1" applyFill="1" applyBorder="1" applyAlignment="1">
      <alignment vertical="center" wrapText="1"/>
    </xf>
    <xf numFmtId="3" fontId="9" fillId="3" borderId="22" xfId="1" applyNumberFormat="1" applyFont="1" applyFill="1" applyBorder="1" applyAlignment="1">
      <alignment vertical="center" wrapText="1"/>
    </xf>
    <xf numFmtId="3" fontId="9" fillId="3" borderId="23" xfId="1" applyNumberFormat="1" applyFont="1" applyFill="1" applyBorder="1" applyAlignment="1">
      <alignment horizontal="right" vertical="center" wrapText="1"/>
    </xf>
    <xf numFmtId="0" fontId="4" fillId="5" borderId="22" xfId="1" applyFont="1" applyFill="1" applyBorder="1" applyAlignment="1">
      <alignment vertical="center" wrapText="1"/>
    </xf>
    <xf numFmtId="0" fontId="12" fillId="5" borderId="22" xfId="1" applyFont="1" applyFill="1" applyBorder="1" applyAlignment="1">
      <alignment vertical="center" wrapText="1"/>
    </xf>
    <xf numFmtId="3" fontId="12" fillId="5" borderId="19" xfId="1" applyNumberFormat="1" applyFont="1" applyFill="1" applyBorder="1" applyAlignment="1">
      <alignment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vertical="center" wrapText="1"/>
    </xf>
    <xf numFmtId="3" fontId="7" fillId="0" borderId="22" xfId="1" applyNumberFormat="1" applyFont="1" applyBorder="1" applyAlignment="1">
      <alignment vertical="center" wrapText="1"/>
    </xf>
    <xf numFmtId="3" fontId="7" fillId="0" borderId="23" xfId="1" applyNumberFormat="1" applyFont="1" applyBorder="1" applyAlignment="1">
      <alignment horizontal="right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vertical="center" wrapText="1"/>
    </xf>
    <xf numFmtId="3" fontId="4" fillId="0" borderId="22" xfId="1" applyNumberFormat="1" applyFont="1" applyBorder="1" applyAlignment="1">
      <alignment vertical="center" wrapText="1"/>
    </xf>
    <xf numFmtId="3" fontId="4" fillId="0" borderId="23" xfId="1" applyNumberFormat="1" applyFont="1" applyBorder="1" applyAlignment="1">
      <alignment horizontal="right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9" xfId="1" applyFont="1" applyBorder="1" applyAlignment="1">
      <alignment vertical="center" wrapText="1"/>
    </xf>
    <xf numFmtId="3" fontId="10" fillId="0" borderId="19" xfId="1" applyNumberFormat="1" applyFont="1" applyBorder="1" applyAlignment="1">
      <alignment vertical="center"/>
    </xf>
    <xf numFmtId="3" fontId="10" fillId="0" borderId="19" xfId="1" applyNumberFormat="1" applyFont="1" applyBorder="1" applyAlignment="1">
      <alignment horizontal="right" vertical="center" wrapText="1"/>
    </xf>
    <xf numFmtId="3" fontId="10" fillId="0" borderId="20" xfId="1" applyNumberFormat="1" applyFont="1" applyBorder="1" applyAlignment="1">
      <alignment horizontal="right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vertical="center" wrapText="1"/>
    </xf>
    <xf numFmtId="3" fontId="4" fillId="0" borderId="19" xfId="1" applyNumberFormat="1" applyFont="1" applyBorder="1" applyAlignment="1">
      <alignment vertical="center"/>
    </xf>
    <xf numFmtId="3" fontId="4" fillId="0" borderId="19" xfId="1" applyNumberFormat="1" applyFont="1" applyBorder="1" applyAlignment="1">
      <alignment horizontal="right" vertical="center" wrapText="1"/>
    </xf>
    <xf numFmtId="3" fontId="7" fillId="0" borderId="20" xfId="1" applyNumberFormat="1" applyFont="1" applyBorder="1" applyAlignment="1">
      <alignment horizontal="right" vertical="center" wrapText="1"/>
    </xf>
    <xf numFmtId="0" fontId="4" fillId="0" borderId="26" xfId="1" applyFont="1" applyFill="1" applyBorder="1" applyAlignment="1">
      <alignment horizontal="center" vertical="center" wrapText="1"/>
    </xf>
    <xf numFmtId="3" fontId="4" fillId="0" borderId="26" xfId="1" applyNumberFormat="1" applyFont="1" applyFill="1" applyBorder="1" applyAlignment="1">
      <alignment horizontal="right" vertical="center" wrapText="1"/>
    </xf>
    <xf numFmtId="3" fontId="4" fillId="0" borderId="20" xfId="1" applyNumberFormat="1" applyFont="1" applyBorder="1" applyAlignment="1">
      <alignment horizontal="right" vertical="center" wrapText="1"/>
    </xf>
    <xf numFmtId="3" fontId="4" fillId="3" borderId="22" xfId="1" applyNumberFormat="1" applyFont="1" applyFill="1" applyBorder="1" applyAlignment="1">
      <alignment vertical="center"/>
    </xf>
    <xf numFmtId="3" fontId="4" fillId="3" borderId="22" xfId="1" applyNumberFormat="1" applyFont="1" applyFill="1" applyBorder="1" applyAlignment="1">
      <alignment horizontal="right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vertical="center" wrapText="1"/>
    </xf>
    <xf numFmtId="3" fontId="10" fillId="3" borderId="9" xfId="1" applyNumberFormat="1" applyFont="1" applyFill="1" applyBorder="1" applyAlignment="1">
      <alignment vertical="center" wrapText="1"/>
    </xf>
    <xf numFmtId="3" fontId="10" fillId="3" borderId="25" xfId="1" applyNumberFormat="1" applyFont="1" applyFill="1" applyBorder="1" applyAlignment="1">
      <alignment horizontal="right" vertical="center" wrapText="1"/>
    </xf>
    <xf numFmtId="0" fontId="7" fillId="5" borderId="18" xfId="1" applyNumberFormat="1" applyFont="1" applyFill="1" applyBorder="1" applyAlignment="1">
      <alignment horizontal="center" vertical="center"/>
    </xf>
    <xf numFmtId="0" fontId="7" fillId="5" borderId="19" xfId="1" applyFont="1" applyFill="1" applyBorder="1" applyAlignment="1">
      <alignment vertical="center" wrapText="1"/>
    </xf>
    <xf numFmtId="3" fontId="7" fillId="5" borderId="19" xfId="1" applyNumberFormat="1" applyFont="1" applyFill="1" applyBorder="1" applyAlignment="1">
      <alignment vertical="center"/>
    </xf>
    <xf numFmtId="3" fontId="7" fillId="5" borderId="19" xfId="1" applyNumberFormat="1" applyFont="1" applyFill="1" applyBorder="1" applyAlignment="1">
      <alignment horizontal="right" vertical="center" wrapText="1"/>
    </xf>
    <xf numFmtId="3" fontId="4" fillId="5" borderId="20" xfId="1" applyNumberFormat="1" applyFont="1" applyFill="1" applyBorder="1" applyAlignment="1">
      <alignment horizontal="right" vertical="center" wrapText="1"/>
    </xf>
    <xf numFmtId="0" fontId="4" fillId="5" borderId="18" xfId="1" applyNumberFormat="1" applyFont="1" applyFill="1" applyBorder="1" applyAlignment="1">
      <alignment horizontal="center" vertical="center"/>
    </xf>
    <xf numFmtId="0" fontId="12" fillId="5" borderId="18" xfId="1" applyNumberFormat="1" applyFont="1" applyFill="1" applyBorder="1" applyAlignment="1">
      <alignment horizontal="center" vertical="center"/>
    </xf>
    <xf numFmtId="0" fontId="12" fillId="5" borderId="19" xfId="1" applyFont="1" applyFill="1" applyBorder="1" applyAlignment="1">
      <alignment vertical="center" wrapText="1"/>
    </xf>
    <xf numFmtId="0" fontId="4" fillId="0" borderId="30" xfId="1" applyFont="1" applyBorder="1" applyAlignment="1">
      <alignment horizontal="center" vertical="center" wrapText="1"/>
    </xf>
    <xf numFmtId="0" fontId="6" fillId="0" borderId="30" xfId="1" applyFont="1" applyBorder="1" applyAlignment="1">
      <alignment vertical="center" wrapText="1"/>
    </xf>
    <xf numFmtId="3" fontId="7" fillId="0" borderId="30" xfId="1" applyNumberFormat="1" applyFont="1" applyBorder="1" applyAlignment="1">
      <alignment vertical="center"/>
    </xf>
    <xf numFmtId="3" fontId="4" fillId="0" borderId="30" xfId="1" applyNumberFormat="1" applyFont="1" applyBorder="1" applyAlignment="1">
      <alignment horizontal="right" vertical="center" wrapText="1"/>
    </xf>
    <xf numFmtId="0" fontId="7" fillId="3" borderId="18" xfId="1" applyNumberFormat="1" applyFont="1" applyFill="1" applyBorder="1" applyAlignment="1">
      <alignment horizontal="center" vertical="center" wrapText="1"/>
    </xf>
    <xf numFmtId="0" fontId="7" fillId="3" borderId="19" xfId="1" applyNumberFormat="1" applyFont="1" applyFill="1" applyBorder="1" applyAlignment="1">
      <alignment horizontal="left" vertical="center" wrapText="1"/>
    </xf>
    <xf numFmtId="0" fontId="7" fillId="3" borderId="19" xfId="1" applyNumberFormat="1" applyFont="1" applyFill="1" applyBorder="1" applyAlignment="1">
      <alignment horizontal="center" vertical="center" wrapText="1"/>
    </xf>
    <xf numFmtId="3" fontId="7" fillId="3" borderId="19" xfId="1" applyNumberFormat="1" applyFont="1" applyFill="1" applyBorder="1" applyAlignment="1">
      <alignment horizontal="center" vertical="center" wrapText="1"/>
    </xf>
    <xf numFmtId="3" fontId="7" fillId="3" borderId="20" xfId="1" applyNumberFormat="1" applyFont="1" applyFill="1" applyBorder="1" applyAlignment="1">
      <alignment horizontal="center" vertical="center" wrapText="1"/>
    </xf>
    <xf numFmtId="0" fontId="4" fillId="5" borderId="21" xfId="1" applyNumberFormat="1" applyFont="1" applyFill="1" applyBorder="1" applyAlignment="1">
      <alignment horizontal="center" vertical="center" wrapText="1"/>
    </xf>
    <xf numFmtId="0" fontId="4" fillId="5" borderId="22" xfId="1" applyNumberFormat="1" applyFont="1" applyFill="1" applyBorder="1" applyAlignment="1">
      <alignment horizontal="left" vertical="center" wrapText="1"/>
    </xf>
    <xf numFmtId="0" fontId="4" fillId="5" borderId="22" xfId="1" applyNumberFormat="1" applyFont="1" applyFill="1" applyBorder="1" applyAlignment="1">
      <alignment horizontal="center" vertical="center" wrapText="1"/>
    </xf>
    <xf numFmtId="3" fontId="4" fillId="5" borderId="22" xfId="1" applyNumberFormat="1" applyFont="1" applyFill="1" applyBorder="1" applyAlignment="1">
      <alignment horizontal="center" vertical="center" wrapText="1"/>
    </xf>
    <xf numFmtId="3" fontId="4" fillId="5" borderId="23" xfId="1" applyNumberFormat="1" applyFont="1" applyFill="1" applyBorder="1" applyAlignment="1">
      <alignment horizontal="center" vertical="center" wrapText="1"/>
    </xf>
    <xf numFmtId="0" fontId="12" fillId="5" borderId="21" xfId="1" applyNumberFormat="1" applyFont="1" applyFill="1" applyBorder="1" applyAlignment="1">
      <alignment horizontal="center" vertical="center" wrapText="1"/>
    </xf>
    <xf numFmtId="0" fontId="12" fillId="5" borderId="22" xfId="1" applyNumberFormat="1" applyFont="1" applyFill="1" applyBorder="1" applyAlignment="1">
      <alignment horizontal="left" vertical="center" wrapText="1"/>
    </xf>
    <xf numFmtId="0" fontId="12" fillId="5" borderId="22" xfId="1" applyNumberFormat="1" applyFont="1" applyFill="1" applyBorder="1" applyAlignment="1">
      <alignment horizontal="center" vertical="center" wrapText="1"/>
    </xf>
    <xf numFmtId="3" fontId="12" fillId="5" borderId="22" xfId="1" applyNumberFormat="1" applyFont="1" applyFill="1" applyBorder="1" applyAlignment="1">
      <alignment horizontal="center" vertical="center" wrapText="1"/>
    </xf>
    <xf numFmtId="3" fontId="12" fillId="5" borderId="23" xfId="1" applyNumberFormat="1" applyFont="1" applyFill="1" applyBorder="1" applyAlignment="1">
      <alignment horizontal="right" vertical="center" wrapText="1"/>
    </xf>
    <xf numFmtId="0" fontId="4" fillId="3" borderId="18" xfId="1" applyNumberFormat="1" applyFont="1" applyFill="1" applyBorder="1" applyAlignment="1">
      <alignment horizontal="center" vertical="center"/>
    </xf>
    <xf numFmtId="0" fontId="10" fillId="3" borderId="18" xfId="1" applyNumberFormat="1" applyFont="1" applyFill="1" applyBorder="1" applyAlignment="1">
      <alignment horizontal="center" vertical="center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2" xfId="1" applyFont="1" applyFill="1" applyBorder="1" applyAlignment="1">
      <alignment vertical="center" wrapText="1"/>
    </xf>
    <xf numFmtId="3" fontId="10" fillId="3" borderId="22" xfId="1" applyNumberFormat="1" applyFont="1" applyFill="1" applyBorder="1" applyAlignment="1">
      <alignment vertical="center" wrapText="1"/>
    </xf>
    <xf numFmtId="3" fontId="10" fillId="3" borderId="23" xfId="1" applyNumberFormat="1" applyFont="1" applyFill="1" applyBorder="1" applyAlignment="1">
      <alignment horizontal="right" vertical="center" wrapText="1"/>
    </xf>
    <xf numFmtId="0" fontId="7" fillId="5" borderId="18" xfId="1" applyFont="1" applyFill="1" applyBorder="1" applyAlignment="1">
      <alignment horizontal="center" vertical="center" wrapText="1"/>
    </xf>
    <xf numFmtId="3" fontId="7" fillId="5" borderId="19" xfId="1" applyNumberFormat="1" applyFont="1" applyFill="1" applyBorder="1" applyAlignment="1">
      <alignment vertical="center" wrapText="1"/>
    </xf>
    <xf numFmtId="0" fontId="4" fillId="5" borderId="21" xfId="1" applyNumberFormat="1" applyFont="1" applyFill="1" applyBorder="1" applyAlignment="1">
      <alignment horizontal="center" vertical="center"/>
    </xf>
    <xf numFmtId="3" fontId="4" fillId="5" borderId="22" xfId="1" applyNumberFormat="1" applyFont="1" applyFill="1" applyBorder="1" applyAlignment="1">
      <alignment vertical="center"/>
    </xf>
    <xf numFmtId="3" fontId="4" fillId="5" borderId="22" xfId="1" applyNumberFormat="1" applyFont="1" applyFill="1" applyBorder="1" applyAlignment="1">
      <alignment horizontal="right" vertical="center" wrapText="1"/>
    </xf>
    <xf numFmtId="3" fontId="7" fillId="5" borderId="23" xfId="1" applyNumberFormat="1" applyFont="1" applyFill="1" applyBorder="1" applyAlignment="1">
      <alignment horizontal="right" vertical="center" wrapText="1"/>
    </xf>
    <xf numFmtId="0" fontId="12" fillId="5" borderId="21" xfId="1" applyNumberFormat="1" applyFont="1" applyFill="1" applyBorder="1" applyAlignment="1">
      <alignment horizontal="center" vertical="center"/>
    </xf>
    <xf numFmtId="3" fontId="12" fillId="5" borderId="22" xfId="1" applyNumberFormat="1" applyFont="1" applyFill="1" applyBorder="1" applyAlignment="1">
      <alignment vertical="center"/>
    </xf>
    <xf numFmtId="3" fontId="12" fillId="5" borderId="22" xfId="1" applyNumberFormat="1" applyFont="1" applyFill="1" applyBorder="1" applyAlignment="1">
      <alignment horizontal="right" vertical="center" wrapText="1"/>
    </xf>
    <xf numFmtId="0" fontId="9" fillId="3" borderId="24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vertical="center" wrapText="1"/>
    </xf>
    <xf numFmtId="3" fontId="9" fillId="3" borderId="9" xfId="1" applyNumberFormat="1" applyFont="1" applyFill="1" applyBorder="1" applyAlignment="1">
      <alignment vertical="center" wrapText="1"/>
    </xf>
    <xf numFmtId="3" fontId="9" fillId="3" borderId="25" xfId="1" applyNumberFormat="1" applyFont="1" applyFill="1" applyBorder="1" applyAlignment="1">
      <alignment horizontal="right" vertical="center" wrapText="1"/>
    </xf>
    <xf numFmtId="3" fontId="7" fillId="0" borderId="19" xfId="1" applyNumberFormat="1" applyFont="1" applyBorder="1" applyAlignment="1">
      <alignment vertical="center"/>
    </xf>
    <xf numFmtId="3" fontId="7" fillId="0" borderId="19" xfId="1" applyNumberFormat="1" applyFont="1" applyBorder="1" applyAlignment="1">
      <alignment horizontal="right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vertical="center" wrapText="1"/>
    </xf>
    <xf numFmtId="0" fontId="7" fillId="5" borderId="22" xfId="1" applyFont="1" applyFill="1" applyBorder="1" applyAlignment="1">
      <alignment vertical="center" wrapText="1"/>
    </xf>
    <xf numFmtId="0" fontId="3" fillId="3" borderId="0" xfId="1" applyFill="1"/>
    <xf numFmtId="3" fontId="3" fillId="3" borderId="0" xfId="1" applyNumberFormat="1" applyFill="1"/>
    <xf numFmtId="0" fontId="5" fillId="0" borderId="0" xfId="1" applyFont="1" applyAlignment="1">
      <alignment horizontal="left"/>
    </xf>
    <xf numFmtId="3" fontId="5" fillId="0" borderId="0" xfId="1" applyNumberFormat="1" applyFont="1" applyAlignment="1">
      <alignment horizontal="left"/>
    </xf>
    <xf numFmtId="0" fontId="4" fillId="3" borderId="31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3" fontId="4" fillId="3" borderId="32" xfId="1" applyNumberFormat="1" applyFont="1" applyFill="1" applyBorder="1" applyAlignment="1">
      <alignment horizontal="right" vertical="center" wrapText="1"/>
    </xf>
    <xf numFmtId="0" fontId="4" fillId="3" borderId="19" xfId="1" applyNumberFormat="1" applyFont="1" applyFill="1" applyBorder="1" applyAlignment="1">
      <alignment vertical="center" wrapText="1"/>
    </xf>
    <xf numFmtId="3" fontId="9" fillId="3" borderId="9" xfId="1" applyNumberFormat="1" applyFont="1" applyFill="1" applyBorder="1" applyAlignment="1">
      <alignment vertical="center"/>
    </xf>
    <xf numFmtId="3" fontId="9" fillId="3" borderId="9" xfId="1" applyNumberFormat="1" applyFont="1" applyFill="1" applyBorder="1" applyAlignment="1">
      <alignment horizontal="right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 wrapText="1"/>
    </xf>
    <xf numFmtId="0" fontId="4" fillId="3" borderId="22" xfId="1" applyNumberFormat="1" applyFont="1" applyFill="1" applyBorder="1" applyAlignment="1">
      <alignment vertical="center" wrapText="1"/>
    </xf>
    <xf numFmtId="0" fontId="7" fillId="5" borderId="19" xfId="1" applyFont="1" applyFill="1" applyBorder="1" applyAlignment="1">
      <alignment horizontal="left" vertical="center" wrapText="1"/>
    </xf>
    <xf numFmtId="0" fontId="4" fillId="5" borderId="19" xfId="1" applyFont="1" applyFill="1" applyBorder="1" applyAlignment="1">
      <alignment horizontal="left" vertical="center" wrapText="1"/>
    </xf>
    <xf numFmtId="0" fontId="12" fillId="5" borderId="19" xfId="1" applyFont="1" applyFill="1" applyBorder="1" applyAlignment="1">
      <alignment horizontal="left" vertical="center" wrapText="1"/>
    </xf>
    <xf numFmtId="0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3" fontId="14" fillId="13" borderId="24" xfId="0" applyNumberFormat="1" applyFont="1" applyFill="1" applyBorder="1" applyAlignment="1">
      <alignment horizontal="center" vertical="center" wrapText="1"/>
    </xf>
    <xf numFmtId="3" fontId="14" fillId="7" borderId="9" xfId="0" applyNumberFormat="1" applyFont="1" applyFill="1" applyBorder="1" applyAlignment="1">
      <alignment horizontal="center" vertical="center" wrapText="1"/>
    </xf>
    <xf numFmtId="3" fontId="14" fillId="7" borderId="25" xfId="0" applyNumberFormat="1" applyFont="1" applyFill="1" applyBorder="1" applyAlignment="1">
      <alignment horizontal="center" vertical="center" wrapText="1"/>
    </xf>
    <xf numFmtId="3" fontId="14" fillId="8" borderId="24" xfId="0" applyNumberFormat="1" applyFont="1" applyFill="1" applyBorder="1" applyAlignment="1">
      <alignment horizontal="center" vertical="center" wrapText="1"/>
    </xf>
    <xf numFmtId="3" fontId="14" fillId="8" borderId="9" xfId="0" applyNumberFormat="1" applyFont="1" applyFill="1" applyBorder="1" applyAlignment="1">
      <alignment horizontal="center" vertical="center" wrapText="1"/>
    </xf>
    <xf numFmtId="3" fontId="14" fillId="8" borderId="25" xfId="0" applyNumberFormat="1" applyFont="1" applyFill="1" applyBorder="1" applyAlignment="1">
      <alignment horizontal="center" vertical="center" wrapText="1"/>
    </xf>
    <xf numFmtId="3" fontId="14" fillId="9" borderId="24" xfId="0" applyNumberFormat="1" applyFont="1" applyFill="1" applyBorder="1" applyAlignment="1">
      <alignment horizontal="center" vertical="center" wrapText="1"/>
    </xf>
    <xf numFmtId="3" fontId="14" fillId="9" borderId="9" xfId="0" applyNumberFormat="1" applyFont="1" applyFill="1" applyBorder="1" applyAlignment="1">
      <alignment horizontal="center" vertical="center" wrapText="1"/>
    </xf>
    <xf numFmtId="3" fontId="14" fillId="9" borderId="25" xfId="0" applyNumberFormat="1" applyFont="1" applyFill="1" applyBorder="1" applyAlignment="1">
      <alignment horizontal="center" vertical="center" wrapText="1"/>
    </xf>
    <xf numFmtId="3" fontId="14" fillId="10" borderId="24" xfId="0" applyNumberFormat="1" applyFont="1" applyFill="1" applyBorder="1" applyAlignment="1">
      <alignment horizontal="center" vertical="center" wrapText="1"/>
    </xf>
    <xf numFmtId="3" fontId="14" fillId="10" borderId="9" xfId="0" applyNumberFormat="1" applyFont="1" applyFill="1" applyBorder="1" applyAlignment="1">
      <alignment horizontal="center" vertical="center" wrapText="1"/>
    </xf>
    <xf numFmtId="3" fontId="14" fillId="10" borderId="2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40" xfId="0" applyBorder="1" applyAlignment="1">
      <alignment horizontal="left" vertical="center" wrapText="1"/>
    </xf>
    <xf numFmtId="3" fontId="0" fillId="13" borderId="15" xfId="0" applyNumberFormat="1" applyFill="1" applyBorder="1" applyAlignment="1">
      <alignment vertical="center"/>
    </xf>
    <xf numFmtId="3" fontId="0" fillId="7" borderId="16" xfId="0" applyNumberFormat="1" applyFill="1" applyBorder="1" applyAlignment="1">
      <alignment vertical="center"/>
    </xf>
    <xf numFmtId="3" fontId="16" fillId="7" borderId="7" xfId="0" applyNumberFormat="1" applyFont="1" applyFill="1" applyBorder="1" applyAlignment="1">
      <alignment vertical="center"/>
    </xf>
    <xf numFmtId="3" fontId="16" fillId="8" borderId="13" xfId="0" applyNumberFormat="1" applyFont="1" applyFill="1" applyBorder="1" applyAlignment="1">
      <alignment vertical="center"/>
    </xf>
    <xf numFmtId="3" fontId="16" fillId="8" borderId="3" xfId="0" applyNumberFormat="1" applyFont="1" applyFill="1" applyBorder="1" applyAlignment="1">
      <alignment vertical="center"/>
    </xf>
    <xf numFmtId="3" fontId="0" fillId="8" borderId="14" xfId="0" applyNumberFormat="1" applyFont="1" applyFill="1" applyBorder="1" applyAlignment="1">
      <alignment vertical="center"/>
    </xf>
    <xf numFmtId="3" fontId="16" fillId="9" borderId="13" xfId="0" applyNumberFormat="1" applyFont="1" applyFill="1" applyBorder="1" applyAlignment="1">
      <alignment vertical="center"/>
    </xf>
    <xf numFmtId="3" fontId="16" fillId="9" borderId="3" xfId="0" applyNumberFormat="1" applyFont="1" applyFill="1" applyBorder="1" applyAlignment="1">
      <alignment vertical="center"/>
    </xf>
    <xf numFmtId="3" fontId="0" fillId="9" borderId="14" xfId="0" applyNumberFormat="1" applyFont="1" applyFill="1" applyBorder="1" applyAlignment="1">
      <alignment vertical="center"/>
    </xf>
    <xf numFmtId="3" fontId="16" fillId="5" borderId="27" xfId="0" applyNumberFormat="1" applyFont="1" applyFill="1" applyBorder="1" applyAlignment="1">
      <alignment vertical="center"/>
    </xf>
    <xf numFmtId="3" fontId="16" fillId="10" borderId="13" xfId="0" applyNumberFormat="1" applyFont="1" applyFill="1" applyBorder="1" applyAlignment="1">
      <alignment vertical="center"/>
    </xf>
    <xf numFmtId="3" fontId="16" fillId="10" borderId="3" xfId="0" applyNumberFormat="1" applyFont="1" applyFill="1" applyBorder="1" applyAlignment="1">
      <alignment vertical="center"/>
    </xf>
    <xf numFmtId="3" fontId="0" fillId="10" borderId="14" xfId="0" applyNumberFormat="1" applyFont="1" applyFill="1" applyBorder="1" applyAlignment="1">
      <alignment vertical="center"/>
    </xf>
    <xf numFmtId="3" fontId="16" fillId="11" borderId="40" xfId="0" applyNumberFormat="1" applyFont="1" applyFill="1" applyBorder="1" applyAlignment="1">
      <alignment vertical="center"/>
    </xf>
    <xf numFmtId="3" fontId="16" fillId="12" borderId="41" xfId="0" applyNumberFormat="1" applyFont="1" applyFill="1" applyBorder="1" applyAlignment="1">
      <alignment vertical="center"/>
    </xf>
    <xf numFmtId="3" fontId="14" fillId="3" borderId="41" xfId="0" applyNumberFormat="1" applyFont="1" applyFill="1" applyBorder="1" applyAlignment="1">
      <alignment vertical="center"/>
    </xf>
    <xf numFmtId="3" fontId="14" fillId="3" borderId="40" xfId="0" applyNumberFormat="1" applyFont="1" applyFill="1" applyBorder="1" applyAlignment="1">
      <alignment vertical="center"/>
    </xf>
    <xf numFmtId="3" fontId="15" fillId="0" borderId="0" xfId="0" applyNumberFormat="1" applyFont="1" applyAlignment="1">
      <alignment vertical="center"/>
    </xf>
    <xf numFmtId="0" fontId="0" fillId="0" borderId="41" xfId="0" applyBorder="1" applyAlignment="1">
      <alignment horizontal="left" vertical="center" wrapText="1"/>
    </xf>
    <xf numFmtId="3" fontId="16" fillId="7" borderId="20" xfId="0" applyNumberFormat="1" applyFont="1" applyFill="1" applyBorder="1" applyAlignment="1">
      <alignment vertical="center"/>
    </xf>
    <xf numFmtId="3" fontId="16" fillId="8" borderId="15" xfId="0" applyNumberFormat="1" applyFont="1" applyFill="1" applyBorder="1" applyAlignment="1">
      <alignment vertical="center"/>
    </xf>
    <xf numFmtId="3" fontId="16" fillId="8" borderId="16" xfId="0" applyNumberFormat="1" applyFont="1" applyFill="1" applyBorder="1" applyAlignment="1">
      <alignment vertical="center"/>
    </xf>
    <xf numFmtId="3" fontId="0" fillId="8" borderId="20" xfId="0" applyNumberFormat="1" applyFont="1" applyFill="1" applyBorder="1" applyAlignment="1">
      <alignment vertical="center"/>
    </xf>
    <xf numFmtId="3" fontId="16" fillId="9" borderId="15" xfId="0" applyNumberFormat="1" applyFont="1" applyFill="1" applyBorder="1" applyAlignment="1">
      <alignment vertical="center"/>
    </xf>
    <xf numFmtId="3" fontId="16" fillId="9" borderId="16" xfId="0" applyNumberFormat="1" applyFont="1" applyFill="1" applyBorder="1" applyAlignment="1">
      <alignment vertical="center"/>
    </xf>
    <xf numFmtId="3" fontId="0" fillId="9" borderId="20" xfId="0" applyNumberFormat="1" applyFont="1" applyFill="1" applyBorder="1" applyAlignment="1">
      <alignment vertical="center"/>
    </xf>
    <xf numFmtId="3" fontId="16" fillId="5" borderId="42" xfId="0" applyNumberFormat="1" applyFont="1" applyFill="1" applyBorder="1" applyAlignment="1">
      <alignment vertical="center"/>
    </xf>
    <xf numFmtId="3" fontId="16" fillId="10" borderId="15" xfId="0" applyNumberFormat="1" applyFont="1" applyFill="1" applyBorder="1" applyAlignment="1">
      <alignment vertical="center"/>
    </xf>
    <xf numFmtId="3" fontId="16" fillId="10" borderId="16" xfId="0" applyNumberFormat="1" applyFont="1" applyFill="1" applyBorder="1" applyAlignment="1">
      <alignment vertical="center"/>
    </xf>
    <xf numFmtId="3" fontId="0" fillId="10" borderId="20" xfId="0" applyNumberFormat="1" applyFont="1" applyFill="1" applyBorder="1" applyAlignment="1">
      <alignment vertical="center"/>
    </xf>
    <xf numFmtId="3" fontId="16" fillId="11" borderId="43" xfId="0" applyNumberFormat="1" applyFont="1" applyFill="1" applyBorder="1" applyAlignment="1">
      <alignment vertical="center"/>
    </xf>
    <xf numFmtId="3" fontId="14" fillId="3" borderId="43" xfId="0" applyNumberFormat="1" applyFont="1" applyFill="1" applyBorder="1" applyAlignment="1">
      <alignment vertical="center"/>
    </xf>
    <xf numFmtId="0" fontId="0" fillId="0" borderId="43" xfId="0" applyBorder="1" applyAlignment="1">
      <alignment vertical="center" wrapText="1"/>
    </xf>
    <xf numFmtId="3" fontId="0" fillId="13" borderId="18" xfId="0" applyNumberFormat="1" applyFill="1" applyBorder="1" applyAlignment="1">
      <alignment vertical="center"/>
    </xf>
    <xf numFmtId="3" fontId="0" fillId="7" borderId="19" xfId="0" applyNumberFormat="1" applyFill="1" applyBorder="1" applyAlignment="1">
      <alignment vertical="center"/>
    </xf>
    <xf numFmtId="3" fontId="16" fillId="7" borderId="17" xfId="0" applyNumberFormat="1" applyFont="1" applyFill="1" applyBorder="1" applyAlignment="1">
      <alignment vertical="center"/>
    </xf>
    <xf numFmtId="3" fontId="16" fillId="8" borderId="18" xfId="0" applyNumberFormat="1" applyFont="1" applyFill="1" applyBorder="1" applyAlignment="1">
      <alignment vertical="center"/>
    </xf>
    <xf numFmtId="3" fontId="16" fillId="8" borderId="19" xfId="0" applyNumberFormat="1" applyFont="1" applyFill="1" applyBorder="1" applyAlignment="1">
      <alignment vertical="center"/>
    </xf>
    <xf numFmtId="3" fontId="16" fillId="9" borderId="18" xfId="0" applyNumberFormat="1" applyFont="1" applyFill="1" applyBorder="1" applyAlignment="1">
      <alignment vertical="center"/>
    </xf>
    <xf numFmtId="3" fontId="16" fillId="9" borderId="19" xfId="0" applyNumberFormat="1" applyFont="1" applyFill="1" applyBorder="1" applyAlignment="1">
      <alignment vertical="center"/>
    </xf>
    <xf numFmtId="3" fontId="16" fillId="10" borderId="18" xfId="0" applyNumberFormat="1" applyFont="1" applyFill="1" applyBorder="1" applyAlignment="1">
      <alignment vertical="center"/>
    </xf>
    <xf numFmtId="3" fontId="16" fillId="10" borderId="19" xfId="0" applyNumberFormat="1" applyFont="1" applyFill="1" applyBorder="1" applyAlignment="1">
      <alignment vertical="center"/>
    </xf>
    <xf numFmtId="3" fontId="16" fillId="12" borderId="43" xfId="0" applyNumberFormat="1" applyFont="1" applyFill="1" applyBorder="1" applyAlignment="1">
      <alignment vertical="center"/>
    </xf>
    <xf numFmtId="0" fontId="0" fillId="0" borderId="44" xfId="0" applyBorder="1" applyAlignment="1">
      <alignment vertical="center" wrapText="1"/>
    </xf>
    <xf numFmtId="3" fontId="0" fillId="13" borderId="21" xfId="0" applyNumberFormat="1" applyFill="1" applyBorder="1" applyAlignment="1">
      <alignment vertical="center"/>
    </xf>
    <xf numFmtId="3" fontId="0" fillId="7" borderId="22" xfId="0" applyNumberFormat="1" applyFill="1" applyBorder="1" applyAlignment="1">
      <alignment vertical="center"/>
    </xf>
    <xf numFmtId="3" fontId="16" fillId="7" borderId="23" xfId="0" applyNumberFormat="1" applyFont="1" applyFill="1" applyBorder="1" applyAlignment="1">
      <alignment vertical="center"/>
    </xf>
    <xf numFmtId="3" fontId="16" fillId="8" borderId="21" xfId="0" applyNumberFormat="1" applyFont="1" applyFill="1" applyBorder="1" applyAlignment="1">
      <alignment vertical="center"/>
    </xf>
    <xf numFmtId="3" fontId="16" fillId="8" borderId="22" xfId="0" applyNumberFormat="1" applyFont="1" applyFill="1" applyBorder="1" applyAlignment="1">
      <alignment vertical="center"/>
    </xf>
    <xf numFmtId="3" fontId="0" fillId="8" borderId="23" xfId="0" applyNumberFormat="1" applyFont="1" applyFill="1" applyBorder="1" applyAlignment="1">
      <alignment vertical="center"/>
    </xf>
    <xf numFmtId="3" fontId="16" fillId="9" borderId="21" xfId="0" applyNumberFormat="1" applyFont="1" applyFill="1" applyBorder="1" applyAlignment="1">
      <alignment vertical="center"/>
    </xf>
    <xf numFmtId="3" fontId="16" fillId="9" borderId="22" xfId="0" applyNumberFormat="1" applyFont="1" applyFill="1" applyBorder="1" applyAlignment="1">
      <alignment vertical="center"/>
    </xf>
    <xf numFmtId="3" fontId="0" fillId="9" borderId="23" xfId="0" applyNumberFormat="1" applyFont="1" applyFill="1" applyBorder="1" applyAlignment="1">
      <alignment vertical="center"/>
    </xf>
    <xf numFmtId="3" fontId="16" fillId="5" borderId="45" xfId="0" applyNumberFormat="1" applyFont="1" applyFill="1" applyBorder="1" applyAlignment="1">
      <alignment vertical="center"/>
    </xf>
    <xf numFmtId="3" fontId="16" fillId="10" borderId="21" xfId="0" applyNumberFormat="1" applyFont="1" applyFill="1" applyBorder="1" applyAlignment="1">
      <alignment vertical="center"/>
    </xf>
    <xf numFmtId="3" fontId="16" fillId="10" borderId="22" xfId="0" applyNumberFormat="1" applyFont="1" applyFill="1" applyBorder="1" applyAlignment="1">
      <alignment vertical="center"/>
    </xf>
    <xf numFmtId="3" fontId="0" fillId="10" borderId="23" xfId="0" applyNumberFormat="1" applyFont="1" applyFill="1" applyBorder="1" applyAlignment="1">
      <alignment vertical="center"/>
    </xf>
    <xf numFmtId="3" fontId="16" fillId="11" borderId="44" xfId="0" applyNumberFormat="1" applyFont="1" applyFill="1" applyBorder="1" applyAlignment="1">
      <alignment vertical="center"/>
    </xf>
    <xf numFmtId="3" fontId="16" fillId="12" borderId="44" xfId="0" applyNumberFormat="1" applyFont="1" applyFill="1" applyBorder="1" applyAlignment="1">
      <alignment vertical="center"/>
    </xf>
    <xf numFmtId="3" fontId="14" fillId="3" borderId="44" xfId="0" applyNumberFormat="1" applyFont="1" applyFill="1" applyBorder="1" applyAlignment="1">
      <alignment vertical="center"/>
    </xf>
    <xf numFmtId="3" fontId="14" fillId="3" borderId="46" xfId="0" applyNumberFormat="1" applyFont="1" applyFill="1" applyBorder="1" applyAlignment="1">
      <alignment vertical="center"/>
    </xf>
    <xf numFmtId="0" fontId="14" fillId="0" borderId="47" xfId="0" applyFont="1" applyBorder="1" applyAlignment="1">
      <alignment vertical="center" wrapText="1"/>
    </xf>
    <xf numFmtId="3" fontId="14" fillId="13" borderId="48" xfId="0" applyNumberFormat="1" applyFont="1" applyFill="1" applyBorder="1" applyAlignment="1">
      <alignment vertical="center"/>
    </xf>
    <xf numFmtId="3" fontId="14" fillId="7" borderId="49" xfId="0" applyNumberFormat="1" applyFont="1" applyFill="1" applyBorder="1" applyAlignment="1">
      <alignment vertical="center"/>
    </xf>
    <xf numFmtId="3" fontId="14" fillId="7" borderId="50" xfId="0" applyNumberFormat="1" applyFont="1" applyFill="1" applyBorder="1" applyAlignment="1">
      <alignment vertical="center"/>
    </xf>
    <xf numFmtId="3" fontId="14" fillId="8" borderId="48" xfId="0" applyNumberFormat="1" applyFont="1" applyFill="1" applyBorder="1" applyAlignment="1">
      <alignment vertical="center"/>
    </xf>
    <xf numFmtId="3" fontId="14" fillId="8" borderId="49" xfId="0" applyNumberFormat="1" applyFont="1" applyFill="1" applyBorder="1" applyAlignment="1">
      <alignment vertical="center"/>
    </xf>
    <xf numFmtId="3" fontId="2" fillId="8" borderId="50" xfId="0" applyNumberFormat="1" applyFont="1" applyFill="1" applyBorder="1" applyAlignment="1">
      <alignment vertical="center"/>
    </xf>
    <xf numFmtId="3" fontId="14" fillId="9" borderId="48" xfId="0" applyNumberFormat="1" applyFont="1" applyFill="1" applyBorder="1" applyAlignment="1">
      <alignment vertical="center"/>
    </xf>
    <xf numFmtId="3" fontId="14" fillId="9" borderId="49" xfId="0" applyNumberFormat="1" applyFont="1" applyFill="1" applyBorder="1" applyAlignment="1">
      <alignment vertical="center"/>
    </xf>
    <xf numFmtId="3" fontId="2" fillId="9" borderId="50" xfId="0" applyNumberFormat="1" applyFont="1" applyFill="1" applyBorder="1" applyAlignment="1">
      <alignment vertical="center"/>
    </xf>
    <xf numFmtId="3" fontId="14" fillId="5" borderId="34" xfId="0" applyNumberFormat="1" applyFont="1" applyFill="1" applyBorder="1" applyAlignment="1">
      <alignment vertical="center"/>
    </xf>
    <xf numFmtId="3" fontId="14" fillId="10" borderId="48" xfId="0" applyNumberFormat="1" applyFont="1" applyFill="1" applyBorder="1" applyAlignment="1">
      <alignment vertical="center"/>
    </xf>
    <xf numFmtId="3" fontId="14" fillId="10" borderId="49" xfId="0" applyNumberFormat="1" applyFont="1" applyFill="1" applyBorder="1" applyAlignment="1">
      <alignment vertical="center"/>
    </xf>
    <xf numFmtId="3" fontId="2" fillId="10" borderId="50" xfId="0" applyNumberFormat="1" applyFont="1" applyFill="1" applyBorder="1" applyAlignment="1">
      <alignment vertical="center"/>
    </xf>
    <xf numFmtId="3" fontId="14" fillId="11" borderId="47" xfId="0" applyNumberFormat="1" applyFont="1" applyFill="1" applyBorder="1" applyAlignment="1">
      <alignment vertical="center"/>
    </xf>
    <xf numFmtId="3" fontId="14" fillId="12" borderId="47" xfId="0" applyNumberFormat="1" applyFont="1" applyFill="1" applyBorder="1" applyAlignment="1">
      <alignment vertical="center"/>
    </xf>
    <xf numFmtId="3" fontId="14" fillId="3" borderId="47" xfId="0" applyNumberFormat="1" applyFont="1" applyFill="1" applyBorder="1" applyAlignment="1">
      <alignment vertical="center"/>
    </xf>
    <xf numFmtId="0" fontId="0" fillId="0" borderId="44" xfId="0" applyFont="1" applyBorder="1" applyAlignment="1">
      <alignment vertical="center" wrapText="1"/>
    </xf>
    <xf numFmtId="3" fontId="16" fillId="13" borderId="21" xfId="0" applyNumberFormat="1" applyFont="1" applyFill="1" applyBorder="1" applyAlignment="1">
      <alignment vertical="center"/>
    </xf>
    <xf numFmtId="3" fontId="14" fillId="7" borderId="22" xfId="0" applyNumberFormat="1" applyFont="1" applyFill="1" applyBorder="1" applyAlignment="1">
      <alignment vertical="center"/>
    </xf>
    <xf numFmtId="3" fontId="16" fillId="7" borderId="22" xfId="0" applyNumberFormat="1" applyFont="1" applyFill="1" applyBorder="1" applyAlignment="1">
      <alignment vertical="center"/>
    </xf>
    <xf numFmtId="3" fontId="16" fillId="12" borderId="36" xfId="0" applyNumberFormat="1" applyFont="1" applyFill="1" applyBorder="1" applyAlignment="1">
      <alignment vertical="center"/>
    </xf>
    <xf numFmtId="3" fontId="14" fillId="3" borderId="36" xfId="0" applyNumberFormat="1" applyFont="1" applyFill="1" applyBorder="1" applyAlignment="1">
      <alignment vertical="center"/>
    </xf>
    <xf numFmtId="3" fontId="16" fillId="8" borderId="51" xfId="0" applyNumberFormat="1" applyFont="1" applyFill="1" applyBorder="1" applyAlignment="1">
      <alignment vertical="center"/>
    </xf>
    <xf numFmtId="3" fontId="16" fillId="8" borderId="52" xfId="0" applyNumberFormat="1" applyFont="1" applyFill="1" applyBorder="1" applyAlignment="1">
      <alignment vertical="center"/>
    </xf>
    <xf numFmtId="3" fontId="16" fillId="9" borderId="24" xfId="0" applyNumberFormat="1" applyFont="1" applyFill="1" applyBorder="1" applyAlignment="1">
      <alignment vertical="center"/>
    </xf>
    <xf numFmtId="3" fontId="16" fillId="9" borderId="9" xfId="0" applyNumberFormat="1" applyFont="1" applyFill="1" applyBorder="1" applyAlignment="1">
      <alignment vertical="center"/>
    </xf>
    <xf numFmtId="3" fontId="16" fillId="10" borderId="24" xfId="0" applyNumberFormat="1" applyFont="1" applyFill="1" applyBorder="1" applyAlignment="1">
      <alignment vertical="center"/>
    </xf>
    <xf numFmtId="3" fontId="16" fillId="10" borderId="9" xfId="0" applyNumberFormat="1" applyFont="1" applyFill="1" applyBorder="1" applyAlignment="1">
      <alignment vertical="center"/>
    </xf>
    <xf numFmtId="0" fontId="17" fillId="0" borderId="46" xfId="0" applyFont="1" applyFill="1" applyBorder="1" applyAlignment="1">
      <alignment vertical="center" wrapText="1"/>
    </xf>
    <xf numFmtId="3" fontId="17" fillId="13" borderId="48" xfId="0" applyNumberFormat="1" applyFont="1" applyFill="1" applyBorder="1" applyAlignment="1">
      <alignment vertical="center"/>
    </xf>
    <xf numFmtId="3" fontId="17" fillId="7" borderId="49" xfId="0" applyNumberFormat="1" applyFont="1" applyFill="1" applyBorder="1" applyAlignment="1">
      <alignment vertical="center"/>
    </xf>
    <xf numFmtId="3" fontId="17" fillId="7" borderId="50" xfId="0" applyNumberFormat="1" applyFont="1" applyFill="1" applyBorder="1" applyAlignment="1">
      <alignment vertical="center"/>
    </xf>
    <xf numFmtId="3" fontId="17" fillId="8" borderId="48" xfId="0" applyNumberFormat="1" applyFont="1" applyFill="1" applyBorder="1" applyAlignment="1">
      <alignment vertical="center"/>
    </xf>
    <xf numFmtId="3" fontId="17" fillId="8" borderId="49" xfId="0" applyNumberFormat="1" applyFont="1" applyFill="1" applyBorder="1" applyAlignment="1">
      <alignment vertical="center"/>
    </xf>
    <xf numFmtId="3" fontId="18" fillId="8" borderId="14" xfId="0" applyNumberFormat="1" applyFont="1" applyFill="1" applyBorder="1" applyAlignment="1">
      <alignment vertical="center"/>
    </xf>
    <xf numFmtId="3" fontId="17" fillId="9" borderId="48" xfId="0" applyNumberFormat="1" applyFont="1" applyFill="1" applyBorder="1" applyAlignment="1">
      <alignment vertical="center"/>
    </xf>
    <xf numFmtId="3" fontId="17" fillId="9" borderId="49" xfId="0" applyNumberFormat="1" applyFont="1" applyFill="1" applyBorder="1" applyAlignment="1">
      <alignment vertical="center"/>
    </xf>
    <xf numFmtId="3" fontId="18" fillId="9" borderId="14" xfId="0" applyNumberFormat="1" applyFont="1" applyFill="1" applyBorder="1" applyAlignment="1">
      <alignment vertical="center"/>
    </xf>
    <xf numFmtId="3" fontId="17" fillId="5" borderId="53" xfId="0" applyNumberFormat="1" applyFont="1" applyFill="1" applyBorder="1" applyAlignment="1">
      <alignment vertical="center"/>
    </xf>
    <xf numFmtId="3" fontId="17" fillId="10" borderId="48" xfId="0" applyNumberFormat="1" applyFont="1" applyFill="1" applyBorder="1" applyAlignment="1">
      <alignment vertical="center"/>
    </xf>
    <xf numFmtId="3" fontId="17" fillId="10" borderId="49" xfId="0" applyNumberFormat="1" applyFont="1" applyFill="1" applyBorder="1" applyAlignment="1">
      <alignment vertical="center"/>
    </xf>
    <xf numFmtId="3" fontId="18" fillId="10" borderId="14" xfId="0" applyNumberFormat="1" applyFont="1" applyFill="1" applyBorder="1" applyAlignment="1">
      <alignment vertical="center"/>
    </xf>
    <xf numFmtId="3" fontId="17" fillId="11" borderId="50" xfId="0" applyNumberFormat="1" applyFont="1" applyFill="1" applyBorder="1" applyAlignment="1">
      <alignment vertical="center"/>
    </xf>
    <xf numFmtId="3" fontId="17" fillId="12" borderId="50" xfId="0" applyNumberFormat="1" applyFont="1" applyFill="1" applyBorder="1" applyAlignment="1">
      <alignment vertical="center"/>
    </xf>
    <xf numFmtId="3" fontId="17" fillId="3" borderId="50" xfId="0" applyNumberFormat="1" applyFont="1" applyFill="1" applyBorder="1" applyAlignment="1">
      <alignment vertical="center"/>
    </xf>
    <xf numFmtId="3" fontId="17" fillId="3" borderId="7" xfId="0" applyNumberFormat="1" applyFont="1" applyFill="1" applyBorder="1" applyAlignment="1">
      <alignment vertical="center"/>
    </xf>
    <xf numFmtId="3" fontId="1" fillId="0" borderId="0" xfId="0" applyNumberFormat="1" applyFont="1"/>
    <xf numFmtId="3" fontId="0" fillId="13" borderId="13" xfId="0" applyNumberFormat="1" applyFill="1" applyBorder="1" applyAlignment="1">
      <alignment vertical="center"/>
    </xf>
    <xf numFmtId="3" fontId="0" fillId="7" borderId="3" xfId="0" applyNumberFormat="1" applyFill="1" applyBorder="1" applyAlignment="1">
      <alignment vertical="center"/>
    </xf>
    <xf numFmtId="3" fontId="16" fillId="7" borderId="14" xfId="0" applyNumberFormat="1" applyFont="1" applyFill="1" applyBorder="1" applyAlignment="1">
      <alignment vertical="center"/>
    </xf>
    <xf numFmtId="3" fontId="16" fillId="12" borderId="40" xfId="0" applyNumberFormat="1" applyFont="1" applyFill="1" applyBorder="1" applyAlignment="1">
      <alignment vertical="center"/>
    </xf>
    <xf numFmtId="3" fontId="16" fillId="3" borderId="40" xfId="0" applyNumberFormat="1" applyFont="1" applyFill="1" applyBorder="1" applyAlignment="1">
      <alignment vertical="center"/>
    </xf>
    <xf numFmtId="3" fontId="16" fillId="3" borderId="41" xfId="0" applyNumberFormat="1" applyFont="1" applyFill="1" applyBorder="1" applyAlignment="1">
      <alignment vertical="center"/>
    </xf>
    <xf numFmtId="3" fontId="16" fillId="3" borderId="43" xfId="0" applyNumberFormat="1" applyFont="1" applyFill="1" applyBorder="1" applyAlignment="1">
      <alignment vertical="center"/>
    </xf>
    <xf numFmtId="3" fontId="0" fillId="13" borderId="24" xfId="0" applyNumberFormat="1" applyFill="1" applyBorder="1" applyAlignment="1">
      <alignment vertical="center"/>
    </xf>
    <xf numFmtId="3" fontId="0" fillId="7" borderId="9" xfId="0" applyNumberFormat="1" applyFill="1" applyBorder="1" applyAlignment="1">
      <alignment vertical="center"/>
    </xf>
    <xf numFmtId="3" fontId="0" fillId="8" borderId="25" xfId="0" applyNumberFormat="1" applyFont="1" applyFill="1" applyBorder="1" applyAlignment="1">
      <alignment vertical="center"/>
    </xf>
    <xf numFmtId="3" fontId="0" fillId="9" borderId="25" xfId="0" applyNumberFormat="1" applyFont="1" applyFill="1" applyBorder="1" applyAlignment="1">
      <alignment vertical="center"/>
    </xf>
    <xf numFmtId="3" fontId="0" fillId="10" borderId="25" xfId="0" applyNumberFormat="1" applyFont="1" applyFill="1" applyBorder="1" applyAlignment="1">
      <alignment vertical="center"/>
    </xf>
    <xf numFmtId="3" fontId="16" fillId="3" borderId="44" xfId="0" applyNumberFormat="1" applyFont="1" applyFill="1" applyBorder="1" applyAlignment="1">
      <alignment vertical="center"/>
    </xf>
    <xf numFmtId="0" fontId="17" fillId="0" borderId="47" xfId="0" applyFont="1" applyFill="1" applyBorder="1" applyAlignment="1">
      <alignment vertical="center" wrapText="1"/>
    </xf>
    <xf numFmtId="3" fontId="17" fillId="5" borderId="34" xfId="0" applyNumberFormat="1" applyFont="1" applyFill="1" applyBorder="1" applyAlignment="1">
      <alignment vertical="center"/>
    </xf>
    <xf numFmtId="3" fontId="17" fillId="11" borderId="47" xfId="0" applyNumberFormat="1" applyFont="1" applyFill="1" applyBorder="1" applyAlignment="1">
      <alignment vertical="center"/>
    </xf>
    <xf numFmtId="3" fontId="17" fillId="12" borderId="47" xfId="0" applyNumberFormat="1" applyFont="1" applyFill="1" applyBorder="1" applyAlignment="1">
      <alignment vertical="center"/>
    </xf>
    <xf numFmtId="3" fontId="17" fillId="3" borderId="47" xfId="0" applyNumberFormat="1" applyFont="1" applyFill="1" applyBorder="1" applyAlignment="1">
      <alignment vertical="center"/>
    </xf>
    <xf numFmtId="0" fontId="0" fillId="0" borderId="40" xfId="0" applyBorder="1" applyAlignment="1">
      <alignment vertical="center" wrapText="1"/>
    </xf>
    <xf numFmtId="3" fontId="14" fillId="3" borderId="27" xfId="0" applyNumberFormat="1" applyFont="1" applyFill="1" applyBorder="1" applyAlignment="1">
      <alignment vertical="center"/>
    </xf>
    <xf numFmtId="3" fontId="14" fillId="3" borderId="42" xfId="0" applyNumberFormat="1" applyFont="1" applyFill="1" applyBorder="1" applyAlignment="1">
      <alignment vertical="center"/>
    </xf>
    <xf numFmtId="3" fontId="0" fillId="14" borderId="43" xfId="0" applyNumberFormat="1" applyFill="1" applyBorder="1" applyAlignment="1">
      <alignment horizontal="left" vertical="center" wrapText="1"/>
    </xf>
    <xf numFmtId="0" fontId="19" fillId="0" borderId="43" xfId="0" applyFont="1" applyBorder="1" applyAlignment="1">
      <alignment vertical="center" wrapText="1"/>
    </xf>
    <xf numFmtId="3" fontId="19" fillId="13" borderId="18" xfId="0" applyNumberFormat="1" applyFont="1" applyFill="1" applyBorder="1" applyAlignment="1">
      <alignment vertical="center"/>
    </xf>
    <xf numFmtId="3" fontId="19" fillId="7" borderId="19" xfId="0" applyNumberFormat="1" applyFont="1" applyFill="1" applyBorder="1" applyAlignment="1">
      <alignment vertical="center"/>
    </xf>
    <xf numFmtId="3" fontId="19" fillId="7" borderId="20" xfId="0" applyNumberFormat="1" applyFont="1" applyFill="1" applyBorder="1" applyAlignment="1">
      <alignment vertical="center"/>
    </xf>
    <xf numFmtId="3" fontId="19" fillId="8" borderId="18" xfId="0" applyNumberFormat="1" applyFont="1" applyFill="1" applyBorder="1" applyAlignment="1">
      <alignment vertical="center"/>
    </xf>
    <xf numFmtId="3" fontId="19" fillId="8" borderId="19" xfId="0" applyNumberFormat="1" applyFont="1" applyFill="1" applyBorder="1" applyAlignment="1">
      <alignment vertical="center"/>
    </xf>
    <xf numFmtId="3" fontId="19" fillId="9" borderId="18" xfId="0" applyNumberFormat="1" applyFont="1" applyFill="1" applyBorder="1" applyAlignment="1">
      <alignment vertical="center"/>
    </xf>
    <xf numFmtId="3" fontId="19" fillId="9" borderId="19" xfId="0" applyNumberFormat="1" applyFont="1" applyFill="1" applyBorder="1" applyAlignment="1">
      <alignment vertical="center"/>
    </xf>
    <xf numFmtId="3" fontId="19" fillId="5" borderId="54" xfId="0" applyNumberFormat="1" applyFont="1" applyFill="1" applyBorder="1" applyAlignment="1">
      <alignment vertical="center"/>
    </xf>
    <xf numFmtId="3" fontId="19" fillId="10" borderId="18" xfId="0" applyNumberFormat="1" applyFont="1" applyFill="1" applyBorder="1" applyAlignment="1">
      <alignment vertical="center"/>
    </xf>
    <xf numFmtId="3" fontId="19" fillId="10" borderId="19" xfId="0" applyNumberFormat="1" applyFont="1" applyFill="1" applyBorder="1" applyAlignment="1">
      <alignment vertical="center"/>
    </xf>
    <xf numFmtId="3" fontId="19" fillId="11" borderId="20" xfId="0" applyNumberFormat="1" applyFont="1" applyFill="1" applyBorder="1" applyAlignment="1">
      <alignment vertical="center"/>
    </xf>
    <xf numFmtId="3" fontId="19" fillId="12" borderId="20" xfId="0" applyNumberFormat="1" applyFont="1" applyFill="1" applyBorder="1" applyAlignment="1">
      <alignment vertical="center"/>
    </xf>
    <xf numFmtId="3" fontId="19" fillId="3" borderId="20" xfId="0" applyNumberFormat="1" applyFont="1" applyFill="1" applyBorder="1" applyAlignment="1">
      <alignment vertical="center"/>
    </xf>
    <xf numFmtId="3" fontId="20" fillId="3" borderId="20" xfId="0" applyNumberFormat="1" applyFont="1" applyFill="1" applyBorder="1" applyAlignment="1">
      <alignment vertical="center"/>
    </xf>
    <xf numFmtId="0" fontId="19" fillId="0" borderId="44" xfId="0" applyFont="1" applyBorder="1" applyAlignment="1">
      <alignment vertical="center" wrapText="1"/>
    </xf>
    <xf numFmtId="3" fontId="19" fillId="13" borderId="21" xfId="0" applyNumberFormat="1" applyFont="1" applyFill="1" applyBorder="1" applyAlignment="1">
      <alignment vertical="center"/>
    </xf>
    <xf numFmtId="3" fontId="19" fillId="7" borderId="22" xfId="0" applyNumberFormat="1" applyFont="1" applyFill="1" applyBorder="1" applyAlignment="1">
      <alignment vertical="center"/>
    </xf>
    <xf numFmtId="3" fontId="19" fillId="7" borderId="23" xfId="0" applyNumberFormat="1" applyFont="1" applyFill="1" applyBorder="1" applyAlignment="1">
      <alignment vertical="center"/>
    </xf>
    <xf numFmtId="3" fontId="19" fillId="8" borderId="21" xfId="0" applyNumberFormat="1" applyFont="1" applyFill="1" applyBorder="1" applyAlignment="1">
      <alignment vertical="center"/>
    </xf>
    <xf numFmtId="3" fontId="19" fillId="8" borderId="22" xfId="0" applyNumberFormat="1" applyFont="1" applyFill="1" applyBorder="1" applyAlignment="1">
      <alignment vertical="center"/>
    </xf>
    <xf numFmtId="3" fontId="19" fillId="9" borderId="21" xfId="0" applyNumberFormat="1" applyFont="1" applyFill="1" applyBorder="1" applyAlignment="1">
      <alignment vertical="center"/>
    </xf>
    <xf numFmtId="3" fontId="19" fillId="9" borderId="22" xfId="0" applyNumberFormat="1" applyFont="1" applyFill="1" applyBorder="1" applyAlignment="1">
      <alignment vertical="center"/>
    </xf>
    <xf numFmtId="3" fontId="19" fillId="5" borderId="45" xfId="0" applyNumberFormat="1" applyFont="1" applyFill="1" applyBorder="1" applyAlignment="1">
      <alignment vertical="center"/>
    </xf>
    <xf numFmtId="3" fontId="19" fillId="10" borderId="21" xfId="0" applyNumberFormat="1" applyFont="1" applyFill="1" applyBorder="1" applyAlignment="1">
      <alignment vertical="center"/>
    </xf>
    <xf numFmtId="3" fontId="19" fillId="10" borderId="22" xfId="0" applyNumberFormat="1" applyFont="1" applyFill="1" applyBorder="1" applyAlignment="1">
      <alignment vertical="center"/>
    </xf>
    <xf numFmtId="3" fontId="19" fillId="11" borderId="44" xfId="0" applyNumberFormat="1" applyFont="1" applyFill="1" applyBorder="1" applyAlignment="1">
      <alignment vertical="center"/>
    </xf>
    <xf numFmtId="3" fontId="19" fillId="12" borderId="44" xfId="0" applyNumberFormat="1" applyFont="1" applyFill="1" applyBorder="1" applyAlignment="1">
      <alignment vertical="center"/>
    </xf>
    <xf numFmtId="3" fontId="19" fillId="3" borderId="45" xfId="0" applyNumberFormat="1" applyFont="1" applyFill="1" applyBorder="1" applyAlignment="1">
      <alignment vertical="center"/>
    </xf>
    <xf numFmtId="3" fontId="20" fillId="3" borderId="44" xfId="0" applyNumberFormat="1" applyFont="1" applyFill="1" applyBorder="1" applyAlignment="1">
      <alignment vertical="center"/>
    </xf>
    <xf numFmtId="0" fontId="2" fillId="0" borderId="47" xfId="0" applyFont="1" applyBorder="1" applyAlignment="1">
      <alignment vertical="center" wrapText="1"/>
    </xf>
    <xf numFmtId="3" fontId="2" fillId="13" borderId="48" xfId="0" applyNumberFormat="1" applyFont="1" applyFill="1" applyBorder="1" applyAlignment="1">
      <alignment vertical="center"/>
    </xf>
    <xf numFmtId="3" fontId="2" fillId="7" borderId="49" xfId="0" applyNumberFormat="1" applyFont="1" applyFill="1" applyBorder="1" applyAlignment="1">
      <alignment vertical="center"/>
    </xf>
    <xf numFmtId="3" fontId="2" fillId="7" borderId="50" xfId="0" applyNumberFormat="1" applyFont="1" applyFill="1" applyBorder="1" applyAlignment="1">
      <alignment vertical="center"/>
    </xf>
    <xf numFmtId="3" fontId="2" fillId="8" borderId="49" xfId="0" applyNumberFormat="1" applyFont="1" applyFill="1" applyBorder="1" applyAlignment="1">
      <alignment vertical="center"/>
    </xf>
    <xf numFmtId="3" fontId="2" fillId="9" borderId="49" xfId="0" applyNumberFormat="1" applyFont="1" applyFill="1" applyBorder="1" applyAlignment="1">
      <alignment vertical="center"/>
    </xf>
    <xf numFmtId="3" fontId="2" fillId="5" borderId="34" xfId="0" applyNumberFormat="1" applyFont="1" applyFill="1" applyBorder="1" applyAlignment="1">
      <alignment vertical="center"/>
    </xf>
    <xf numFmtId="3" fontId="2" fillId="10" borderId="48" xfId="0" applyNumberFormat="1" applyFont="1" applyFill="1" applyBorder="1" applyAlignment="1">
      <alignment vertical="center"/>
    </xf>
    <xf numFmtId="3" fontId="2" fillId="10" borderId="49" xfId="0" applyNumberFormat="1" applyFont="1" applyFill="1" applyBorder="1" applyAlignment="1">
      <alignment vertical="center"/>
    </xf>
    <xf numFmtId="3" fontId="2" fillId="11" borderId="47" xfId="0" applyNumberFormat="1" applyFont="1" applyFill="1" applyBorder="1" applyAlignment="1">
      <alignment vertical="center"/>
    </xf>
    <xf numFmtId="3" fontId="2" fillId="12" borderId="47" xfId="0" applyNumberFormat="1" applyFont="1" applyFill="1" applyBorder="1" applyAlignment="1">
      <alignment vertical="center"/>
    </xf>
    <xf numFmtId="3" fontId="2" fillId="3" borderId="34" xfId="0" applyNumberFormat="1" applyFont="1" applyFill="1" applyBorder="1" applyAlignment="1">
      <alignment vertical="center"/>
    </xf>
    <xf numFmtId="3" fontId="2" fillId="3" borderId="47" xfId="0" applyNumberFormat="1" applyFont="1" applyFill="1" applyBorder="1" applyAlignment="1">
      <alignment vertical="center"/>
    </xf>
    <xf numFmtId="0" fontId="0" fillId="0" borderId="41" xfId="0" applyBorder="1" applyAlignment="1">
      <alignment vertical="center" wrapText="1"/>
    </xf>
    <xf numFmtId="3" fontId="0" fillId="8" borderId="17" xfId="0" applyNumberFormat="1" applyFont="1" applyFill="1" applyBorder="1" applyAlignment="1">
      <alignment vertical="center"/>
    </xf>
    <xf numFmtId="3" fontId="0" fillId="9" borderId="17" xfId="0" applyNumberFormat="1" applyFont="1" applyFill="1" applyBorder="1" applyAlignment="1">
      <alignment vertical="center"/>
    </xf>
    <xf numFmtId="3" fontId="16" fillId="5" borderId="55" xfId="0" applyNumberFormat="1" applyFont="1" applyFill="1" applyBorder="1" applyAlignment="1">
      <alignment vertical="center"/>
    </xf>
    <xf numFmtId="3" fontId="0" fillId="10" borderId="17" xfId="0" applyNumberFormat="1" applyFont="1" applyFill="1" applyBorder="1" applyAlignment="1">
      <alignment vertical="center"/>
    </xf>
    <xf numFmtId="3" fontId="16" fillId="11" borderId="41" xfId="0" applyNumberFormat="1" applyFont="1" applyFill="1" applyBorder="1" applyAlignment="1">
      <alignment vertical="center"/>
    </xf>
    <xf numFmtId="3" fontId="14" fillId="3" borderId="55" xfId="0" applyNumberFormat="1" applyFont="1" applyFill="1" applyBorder="1" applyAlignment="1">
      <alignment vertical="center"/>
    </xf>
    <xf numFmtId="3" fontId="19" fillId="5" borderId="42" xfId="0" applyNumberFormat="1" applyFont="1" applyFill="1" applyBorder="1" applyAlignment="1">
      <alignment vertical="center"/>
    </xf>
    <xf numFmtId="3" fontId="19" fillId="11" borderId="43" xfId="0" applyNumberFormat="1" applyFont="1" applyFill="1" applyBorder="1" applyAlignment="1">
      <alignment vertical="center"/>
    </xf>
    <xf numFmtId="3" fontId="19" fillId="12" borderId="43" xfId="0" applyNumberFormat="1" applyFont="1" applyFill="1" applyBorder="1" applyAlignment="1">
      <alignment vertical="center"/>
    </xf>
    <xf numFmtId="3" fontId="19" fillId="3" borderId="42" xfId="0" applyNumberFormat="1" applyFont="1" applyFill="1" applyBorder="1" applyAlignment="1">
      <alignment vertical="center"/>
    </xf>
    <xf numFmtId="3" fontId="21" fillId="7" borderId="23" xfId="0" applyNumberFormat="1" applyFont="1" applyFill="1" applyBorder="1" applyAlignment="1">
      <alignment vertical="center"/>
    </xf>
    <xf numFmtId="3" fontId="21" fillId="8" borderId="21" xfId="0" applyNumberFormat="1" applyFont="1" applyFill="1" applyBorder="1" applyAlignment="1">
      <alignment vertical="center"/>
    </xf>
    <xf numFmtId="3" fontId="21" fillId="8" borderId="22" xfId="0" applyNumberFormat="1" applyFont="1" applyFill="1" applyBorder="1" applyAlignment="1">
      <alignment vertical="center"/>
    </xf>
    <xf numFmtId="3" fontId="19" fillId="8" borderId="23" xfId="0" applyNumberFormat="1" applyFont="1" applyFill="1" applyBorder="1" applyAlignment="1">
      <alignment vertical="center"/>
    </xf>
    <xf numFmtId="3" fontId="21" fillId="9" borderId="21" xfId="0" applyNumberFormat="1" applyFont="1" applyFill="1" applyBorder="1" applyAlignment="1">
      <alignment vertical="center"/>
    </xf>
    <xf numFmtId="3" fontId="21" fillId="9" borderId="22" xfId="0" applyNumberFormat="1" applyFont="1" applyFill="1" applyBorder="1" applyAlignment="1">
      <alignment vertical="center"/>
    </xf>
    <xf numFmtId="3" fontId="19" fillId="9" borderId="23" xfId="0" applyNumberFormat="1" applyFont="1" applyFill="1" applyBorder="1" applyAlignment="1">
      <alignment vertical="center"/>
    </xf>
    <xf numFmtId="3" fontId="21" fillId="5" borderId="45" xfId="0" applyNumberFormat="1" applyFont="1" applyFill="1" applyBorder="1" applyAlignment="1">
      <alignment vertical="center"/>
    </xf>
    <xf numFmtId="3" fontId="21" fillId="10" borderId="21" xfId="0" applyNumberFormat="1" applyFont="1" applyFill="1" applyBorder="1" applyAlignment="1">
      <alignment vertical="center"/>
    </xf>
    <xf numFmtId="3" fontId="21" fillId="10" borderId="22" xfId="0" applyNumberFormat="1" applyFont="1" applyFill="1" applyBorder="1" applyAlignment="1">
      <alignment vertical="center"/>
    </xf>
    <xf numFmtId="3" fontId="19" fillId="10" borderId="23" xfId="0" applyNumberFormat="1" applyFont="1" applyFill="1" applyBorder="1" applyAlignment="1">
      <alignment vertical="center"/>
    </xf>
    <xf numFmtId="3" fontId="21" fillId="11" borderId="44" xfId="0" applyNumberFormat="1" applyFont="1" applyFill="1" applyBorder="1" applyAlignment="1">
      <alignment vertical="center"/>
    </xf>
    <xf numFmtId="3" fontId="21" fillId="12" borderId="44" xfId="0" applyNumberFormat="1" applyFont="1" applyFill="1" applyBorder="1" applyAlignment="1">
      <alignment vertical="center"/>
    </xf>
    <xf numFmtId="3" fontId="22" fillId="3" borderId="45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/>
    <xf numFmtId="3" fontId="2" fillId="9" borderId="48" xfId="0" applyNumberFormat="1" applyFont="1" applyFill="1" applyBorder="1" applyAlignment="1">
      <alignment vertical="center"/>
    </xf>
    <xf numFmtId="3" fontId="16" fillId="5" borderId="28" xfId="0" applyNumberFormat="1" applyFont="1" applyFill="1" applyBorder="1" applyAlignment="1">
      <alignment vertical="center"/>
    </xf>
    <xf numFmtId="3" fontId="16" fillId="5" borderId="56" xfId="0" applyNumberFormat="1" applyFont="1" applyFill="1" applyBorder="1" applyAlignment="1">
      <alignment vertical="center"/>
    </xf>
    <xf numFmtId="3" fontId="19" fillId="8" borderId="20" xfId="0" applyNumberFormat="1" applyFont="1" applyFill="1" applyBorder="1" applyAlignment="1">
      <alignment vertical="center"/>
    </xf>
    <xf numFmtId="3" fontId="19" fillId="9" borderId="20" xfId="0" applyNumberFormat="1" applyFont="1" applyFill="1" applyBorder="1" applyAlignment="1">
      <alignment vertical="center"/>
    </xf>
    <xf numFmtId="3" fontId="19" fillId="5" borderId="56" xfId="0" applyNumberFormat="1" applyFont="1" applyFill="1" applyBorder="1" applyAlignment="1">
      <alignment vertical="center"/>
    </xf>
    <xf numFmtId="3" fontId="19" fillId="10" borderId="20" xfId="0" applyNumberFormat="1" applyFont="1" applyFill="1" applyBorder="1" applyAlignment="1">
      <alignment vertical="center"/>
    </xf>
    <xf numFmtId="3" fontId="20" fillId="3" borderId="43" xfId="0" applyNumberFormat="1" applyFont="1" applyFill="1" applyBorder="1" applyAlignment="1">
      <alignment vertical="center"/>
    </xf>
    <xf numFmtId="3" fontId="21" fillId="5" borderId="56" xfId="0" applyNumberFormat="1" applyFont="1" applyFill="1" applyBorder="1" applyAlignment="1">
      <alignment vertical="center"/>
    </xf>
    <xf numFmtId="3" fontId="21" fillId="11" borderId="43" xfId="0" applyNumberFormat="1" applyFont="1" applyFill="1" applyBorder="1" applyAlignment="1">
      <alignment vertical="center"/>
    </xf>
    <xf numFmtId="3" fontId="21" fillId="12" borderId="43" xfId="0" applyNumberFormat="1" applyFont="1" applyFill="1" applyBorder="1" applyAlignment="1">
      <alignment vertical="center"/>
    </xf>
    <xf numFmtId="3" fontId="22" fillId="3" borderId="42" xfId="0" applyNumberFormat="1" applyFont="1" applyFill="1" applyBorder="1" applyAlignment="1">
      <alignment vertical="center"/>
    </xf>
    <xf numFmtId="0" fontId="19" fillId="0" borderId="43" xfId="0" applyFont="1" applyBorder="1" applyAlignment="1">
      <alignment vertical="center"/>
    </xf>
    <xf numFmtId="3" fontId="19" fillId="3" borderId="56" xfId="0" applyNumberFormat="1" applyFont="1" applyFill="1" applyBorder="1" applyAlignment="1">
      <alignment vertical="center"/>
    </xf>
    <xf numFmtId="3" fontId="19" fillId="3" borderId="43" xfId="0" applyNumberFormat="1" applyFont="1" applyFill="1" applyBorder="1" applyAlignment="1">
      <alignment vertical="center"/>
    </xf>
    <xf numFmtId="3" fontId="21" fillId="5" borderId="57" xfId="0" applyNumberFormat="1" applyFont="1" applyFill="1" applyBorder="1" applyAlignment="1">
      <alignment vertical="center"/>
    </xf>
    <xf numFmtId="0" fontId="23" fillId="0" borderId="47" xfId="0" applyFont="1" applyBorder="1" applyAlignment="1">
      <alignment vertical="center" wrapText="1"/>
    </xf>
    <xf numFmtId="3" fontId="23" fillId="13" borderId="48" xfId="0" applyNumberFormat="1" applyFont="1" applyFill="1" applyBorder="1" applyAlignment="1">
      <alignment vertical="center"/>
    </xf>
    <xf numFmtId="3" fontId="23" fillId="7" borderId="49" xfId="0" applyNumberFormat="1" applyFont="1" applyFill="1" applyBorder="1" applyAlignment="1">
      <alignment vertical="center"/>
    </xf>
    <xf numFmtId="3" fontId="23" fillId="7" borderId="50" xfId="0" applyNumberFormat="1" applyFont="1" applyFill="1" applyBorder="1" applyAlignment="1">
      <alignment vertical="center"/>
    </xf>
    <xf numFmtId="3" fontId="23" fillId="8" borderId="48" xfId="0" applyNumberFormat="1" applyFont="1" applyFill="1" applyBorder="1" applyAlignment="1">
      <alignment vertical="center"/>
    </xf>
    <xf numFmtId="3" fontId="23" fillId="8" borderId="49" xfId="0" applyNumberFormat="1" applyFont="1" applyFill="1" applyBorder="1" applyAlignment="1">
      <alignment vertical="center"/>
    </xf>
    <xf numFmtId="3" fontId="23" fillId="8" borderId="50" xfId="0" applyNumberFormat="1" applyFont="1" applyFill="1" applyBorder="1" applyAlignment="1">
      <alignment vertical="center"/>
    </xf>
    <xf numFmtId="3" fontId="23" fillId="9" borderId="48" xfId="0" applyNumberFormat="1" applyFont="1" applyFill="1" applyBorder="1" applyAlignment="1">
      <alignment vertical="center"/>
    </xf>
    <xf numFmtId="3" fontId="23" fillId="9" borderId="49" xfId="0" applyNumberFormat="1" applyFont="1" applyFill="1" applyBorder="1" applyAlignment="1">
      <alignment vertical="center"/>
    </xf>
    <xf numFmtId="3" fontId="23" fillId="9" borderId="50" xfId="0" applyNumberFormat="1" applyFont="1" applyFill="1" applyBorder="1" applyAlignment="1">
      <alignment vertical="center"/>
    </xf>
    <xf numFmtId="3" fontId="23" fillId="5" borderId="26" xfId="0" applyNumberFormat="1" applyFont="1" applyFill="1" applyBorder="1" applyAlignment="1">
      <alignment vertical="center"/>
    </xf>
    <xf numFmtId="3" fontId="23" fillId="10" borderId="48" xfId="0" applyNumberFormat="1" applyFont="1" applyFill="1" applyBorder="1" applyAlignment="1">
      <alignment vertical="center"/>
    </xf>
    <xf numFmtId="3" fontId="23" fillId="10" borderId="49" xfId="0" applyNumberFormat="1" applyFont="1" applyFill="1" applyBorder="1" applyAlignment="1">
      <alignment vertical="center"/>
    </xf>
    <xf numFmtId="3" fontId="23" fillId="10" borderId="50" xfId="0" applyNumberFormat="1" applyFont="1" applyFill="1" applyBorder="1" applyAlignment="1">
      <alignment vertical="center"/>
    </xf>
    <xf numFmtId="3" fontId="23" fillId="11" borderId="47" xfId="0" applyNumberFormat="1" applyFont="1" applyFill="1" applyBorder="1" applyAlignment="1">
      <alignment vertical="center"/>
    </xf>
    <xf numFmtId="3" fontId="23" fillId="12" borderId="47" xfId="0" applyNumberFormat="1" applyFont="1" applyFill="1" applyBorder="1" applyAlignment="1">
      <alignment vertical="center"/>
    </xf>
    <xf numFmtId="3" fontId="23" fillId="3" borderId="26" xfId="0" applyNumberFormat="1" applyFont="1" applyFill="1" applyBorder="1" applyAlignment="1">
      <alignment vertical="center"/>
    </xf>
    <xf numFmtId="3" fontId="23" fillId="3" borderId="50" xfId="0" applyNumberFormat="1" applyFont="1" applyFill="1" applyBorder="1" applyAlignment="1">
      <alignment vertical="center"/>
    </xf>
    <xf numFmtId="3" fontId="2" fillId="8" borderId="48" xfId="0" applyNumberFormat="1" applyFont="1" applyFill="1" applyBorder="1" applyAlignment="1">
      <alignment vertical="center"/>
    </xf>
    <xf numFmtId="0" fontId="19" fillId="0" borderId="41" xfId="0" applyFont="1" applyBorder="1" applyAlignment="1">
      <alignment vertical="center" wrapText="1"/>
    </xf>
    <xf numFmtId="3" fontId="19" fillId="13" borderId="15" xfId="0" applyNumberFormat="1" applyFont="1" applyFill="1" applyBorder="1" applyAlignment="1">
      <alignment vertical="center"/>
    </xf>
    <xf numFmtId="3" fontId="19" fillId="7" borderId="16" xfId="0" applyNumberFormat="1" applyFont="1" applyFill="1" applyBorder="1" applyAlignment="1">
      <alignment vertical="center"/>
    </xf>
    <xf numFmtId="3" fontId="0" fillId="7" borderId="16" xfId="0" applyNumberFormat="1" applyFont="1" applyFill="1" applyBorder="1" applyAlignment="1">
      <alignment vertical="center"/>
    </xf>
    <xf numFmtId="3" fontId="0" fillId="7" borderId="17" xfId="0" applyNumberFormat="1" applyFont="1" applyFill="1" applyBorder="1" applyAlignment="1">
      <alignment vertical="center"/>
    </xf>
    <xf numFmtId="3" fontId="0" fillId="8" borderId="15" xfId="0" applyNumberFormat="1" applyFont="1" applyFill="1" applyBorder="1" applyAlignment="1">
      <alignment vertical="center"/>
    </xf>
    <xf numFmtId="3" fontId="0" fillId="8" borderId="16" xfId="0" applyNumberFormat="1" applyFont="1" applyFill="1" applyBorder="1" applyAlignment="1">
      <alignment vertical="center"/>
    </xf>
    <xf numFmtId="3" fontId="0" fillId="9" borderId="15" xfId="0" applyNumberFormat="1" applyFont="1" applyFill="1" applyBorder="1" applyAlignment="1">
      <alignment vertical="center"/>
    </xf>
    <xf numFmtId="3" fontId="0" fillId="9" borderId="16" xfId="0" applyNumberFormat="1" applyFont="1" applyFill="1" applyBorder="1" applyAlignment="1">
      <alignment vertical="center"/>
    </xf>
    <xf numFmtId="3" fontId="21" fillId="5" borderId="55" xfId="0" applyNumberFormat="1" applyFont="1" applyFill="1" applyBorder="1" applyAlignment="1">
      <alignment vertical="center"/>
    </xf>
    <xf numFmtId="3" fontId="0" fillId="10" borderId="15" xfId="0" applyNumberFormat="1" applyFont="1" applyFill="1" applyBorder="1" applyAlignment="1">
      <alignment vertical="center"/>
    </xf>
    <xf numFmtId="3" fontId="0" fillId="10" borderId="16" xfId="0" applyNumberFormat="1" applyFont="1" applyFill="1" applyBorder="1" applyAlignment="1">
      <alignment vertical="center"/>
    </xf>
    <xf numFmtId="3" fontId="21" fillId="11" borderId="41" xfId="0" applyNumberFormat="1" applyFont="1" applyFill="1" applyBorder="1" applyAlignment="1">
      <alignment vertical="center"/>
    </xf>
    <xf numFmtId="3" fontId="21" fillId="12" borderId="41" xfId="0" applyNumberFormat="1" applyFont="1" applyFill="1" applyBorder="1" applyAlignment="1">
      <alignment vertical="center"/>
    </xf>
    <xf numFmtId="3" fontId="22" fillId="3" borderId="55" xfId="0" applyNumberFormat="1" applyFont="1" applyFill="1" applyBorder="1" applyAlignment="1">
      <alignment vertical="center"/>
    </xf>
    <xf numFmtId="3" fontId="0" fillId="7" borderId="19" xfId="0" applyNumberFormat="1" applyFont="1" applyFill="1" applyBorder="1" applyAlignment="1">
      <alignment vertical="center"/>
    </xf>
    <xf numFmtId="3" fontId="0" fillId="7" borderId="20" xfId="0" applyNumberFormat="1" applyFont="1" applyFill="1" applyBorder="1" applyAlignment="1">
      <alignment vertical="center"/>
    </xf>
    <xf numFmtId="3" fontId="0" fillId="8" borderId="18" xfId="0" applyNumberFormat="1" applyFont="1" applyFill="1" applyBorder="1" applyAlignment="1">
      <alignment vertical="center"/>
    </xf>
    <xf numFmtId="3" fontId="0" fillId="8" borderId="19" xfId="0" applyNumberFormat="1" applyFont="1" applyFill="1" applyBorder="1" applyAlignment="1">
      <alignment vertical="center"/>
    </xf>
    <xf numFmtId="3" fontId="0" fillId="9" borderId="18" xfId="0" applyNumberFormat="1" applyFont="1" applyFill="1" applyBorder="1" applyAlignment="1">
      <alignment vertical="center"/>
    </xf>
    <xf numFmtId="3" fontId="0" fillId="9" borderId="19" xfId="0" applyNumberFormat="1" applyFont="1" applyFill="1" applyBorder="1" applyAlignment="1">
      <alignment vertical="center"/>
    </xf>
    <xf numFmtId="3" fontId="21" fillId="5" borderId="42" xfId="0" applyNumberFormat="1" applyFont="1" applyFill="1" applyBorder="1" applyAlignment="1">
      <alignment vertical="center"/>
    </xf>
    <xf numFmtId="3" fontId="0" fillId="10" borderId="18" xfId="0" applyNumberFormat="1" applyFont="1" applyFill="1" applyBorder="1" applyAlignment="1">
      <alignment vertical="center"/>
    </xf>
    <xf numFmtId="3" fontId="0" fillId="10" borderId="19" xfId="0" applyNumberFormat="1" applyFont="1" applyFill="1" applyBorder="1" applyAlignment="1">
      <alignment vertical="center"/>
    </xf>
    <xf numFmtId="3" fontId="19" fillId="9" borderId="54" xfId="0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18" fillId="0" borderId="47" xfId="0" applyFont="1" applyBorder="1" applyAlignment="1">
      <alignment vertical="center" wrapText="1"/>
    </xf>
    <xf numFmtId="3" fontId="18" fillId="13" borderId="48" xfId="0" applyNumberFormat="1" applyFont="1" applyFill="1" applyBorder="1" applyAlignment="1">
      <alignment vertical="center"/>
    </xf>
    <xf numFmtId="3" fontId="18" fillId="7" borderId="49" xfId="0" applyNumberFormat="1" applyFont="1" applyFill="1" applyBorder="1" applyAlignment="1">
      <alignment vertical="center"/>
    </xf>
    <xf numFmtId="3" fontId="18" fillId="7" borderId="50" xfId="0" applyNumberFormat="1" applyFont="1" applyFill="1" applyBorder="1" applyAlignment="1">
      <alignment vertical="center"/>
    </xf>
    <xf numFmtId="3" fontId="18" fillId="8" borderId="48" xfId="0" applyNumberFormat="1" applyFont="1" applyFill="1" applyBorder="1" applyAlignment="1">
      <alignment vertical="center"/>
    </xf>
    <xf numFmtId="3" fontId="18" fillId="8" borderId="49" xfId="0" applyNumberFormat="1" applyFont="1" applyFill="1" applyBorder="1" applyAlignment="1">
      <alignment vertical="center"/>
    </xf>
    <xf numFmtId="3" fontId="18" fillId="8" borderId="50" xfId="0" applyNumberFormat="1" applyFont="1" applyFill="1" applyBorder="1" applyAlignment="1">
      <alignment vertical="center"/>
    </xf>
    <xf numFmtId="3" fontId="18" fillId="9" borderId="48" xfId="0" applyNumberFormat="1" applyFont="1" applyFill="1" applyBorder="1" applyAlignment="1">
      <alignment vertical="center"/>
    </xf>
    <xf numFmtId="3" fontId="18" fillId="9" borderId="49" xfId="0" applyNumberFormat="1" applyFont="1" applyFill="1" applyBorder="1" applyAlignment="1">
      <alignment vertical="center"/>
    </xf>
    <xf numFmtId="3" fontId="18" fillId="9" borderId="50" xfId="0" applyNumberFormat="1" applyFont="1" applyFill="1" applyBorder="1" applyAlignment="1">
      <alignment vertical="center"/>
    </xf>
    <xf numFmtId="3" fontId="18" fillId="5" borderId="34" xfId="0" applyNumberFormat="1" applyFont="1" applyFill="1" applyBorder="1" applyAlignment="1">
      <alignment vertical="center"/>
    </xf>
    <xf numFmtId="3" fontId="18" fillId="10" borderId="48" xfId="0" applyNumberFormat="1" applyFont="1" applyFill="1" applyBorder="1" applyAlignment="1">
      <alignment vertical="center"/>
    </xf>
    <xf numFmtId="3" fontId="18" fillId="10" borderId="49" xfId="0" applyNumberFormat="1" applyFont="1" applyFill="1" applyBorder="1" applyAlignment="1">
      <alignment vertical="center"/>
    </xf>
    <xf numFmtId="3" fontId="18" fillId="10" borderId="50" xfId="0" applyNumberFormat="1" applyFont="1" applyFill="1" applyBorder="1" applyAlignment="1">
      <alignment vertical="center"/>
    </xf>
    <xf numFmtId="3" fontId="18" fillId="11" borderId="47" xfId="0" applyNumberFormat="1" applyFont="1" applyFill="1" applyBorder="1" applyAlignment="1">
      <alignment vertical="center"/>
    </xf>
    <xf numFmtId="3" fontId="18" fillId="12" borderId="47" xfId="0" applyNumberFormat="1" applyFont="1" applyFill="1" applyBorder="1" applyAlignment="1">
      <alignment vertical="center"/>
    </xf>
    <xf numFmtId="3" fontId="18" fillId="3" borderId="47" xfId="0" applyNumberFormat="1" applyFont="1" applyFill="1" applyBorder="1" applyAlignment="1">
      <alignment vertical="center"/>
    </xf>
    <xf numFmtId="3" fontId="18" fillId="0" borderId="0" xfId="0" applyNumberFormat="1" applyFont="1"/>
    <xf numFmtId="0" fontId="19" fillId="0" borderId="36" xfId="0" applyFont="1" applyBorder="1" applyAlignment="1">
      <alignment vertical="center" wrapText="1"/>
    </xf>
    <xf numFmtId="3" fontId="19" fillId="13" borderId="51" xfId="0" applyNumberFormat="1" applyFont="1" applyFill="1" applyBorder="1" applyAlignment="1">
      <alignment vertical="center"/>
    </xf>
    <xf numFmtId="3" fontId="19" fillId="7" borderId="52" xfId="0" applyNumberFormat="1" applyFont="1" applyFill="1" applyBorder="1" applyAlignment="1">
      <alignment vertical="center"/>
    </xf>
    <xf numFmtId="3" fontId="22" fillId="7" borderId="58" xfId="0" applyNumberFormat="1" applyFont="1" applyFill="1" applyBorder="1" applyAlignment="1">
      <alignment vertical="center"/>
    </xf>
    <xf numFmtId="3" fontId="22" fillId="8" borderId="51" xfId="0" applyNumberFormat="1" applyFont="1" applyFill="1" applyBorder="1" applyAlignment="1">
      <alignment vertical="center"/>
    </xf>
    <xf numFmtId="3" fontId="22" fillId="8" borderId="52" xfId="0" applyNumberFormat="1" applyFont="1" applyFill="1" applyBorder="1" applyAlignment="1">
      <alignment vertical="center"/>
    </xf>
    <xf numFmtId="3" fontId="19" fillId="8" borderId="58" xfId="0" applyNumberFormat="1" applyFont="1" applyFill="1" applyBorder="1" applyAlignment="1">
      <alignment vertical="center"/>
    </xf>
    <xf numFmtId="3" fontId="22" fillId="9" borderId="51" xfId="0" applyNumberFormat="1" applyFont="1" applyFill="1" applyBorder="1" applyAlignment="1">
      <alignment vertical="center"/>
    </xf>
    <xf numFmtId="3" fontId="22" fillId="9" borderId="52" xfId="0" applyNumberFormat="1" applyFont="1" applyFill="1" applyBorder="1" applyAlignment="1">
      <alignment vertical="center"/>
    </xf>
    <xf numFmtId="3" fontId="19" fillId="9" borderId="58" xfId="0" applyNumberFormat="1" applyFont="1" applyFill="1" applyBorder="1" applyAlignment="1">
      <alignment vertical="center"/>
    </xf>
    <xf numFmtId="3" fontId="22" fillId="5" borderId="31" xfId="0" applyNumberFormat="1" applyFont="1" applyFill="1" applyBorder="1" applyAlignment="1">
      <alignment vertical="center"/>
    </xf>
    <xf numFmtId="3" fontId="22" fillId="10" borderId="51" xfId="0" applyNumberFormat="1" applyFont="1" applyFill="1" applyBorder="1" applyAlignment="1">
      <alignment vertical="center"/>
    </xf>
    <xf numFmtId="3" fontId="22" fillId="10" borderId="52" xfId="0" applyNumberFormat="1" applyFont="1" applyFill="1" applyBorder="1" applyAlignment="1">
      <alignment vertical="center"/>
    </xf>
    <xf numFmtId="3" fontId="19" fillId="10" borderId="58" xfId="0" applyNumberFormat="1" applyFont="1" applyFill="1" applyBorder="1" applyAlignment="1">
      <alignment vertical="center"/>
    </xf>
    <xf numFmtId="3" fontId="21" fillId="11" borderId="36" xfId="0" applyNumberFormat="1" applyFont="1" applyFill="1" applyBorder="1" applyAlignment="1">
      <alignment vertical="center"/>
    </xf>
    <xf numFmtId="3" fontId="22" fillId="12" borderId="36" xfId="0" applyNumberFormat="1" applyFont="1" applyFill="1" applyBorder="1" applyAlignment="1">
      <alignment vertical="center"/>
    </xf>
    <xf numFmtId="3" fontId="22" fillId="3" borderId="31" xfId="0" applyNumberFormat="1" applyFont="1" applyFill="1" applyBorder="1" applyAlignment="1">
      <alignment vertical="center"/>
    </xf>
    <xf numFmtId="3" fontId="22" fillId="3" borderId="36" xfId="0" applyNumberFormat="1" applyFont="1" applyFill="1" applyBorder="1" applyAlignment="1">
      <alignment vertical="center"/>
    </xf>
    <xf numFmtId="3" fontId="14" fillId="7" borderId="17" xfId="0" applyNumberFormat="1" applyFont="1" applyFill="1" applyBorder="1" applyAlignment="1">
      <alignment vertical="center"/>
    </xf>
    <xf numFmtId="3" fontId="14" fillId="8" borderId="15" xfId="0" applyNumberFormat="1" applyFont="1" applyFill="1" applyBorder="1" applyAlignment="1">
      <alignment vertical="center"/>
    </xf>
    <xf numFmtId="3" fontId="14" fillId="8" borderId="16" xfId="0" applyNumberFormat="1" applyFont="1" applyFill="1" applyBorder="1" applyAlignment="1">
      <alignment vertical="center"/>
    </xf>
    <xf numFmtId="3" fontId="19" fillId="8" borderId="17" xfId="0" applyNumberFormat="1" applyFont="1" applyFill="1" applyBorder="1" applyAlignment="1">
      <alignment vertical="center"/>
    </xf>
    <xf numFmtId="3" fontId="14" fillId="9" borderId="15" xfId="0" applyNumberFormat="1" applyFont="1" applyFill="1" applyBorder="1" applyAlignment="1">
      <alignment vertical="center"/>
    </xf>
    <xf numFmtId="3" fontId="14" fillId="9" borderId="16" xfId="0" applyNumberFormat="1" applyFont="1" applyFill="1" applyBorder="1" applyAlignment="1">
      <alignment vertical="center"/>
    </xf>
    <xf numFmtId="3" fontId="19" fillId="9" borderId="17" xfId="0" applyNumberFormat="1" applyFont="1" applyFill="1" applyBorder="1" applyAlignment="1">
      <alignment vertical="center"/>
    </xf>
    <xf numFmtId="3" fontId="22" fillId="5" borderId="55" xfId="0" applyNumberFormat="1" applyFont="1" applyFill="1" applyBorder="1" applyAlignment="1">
      <alignment vertical="center"/>
    </xf>
    <xf numFmtId="3" fontId="14" fillId="10" borderId="15" xfId="0" applyNumberFormat="1" applyFont="1" applyFill="1" applyBorder="1" applyAlignment="1">
      <alignment vertical="center"/>
    </xf>
    <xf numFmtId="3" fontId="14" fillId="10" borderId="16" xfId="0" applyNumberFormat="1" applyFont="1" applyFill="1" applyBorder="1" applyAlignment="1">
      <alignment vertical="center"/>
    </xf>
    <xf numFmtId="3" fontId="19" fillId="10" borderId="17" xfId="0" applyNumberFormat="1" applyFont="1" applyFill="1" applyBorder="1" applyAlignment="1">
      <alignment vertical="center"/>
    </xf>
    <xf numFmtId="3" fontId="22" fillId="11" borderId="41" xfId="0" applyNumberFormat="1" applyFont="1" applyFill="1" applyBorder="1" applyAlignment="1">
      <alignment vertical="center"/>
    </xf>
    <xf numFmtId="3" fontId="22" fillId="12" borderId="41" xfId="0" applyNumberFormat="1" applyFont="1" applyFill="1" applyBorder="1" applyAlignment="1">
      <alignment vertical="center"/>
    </xf>
    <xf numFmtId="0" fontId="2" fillId="0" borderId="43" xfId="0" applyFont="1" applyBorder="1" applyAlignment="1">
      <alignment vertical="center" wrapText="1"/>
    </xf>
    <xf numFmtId="3" fontId="2" fillId="13" borderId="18" xfId="0" applyNumberFormat="1" applyFont="1" applyFill="1" applyBorder="1" applyAlignment="1">
      <alignment vertical="center"/>
    </xf>
    <xf numFmtId="3" fontId="2" fillId="7" borderId="19" xfId="0" applyNumberFormat="1" applyFont="1" applyFill="1" applyBorder="1" applyAlignment="1">
      <alignment vertical="center"/>
    </xf>
    <xf numFmtId="3" fontId="2" fillId="7" borderId="20" xfId="0" applyNumberFormat="1" applyFont="1" applyFill="1" applyBorder="1" applyAlignment="1">
      <alignment vertical="center"/>
    </xf>
    <xf numFmtId="3" fontId="2" fillId="8" borderId="18" xfId="0" applyNumberFormat="1" applyFont="1" applyFill="1" applyBorder="1" applyAlignment="1">
      <alignment vertical="center"/>
    </xf>
    <xf numFmtId="3" fontId="2" fillId="8" borderId="19" xfId="0" applyNumberFormat="1" applyFont="1" applyFill="1" applyBorder="1" applyAlignment="1">
      <alignment vertical="center"/>
    </xf>
    <xf numFmtId="3" fontId="2" fillId="8" borderId="20" xfId="0" applyNumberFormat="1" applyFont="1" applyFill="1" applyBorder="1" applyAlignment="1">
      <alignment vertical="center"/>
    </xf>
    <xf numFmtId="3" fontId="2" fillId="9" borderId="18" xfId="0" applyNumberFormat="1" applyFont="1" applyFill="1" applyBorder="1" applyAlignment="1">
      <alignment vertical="center"/>
    </xf>
    <xf numFmtId="3" fontId="2" fillId="9" borderId="19" xfId="0" applyNumberFormat="1" applyFont="1" applyFill="1" applyBorder="1" applyAlignment="1">
      <alignment vertical="center"/>
    </xf>
    <xf numFmtId="3" fontId="2" fillId="9" borderId="20" xfId="0" applyNumberFormat="1" applyFont="1" applyFill="1" applyBorder="1" applyAlignment="1">
      <alignment vertical="center"/>
    </xf>
    <xf numFmtId="3" fontId="2" fillId="5" borderId="42" xfId="0" applyNumberFormat="1" applyFont="1" applyFill="1" applyBorder="1" applyAlignment="1">
      <alignment vertical="center"/>
    </xf>
    <xf numFmtId="3" fontId="2" fillId="10" borderId="18" xfId="0" applyNumberFormat="1" applyFont="1" applyFill="1" applyBorder="1" applyAlignment="1">
      <alignment vertical="center"/>
    </xf>
    <xf numFmtId="3" fontId="2" fillId="10" borderId="19" xfId="0" applyNumberFormat="1" applyFont="1" applyFill="1" applyBorder="1" applyAlignment="1">
      <alignment vertical="center"/>
    </xf>
    <xf numFmtId="3" fontId="2" fillId="10" borderId="20" xfId="0" applyNumberFormat="1" applyFont="1" applyFill="1" applyBorder="1" applyAlignment="1">
      <alignment vertical="center"/>
    </xf>
    <xf numFmtId="3" fontId="2" fillId="11" borderId="43" xfId="0" applyNumberFormat="1" applyFont="1" applyFill="1" applyBorder="1" applyAlignment="1">
      <alignment vertical="center"/>
    </xf>
    <xf numFmtId="3" fontId="2" fillId="12" borderId="43" xfId="0" applyNumberFormat="1" applyFont="1" applyFill="1" applyBorder="1" applyAlignment="1">
      <alignment vertical="center"/>
    </xf>
    <xf numFmtId="3" fontId="2" fillId="3" borderId="42" xfId="0" applyNumberFormat="1" applyFont="1" applyFill="1" applyBorder="1" applyAlignment="1">
      <alignment vertical="center"/>
    </xf>
    <xf numFmtId="3" fontId="14" fillId="7" borderId="20" xfId="0" applyNumberFormat="1" applyFont="1" applyFill="1" applyBorder="1" applyAlignment="1">
      <alignment vertical="center"/>
    </xf>
    <xf numFmtId="3" fontId="14" fillId="8" borderId="18" xfId="0" applyNumberFormat="1" applyFont="1" applyFill="1" applyBorder="1" applyAlignment="1">
      <alignment vertical="center"/>
    </xf>
    <xf numFmtId="3" fontId="14" fillId="8" borderId="19" xfId="0" applyNumberFormat="1" applyFont="1" applyFill="1" applyBorder="1" applyAlignment="1">
      <alignment vertical="center"/>
    </xf>
    <xf numFmtId="3" fontId="14" fillId="9" borderId="18" xfId="0" applyNumberFormat="1" applyFont="1" applyFill="1" applyBorder="1" applyAlignment="1">
      <alignment vertical="center"/>
    </xf>
    <xf numFmtId="3" fontId="14" fillId="9" borderId="19" xfId="0" applyNumberFormat="1" applyFont="1" applyFill="1" applyBorder="1" applyAlignment="1">
      <alignment vertical="center"/>
    </xf>
    <xf numFmtId="3" fontId="22" fillId="5" borderId="42" xfId="0" applyNumberFormat="1" applyFont="1" applyFill="1" applyBorder="1" applyAlignment="1">
      <alignment vertical="center"/>
    </xf>
    <xf numFmtId="3" fontId="14" fillId="10" borderId="18" xfId="0" applyNumberFormat="1" applyFont="1" applyFill="1" applyBorder="1" applyAlignment="1">
      <alignment vertical="center"/>
    </xf>
    <xf numFmtId="3" fontId="14" fillId="10" borderId="19" xfId="0" applyNumberFormat="1" applyFont="1" applyFill="1" applyBorder="1" applyAlignment="1">
      <alignment vertical="center"/>
    </xf>
    <xf numFmtId="3" fontId="22" fillId="11" borderId="43" xfId="0" applyNumberFormat="1" applyFont="1" applyFill="1" applyBorder="1" applyAlignment="1">
      <alignment vertical="center"/>
    </xf>
    <xf numFmtId="3" fontId="22" fillId="12" borderId="43" xfId="0" applyNumberFormat="1" applyFont="1" applyFill="1" applyBorder="1" applyAlignment="1">
      <alignment vertical="center"/>
    </xf>
    <xf numFmtId="3" fontId="21" fillId="3" borderId="42" xfId="0" applyNumberFormat="1" applyFont="1" applyFill="1" applyBorder="1" applyAlignment="1">
      <alignment vertical="center"/>
    </xf>
    <xf numFmtId="0" fontId="18" fillId="0" borderId="46" xfId="0" applyFont="1" applyBorder="1" applyAlignment="1">
      <alignment vertical="center" wrapText="1"/>
    </xf>
    <xf numFmtId="3" fontId="18" fillId="13" borderId="24" xfId="0" applyNumberFormat="1" applyFont="1" applyFill="1" applyBorder="1" applyAlignment="1">
      <alignment vertical="center"/>
    </xf>
    <xf numFmtId="3" fontId="18" fillId="7" borderId="9" xfId="0" applyNumberFormat="1" applyFont="1" applyFill="1" applyBorder="1" applyAlignment="1">
      <alignment vertical="center"/>
    </xf>
    <xf numFmtId="3" fontId="18" fillId="7" borderId="25" xfId="0" applyNumberFormat="1" applyFont="1" applyFill="1" applyBorder="1" applyAlignment="1">
      <alignment vertical="center"/>
    </xf>
    <xf numFmtId="3" fontId="18" fillId="8" borderId="24" xfId="0" applyNumberFormat="1" applyFont="1" applyFill="1" applyBorder="1" applyAlignment="1">
      <alignment vertical="center"/>
    </xf>
    <xf numFmtId="3" fontId="18" fillId="8" borderId="9" xfId="0" applyNumberFormat="1" applyFont="1" applyFill="1" applyBorder="1" applyAlignment="1">
      <alignment vertical="center"/>
    </xf>
    <xf numFmtId="3" fontId="18" fillId="8" borderId="25" xfId="0" applyNumberFormat="1" applyFont="1" applyFill="1" applyBorder="1" applyAlignment="1">
      <alignment vertical="center"/>
    </xf>
    <xf numFmtId="3" fontId="18" fillId="9" borderId="24" xfId="0" applyNumberFormat="1" applyFont="1" applyFill="1" applyBorder="1" applyAlignment="1">
      <alignment vertical="center"/>
    </xf>
    <xf numFmtId="3" fontId="18" fillId="9" borderId="9" xfId="0" applyNumberFormat="1" applyFont="1" applyFill="1" applyBorder="1" applyAlignment="1">
      <alignment vertical="center"/>
    </xf>
    <xf numFmtId="3" fontId="18" fillId="9" borderId="25" xfId="0" applyNumberFormat="1" applyFont="1" applyFill="1" applyBorder="1" applyAlignment="1">
      <alignment vertical="center"/>
    </xf>
    <xf numFmtId="3" fontId="18" fillId="5" borderId="59" xfId="0" applyNumberFormat="1" applyFont="1" applyFill="1" applyBorder="1" applyAlignment="1">
      <alignment vertical="center"/>
    </xf>
    <xf numFmtId="3" fontId="18" fillId="10" borderId="24" xfId="0" applyNumberFormat="1" applyFont="1" applyFill="1" applyBorder="1" applyAlignment="1">
      <alignment vertical="center"/>
    </xf>
    <xf numFmtId="3" fontId="18" fillId="10" borderId="9" xfId="0" applyNumberFormat="1" applyFont="1" applyFill="1" applyBorder="1" applyAlignment="1">
      <alignment vertical="center"/>
    </xf>
    <xf numFmtId="3" fontId="18" fillId="10" borderId="25" xfId="0" applyNumberFormat="1" applyFont="1" applyFill="1" applyBorder="1" applyAlignment="1">
      <alignment vertical="center"/>
    </xf>
    <xf numFmtId="3" fontId="18" fillId="11" borderId="46" xfId="0" applyNumberFormat="1" applyFont="1" applyFill="1" applyBorder="1" applyAlignment="1">
      <alignment vertical="center"/>
    </xf>
    <xf numFmtId="3" fontId="18" fillId="12" borderId="46" xfId="0" applyNumberFormat="1" applyFont="1" applyFill="1" applyBorder="1" applyAlignment="1">
      <alignment vertical="center"/>
    </xf>
    <xf numFmtId="3" fontId="18" fillId="3" borderId="59" xfId="0" applyNumberFormat="1" applyFont="1" applyFill="1" applyBorder="1" applyAlignment="1">
      <alignment vertical="center"/>
    </xf>
    <xf numFmtId="3" fontId="17" fillId="3" borderId="46" xfId="0" applyNumberFormat="1" applyFont="1" applyFill="1" applyBorder="1" applyAlignment="1">
      <alignment vertical="center"/>
    </xf>
    <xf numFmtId="0" fontId="19" fillId="0" borderId="40" xfId="0" applyFont="1" applyBorder="1" applyAlignment="1">
      <alignment vertical="center" wrapText="1"/>
    </xf>
    <xf numFmtId="3" fontId="19" fillId="13" borderId="13" xfId="0" applyNumberFormat="1" applyFont="1" applyFill="1" applyBorder="1" applyAlignment="1">
      <alignment vertical="center"/>
    </xf>
    <xf numFmtId="3" fontId="19" fillId="7" borderId="3" xfId="0" applyNumberFormat="1" applyFont="1" applyFill="1" applyBorder="1" applyAlignment="1">
      <alignment vertical="center"/>
    </xf>
    <xf numFmtId="3" fontId="14" fillId="7" borderId="14" xfId="0" applyNumberFormat="1" applyFont="1" applyFill="1" applyBorder="1" applyAlignment="1">
      <alignment vertical="center"/>
    </xf>
    <xf numFmtId="3" fontId="14" fillId="8" borderId="13" xfId="0" applyNumberFormat="1" applyFont="1" applyFill="1" applyBorder="1" applyAlignment="1">
      <alignment vertical="center"/>
    </xf>
    <xf numFmtId="3" fontId="14" fillId="8" borderId="3" xfId="0" applyNumberFormat="1" applyFont="1" applyFill="1" applyBorder="1" applyAlignment="1">
      <alignment vertical="center"/>
    </xf>
    <xf numFmtId="3" fontId="19" fillId="8" borderId="14" xfId="0" applyNumberFormat="1" applyFont="1" applyFill="1" applyBorder="1" applyAlignment="1">
      <alignment vertical="center"/>
    </xf>
    <xf numFmtId="3" fontId="14" fillId="9" borderId="13" xfId="0" applyNumberFormat="1" applyFont="1" applyFill="1" applyBorder="1" applyAlignment="1">
      <alignment vertical="center"/>
    </xf>
    <xf numFmtId="3" fontId="14" fillId="9" borderId="3" xfId="0" applyNumberFormat="1" applyFont="1" applyFill="1" applyBorder="1" applyAlignment="1">
      <alignment vertical="center"/>
    </xf>
    <xf numFmtId="3" fontId="19" fillId="9" borderId="14" xfId="0" applyNumberFormat="1" applyFont="1" applyFill="1" applyBorder="1" applyAlignment="1">
      <alignment vertical="center"/>
    </xf>
    <xf numFmtId="3" fontId="22" fillId="5" borderId="27" xfId="0" applyNumberFormat="1" applyFont="1" applyFill="1" applyBorder="1" applyAlignment="1">
      <alignment vertical="center"/>
    </xf>
    <xf numFmtId="3" fontId="14" fillId="10" borderId="13" xfId="0" applyNumberFormat="1" applyFont="1" applyFill="1" applyBorder="1" applyAlignment="1">
      <alignment vertical="center"/>
    </xf>
    <xf numFmtId="3" fontId="14" fillId="10" borderId="3" xfId="0" applyNumberFormat="1" applyFont="1" applyFill="1" applyBorder="1" applyAlignment="1">
      <alignment vertical="center"/>
    </xf>
    <xf numFmtId="3" fontId="19" fillId="10" borderId="14" xfId="0" applyNumberFormat="1" applyFont="1" applyFill="1" applyBorder="1" applyAlignment="1">
      <alignment vertical="center"/>
    </xf>
    <xf numFmtId="3" fontId="22" fillId="11" borderId="40" xfId="0" applyNumberFormat="1" applyFont="1" applyFill="1" applyBorder="1" applyAlignment="1">
      <alignment vertical="center"/>
    </xf>
    <xf numFmtId="3" fontId="22" fillId="12" borderId="40" xfId="0" applyNumberFormat="1" applyFont="1" applyFill="1" applyBorder="1" applyAlignment="1">
      <alignment vertical="center"/>
    </xf>
    <xf numFmtId="3" fontId="22" fillId="3" borderId="27" xfId="0" applyNumberFormat="1" applyFont="1" applyFill="1" applyBorder="1" applyAlignment="1">
      <alignment vertical="center"/>
    </xf>
    <xf numFmtId="3" fontId="14" fillId="5" borderId="42" xfId="0" applyNumberFormat="1" applyFont="1" applyFill="1" applyBorder="1" applyAlignment="1">
      <alignment vertical="center"/>
    </xf>
    <xf numFmtId="3" fontId="14" fillId="11" borderId="43" xfId="0" applyNumberFormat="1" applyFont="1" applyFill="1" applyBorder="1" applyAlignment="1">
      <alignment vertical="center"/>
    </xf>
    <xf numFmtId="3" fontId="14" fillId="12" borderId="43" xfId="0" applyNumberFormat="1" applyFont="1" applyFill="1" applyBorder="1" applyAlignment="1">
      <alignment vertical="center"/>
    </xf>
    <xf numFmtId="0" fontId="2" fillId="0" borderId="44" xfId="0" applyFont="1" applyBorder="1" applyAlignment="1">
      <alignment vertical="center" wrapText="1"/>
    </xf>
    <xf numFmtId="3" fontId="2" fillId="13" borderId="21" xfId="0" applyNumberFormat="1" applyFont="1" applyFill="1" applyBorder="1" applyAlignment="1">
      <alignment vertical="center"/>
    </xf>
    <xf numFmtId="3" fontId="2" fillId="7" borderId="22" xfId="0" applyNumberFormat="1" applyFont="1" applyFill="1" applyBorder="1" applyAlignment="1">
      <alignment vertical="center"/>
    </xf>
    <xf numFmtId="3" fontId="14" fillId="7" borderId="23" xfId="0" applyNumberFormat="1" applyFont="1" applyFill="1" applyBorder="1" applyAlignment="1">
      <alignment vertical="center"/>
    </xf>
    <xf numFmtId="3" fontId="14" fillId="8" borderId="21" xfId="0" applyNumberFormat="1" applyFont="1" applyFill="1" applyBorder="1" applyAlignment="1">
      <alignment vertical="center"/>
    </xf>
    <xf numFmtId="3" fontId="14" fillId="8" borderId="22" xfId="0" applyNumberFormat="1" applyFont="1" applyFill="1" applyBorder="1" applyAlignment="1">
      <alignment vertical="center"/>
    </xf>
    <xf numFmtId="3" fontId="2" fillId="8" borderId="23" xfId="0" applyNumberFormat="1" applyFont="1" applyFill="1" applyBorder="1" applyAlignment="1">
      <alignment vertical="center"/>
    </xf>
    <xf numFmtId="3" fontId="14" fillId="9" borderId="21" xfId="0" applyNumberFormat="1" applyFont="1" applyFill="1" applyBorder="1" applyAlignment="1">
      <alignment vertical="center"/>
    </xf>
    <xf numFmtId="3" fontId="14" fillId="9" borderId="22" xfId="0" applyNumberFormat="1" applyFont="1" applyFill="1" applyBorder="1" applyAlignment="1">
      <alignment vertical="center"/>
    </xf>
    <xf numFmtId="3" fontId="2" fillId="9" borderId="23" xfId="0" applyNumberFormat="1" applyFont="1" applyFill="1" applyBorder="1" applyAlignment="1">
      <alignment vertical="center"/>
    </xf>
    <xf numFmtId="3" fontId="14" fillId="5" borderId="45" xfId="0" applyNumberFormat="1" applyFont="1" applyFill="1" applyBorder="1" applyAlignment="1">
      <alignment vertical="center"/>
    </xf>
    <xf numFmtId="3" fontId="14" fillId="10" borderId="21" xfId="0" applyNumberFormat="1" applyFont="1" applyFill="1" applyBorder="1" applyAlignment="1">
      <alignment vertical="center"/>
    </xf>
    <xf numFmtId="3" fontId="14" fillId="10" borderId="22" xfId="0" applyNumberFormat="1" applyFont="1" applyFill="1" applyBorder="1" applyAlignment="1">
      <alignment vertical="center"/>
    </xf>
    <xf numFmtId="3" fontId="2" fillId="10" borderId="23" xfId="0" applyNumberFormat="1" applyFont="1" applyFill="1" applyBorder="1" applyAlignment="1">
      <alignment vertical="center"/>
    </xf>
    <xf numFmtId="3" fontId="14" fillId="11" borderId="44" xfId="0" applyNumberFormat="1" applyFont="1" applyFill="1" applyBorder="1" applyAlignment="1">
      <alignment vertical="center"/>
    </xf>
    <xf numFmtId="3" fontId="14" fillId="12" borderId="44" xfId="0" applyNumberFormat="1" applyFont="1" applyFill="1" applyBorder="1" applyAlignment="1">
      <alignment vertical="center"/>
    </xf>
    <xf numFmtId="3" fontId="14" fillId="3" borderId="45" xfId="0" applyNumberFormat="1" applyFont="1" applyFill="1" applyBorder="1" applyAlignment="1">
      <alignment vertical="center"/>
    </xf>
    <xf numFmtId="0" fontId="2" fillId="0" borderId="41" xfId="0" applyFont="1" applyBorder="1" applyAlignment="1">
      <alignment vertical="center" wrapText="1"/>
    </xf>
    <xf numFmtId="3" fontId="2" fillId="13" borderId="15" xfId="0" applyNumberFormat="1" applyFont="1" applyFill="1" applyBorder="1" applyAlignment="1">
      <alignment vertical="center"/>
    </xf>
    <xf numFmtId="3" fontId="2" fillId="7" borderId="16" xfId="0" applyNumberFormat="1" applyFont="1" applyFill="1" applyBorder="1" applyAlignment="1">
      <alignment vertical="center"/>
    </xf>
    <xf numFmtId="3" fontId="2" fillId="8" borderId="17" xfId="0" applyNumberFormat="1" applyFont="1" applyFill="1" applyBorder="1" applyAlignment="1">
      <alignment vertical="center"/>
    </xf>
    <xf numFmtId="3" fontId="2" fillId="9" borderId="17" xfId="0" applyNumberFormat="1" applyFont="1" applyFill="1" applyBorder="1" applyAlignment="1">
      <alignment vertical="center"/>
    </xf>
    <xf numFmtId="3" fontId="14" fillId="5" borderId="55" xfId="0" applyNumberFormat="1" applyFont="1" applyFill="1" applyBorder="1" applyAlignment="1">
      <alignment vertical="center"/>
    </xf>
    <xf numFmtId="3" fontId="2" fillId="10" borderId="17" xfId="0" applyNumberFormat="1" applyFont="1" applyFill="1" applyBorder="1" applyAlignment="1">
      <alignment vertical="center"/>
    </xf>
    <xf numFmtId="3" fontId="14" fillId="11" borderId="41" xfId="0" applyNumberFormat="1" applyFont="1" applyFill="1" applyBorder="1" applyAlignment="1">
      <alignment vertical="center"/>
    </xf>
    <xf numFmtId="3" fontId="14" fillId="12" borderId="41" xfId="0" applyNumberFormat="1" applyFont="1" applyFill="1" applyBorder="1" applyAlignment="1">
      <alignment vertical="center"/>
    </xf>
    <xf numFmtId="3" fontId="25" fillId="0" borderId="0" xfId="0" applyNumberFormat="1" applyFont="1"/>
    <xf numFmtId="0" fontId="0" fillId="0" borderId="47" xfId="0" applyFont="1" applyBorder="1" applyAlignment="1">
      <alignment vertical="center" wrapText="1"/>
    </xf>
    <xf numFmtId="3" fontId="0" fillId="13" borderId="48" xfId="0" applyNumberFormat="1" applyFont="1" applyFill="1" applyBorder="1" applyAlignment="1">
      <alignment vertical="center"/>
    </xf>
    <xf numFmtId="3" fontId="0" fillId="7" borderId="49" xfId="0" applyNumberFormat="1" applyFont="1" applyFill="1" applyBorder="1" applyAlignment="1">
      <alignment vertical="center"/>
    </xf>
    <xf numFmtId="3" fontId="0" fillId="8" borderId="50" xfId="0" applyNumberFormat="1" applyFont="1" applyFill="1" applyBorder="1" applyAlignment="1">
      <alignment vertical="center"/>
    </xf>
    <xf numFmtId="3" fontId="0" fillId="9" borderId="50" xfId="0" applyNumberFormat="1" applyFont="1" applyFill="1" applyBorder="1" applyAlignment="1">
      <alignment vertical="center"/>
    </xf>
    <xf numFmtId="3" fontId="0" fillId="10" borderId="50" xfId="0" applyNumberFormat="1" applyFont="1" applyFill="1" applyBorder="1" applyAlignment="1">
      <alignment vertical="center"/>
    </xf>
    <xf numFmtId="0" fontId="19" fillId="0" borderId="47" xfId="0" applyFont="1" applyBorder="1" applyAlignment="1">
      <alignment vertical="center" wrapText="1"/>
    </xf>
    <xf numFmtId="3" fontId="19" fillId="13" borderId="48" xfId="0" applyNumberFormat="1" applyFont="1" applyFill="1" applyBorder="1" applyAlignment="1">
      <alignment vertical="center"/>
    </xf>
    <xf numFmtId="3" fontId="19" fillId="7" borderId="49" xfId="0" applyNumberFormat="1" applyFont="1" applyFill="1" applyBorder="1" applyAlignment="1">
      <alignment vertical="center"/>
    </xf>
    <xf numFmtId="3" fontId="19" fillId="7" borderId="50" xfId="0" applyNumberFormat="1" applyFont="1" applyFill="1" applyBorder="1" applyAlignment="1">
      <alignment vertical="center"/>
    </xf>
    <xf numFmtId="3" fontId="19" fillId="8" borderId="48" xfId="0" applyNumberFormat="1" applyFont="1" applyFill="1" applyBorder="1" applyAlignment="1">
      <alignment vertical="center"/>
    </xf>
    <xf numFmtId="3" fontId="19" fillId="8" borderId="49" xfId="0" applyNumberFormat="1" applyFont="1" applyFill="1" applyBorder="1" applyAlignment="1">
      <alignment vertical="center"/>
    </xf>
    <xf numFmtId="3" fontId="19" fillId="8" borderId="50" xfId="0" applyNumberFormat="1" applyFont="1" applyFill="1" applyBorder="1" applyAlignment="1">
      <alignment vertical="center"/>
    </xf>
    <xf numFmtId="3" fontId="19" fillId="9" borderId="48" xfId="0" applyNumberFormat="1" applyFont="1" applyFill="1" applyBorder="1" applyAlignment="1">
      <alignment vertical="center"/>
    </xf>
    <xf numFmtId="3" fontId="19" fillId="9" borderId="49" xfId="0" applyNumberFormat="1" applyFont="1" applyFill="1" applyBorder="1" applyAlignment="1">
      <alignment vertical="center"/>
    </xf>
    <xf numFmtId="3" fontId="19" fillId="9" borderId="50" xfId="0" applyNumberFormat="1" applyFont="1" applyFill="1" applyBorder="1" applyAlignment="1">
      <alignment vertical="center"/>
    </xf>
    <xf numFmtId="3" fontId="19" fillId="5" borderId="34" xfId="0" applyNumberFormat="1" applyFont="1" applyFill="1" applyBorder="1" applyAlignment="1">
      <alignment vertical="center"/>
    </xf>
    <xf numFmtId="3" fontId="19" fillId="10" borderId="48" xfId="0" applyNumberFormat="1" applyFont="1" applyFill="1" applyBorder="1" applyAlignment="1">
      <alignment vertical="center"/>
    </xf>
    <xf numFmtId="3" fontId="19" fillId="10" borderId="49" xfId="0" applyNumberFormat="1" applyFont="1" applyFill="1" applyBorder="1" applyAlignment="1">
      <alignment vertical="center"/>
    </xf>
    <xf numFmtId="3" fontId="19" fillId="10" borderId="50" xfId="0" applyNumberFormat="1" applyFont="1" applyFill="1" applyBorder="1" applyAlignment="1">
      <alignment vertical="center"/>
    </xf>
    <xf numFmtId="3" fontId="19" fillId="11" borderId="47" xfId="0" applyNumberFormat="1" applyFont="1" applyFill="1" applyBorder="1" applyAlignment="1">
      <alignment vertical="center"/>
    </xf>
    <xf numFmtId="3" fontId="19" fillId="12" borderId="47" xfId="0" applyNumberFormat="1" applyFont="1" applyFill="1" applyBorder="1" applyAlignment="1">
      <alignment vertical="center"/>
    </xf>
    <xf numFmtId="3" fontId="19" fillId="3" borderId="47" xfId="0" applyNumberFormat="1" applyFont="1" applyFill="1" applyBorder="1" applyAlignment="1">
      <alignment vertical="center"/>
    </xf>
    <xf numFmtId="3" fontId="22" fillId="5" borderId="34" xfId="0" applyNumberFormat="1" applyFont="1" applyFill="1" applyBorder="1" applyAlignment="1">
      <alignment vertical="center"/>
    </xf>
    <xf numFmtId="3" fontId="22" fillId="11" borderId="47" xfId="0" applyNumberFormat="1" applyFont="1" applyFill="1" applyBorder="1" applyAlignment="1">
      <alignment vertical="center"/>
    </xf>
    <xf numFmtId="3" fontId="22" fillId="12" borderId="47" xfId="0" applyNumberFormat="1" applyFont="1" applyFill="1" applyBorder="1" applyAlignment="1">
      <alignment vertical="center"/>
    </xf>
    <xf numFmtId="3" fontId="22" fillId="3" borderId="47" xfId="0" applyNumberFormat="1" applyFont="1" applyFill="1" applyBorder="1" applyAlignment="1">
      <alignment vertical="center"/>
    </xf>
    <xf numFmtId="3" fontId="21" fillId="5" borderId="34" xfId="0" applyNumberFormat="1" applyFont="1" applyFill="1" applyBorder="1" applyAlignment="1">
      <alignment vertical="center"/>
    </xf>
    <xf numFmtId="3" fontId="21" fillId="11" borderId="47" xfId="0" applyNumberFormat="1" applyFont="1" applyFill="1" applyBorder="1" applyAlignment="1">
      <alignment vertical="center"/>
    </xf>
    <xf numFmtId="3" fontId="21" fillId="12" borderId="47" xfId="0" applyNumberFormat="1" applyFont="1" applyFill="1" applyBorder="1" applyAlignment="1">
      <alignment vertical="center"/>
    </xf>
    <xf numFmtId="3" fontId="21" fillId="3" borderId="47" xfId="0" applyNumberFormat="1" applyFont="1" applyFill="1" applyBorder="1" applyAlignment="1">
      <alignment vertical="center"/>
    </xf>
    <xf numFmtId="0" fontId="26" fillId="15" borderId="47" xfId="0" applyFont="1" applyFill="1" applyBorder="1" applyAlignment="1">
      <alignment vertical="center" wrapText="1"/>
    </xf>
    <xf numFmtId="3" fontId="26" fillId="15" borderId="48" xfId="0" applyNumberFormat="1" applyFont="1" applyFill="1" applyBorder="1" applyAlignment="1">
      <alignment vertical="center"/>
    </xf>
    <xf numFmtId="3" fontId="26" fillId="15" borderId="49" xfId="0" applyNumberFormat="1" applyFont="1" applyFill="1" applyBorder="1" applyAlignment="1">
      <alignment vertical="center"/>
    </xf>
    <xf numFmtId="3" fontId="26" fillId="15" borderId="50" xfId="0" applyNumberFormat="1" applyFont="1" applyFill="1" applyBorder="1" applyAlignment="1">
      <alignment vertical="center"/>
    </xf>
    <xf numFmtId="3" fontId="26" fillId="15" borderId="34" xfId="0" applyNumberFormat="1" applyFont="1" applyFill="1" applyBorder="1" applyAlignment="1">
      <alignment vertical="center"/>
    </xf>
    <xf numFmtId="3" fontId="26" fillId="15" borderId="47" xfId="0" applyNumberFormat="1" applyFont="1" applyFill="1" applyBorder="1" applyAlignment="1">
      <alignment vertical="center"/>
    </xf>
    <xf numFmtId="3" fontId="27" fillId="15" borderId="47" xfId="0" applyNumberFormat="1" applyFont="1" applyFill="1" applyBorder="1" applyAlignment="1">
      <alignment vertical="center"/>
    </xf>
    <xf numFmtId="3" fontId="25" fillId="0" borderId="0" xfId="0" applyNumberFormat="1" applyFont="1" applyAlignment="1">
      <alignment vertical="center"/>
    </xf>
    <xf numFmtId="0" fontId="28" fillId="0" borderId="47" xfId="0" applyFont="1" applyBorder="1" applyAlignment="1">
      <alignment vertical="center" wrapText="1"/>
    </xf>
    <xf numFmtId="3" fontId="28" fillId="13" borderId="48" xfId="0" applyNumberFormat="1" applyFont="1" applyFill="1" applyBorder="1" applyAlignment="1">
      <alignment vertical="center"/>
    </xf>
    <xf numFmtId="3" fontId="28" fillId="7" borderId="49" xfId="0" applyNumberFormat="1" applyFont="1" applyFill="1" applyBorder="1" applyAlignment="1">
      <alignment vertical="center"/>
    </xf>
    <xf numFmtId="3" fontId="28" fillId="8" borderId="50" xfId="0" applyNumberFormat="1" applyFont="1" applyFill="1" applyBorder="1" applyAlignment="1">
      <alignment vertical="center"/>
    </xf>
    <xf numFmtId="3" fontId="28" fillId="9" borderId="50" xfId="0" applyNumberFormat="1" applyFont="1" applyFill="1" applyBorder="1" applyAlignment="1">
      <alignment vertical="center"/>
    </xf>
    <xf numFmtId="3" fontId="29" fillId="5" borderId="34" xfId="0" applyNumberFormat="1" applyFont="1" applyFill="1" applyBorder="1" applyAlignment="1">
      <alignment vertical="center"/>
    </xf>
    <xf numFmtId="3" fontId="28" fillId="10" borderId="50" xfId="0" applyNumberFormat="1" applyFont="1" applyFill="1" applyBorder="1" applyAlignment="1">
      <alignment vertical="center"/>
    </xf>
    <xf numFmtId="3" fontId="29" fillId="11" borderId="47" xfId="0" applyNumberFormat="1" applyFont="1" applyFill="1" applyBorder="1" applyAlignment="1">
      <alignment vertical="center"/>
    </xf>
    <xf numFmtId="3" fontId="29" fillId="12" borderId="47" xfId="0" applyNumberFormat="1" applyFont="1" applyFill="1" applyBorder="1" applyAlignment="1">
      <alignment vertical="center"/>
    </xf>
    <xf numFmtId="3" fontId="29" fillId="3" borderId="47" xfId="0" applyNumberFormat="1" applyFont="1" applyFill="1" applyBorder="1" applyAlignment="1">
      <alignment vertical="center"/>
    </xf>
    <xf numFmtId="3" fontId="16" fillId="5" borderId="34" xfId="0" applyNumberFormat="1" applyFont="1" applyFill="1" applyBorder="1" applyAlignment="1">
      <alignment vertical="center"/>
    </xf>
    <xf numFmtId="3" fontId="16" fillId="11" borderId="47" xfId="0" applyNumberFormat="1" applyFont="1" applyFill="1" applyBorder="1" applyAlignment="1">
      <alignment vertical="center"/>
    </xf>
    <xf numFmtId="3" fontId="16" fillId="12" borderId="47" xfId="0" applyNumberFormat="1" applyFont="1" applyFill="1" applyBorder="1" applyAlignment="1">
      <alignment vertical="center"/>
    </xf>
    <xf numFmtId="3" fontId="16" fillId="3" borderId="47" xfId="0" applyNumberFormat="1" applyFont="1" applyFill="1" applyBorder="1" applyAlignment="1">
      <alignment vertical="center"/>
    </xf>
    <xf numFmtId="0" fontId="0" fillId="0" borderId="47" xfId="0" applyBorder="1" applyAlignment="1">
      <alignment vertical="center" wrapText="1"/>
    </xf>
    <xf numFmtId="3" fontId="0" fillId="13" borderId="48" xfId="0" applyNumberFormat="1" applyFill="1" applyBorder="1" applyAlignment="1">
      <alignment vertical="center"/>
    </xf>
    <xf numFmtId="3" fontId="0" fillId="7" borderId="49" xfId="0" applyNumberFormat="1" applyFill="1" applyBorder="1" applyAlignment="1">
      <alignment vertical="center"/>
    </xf>
    <xf numFmtId="3" fontId="0" fillId="8" borderId="50" xfId="0" applyNumberFormat="1" applyFill="1" applyBorder="1" applyAlignment="1">
      <alignment vertical="center"/>
    </xf>
    <xf numFmtId="3" fontId="0" fillId="9" borderId="50" xfId="0" applyNumberFormat="1" applyFill="1" applyBorder="1" applyAlignment="1">
      <alignment vertical="center"/>
    </xf>
    <xf numFmtId="3" fontId="0" fillId="10" borderId="50" xfId="0" applyNumberFormat="1" applyFill="1" applyBorder="1" applyAlignment="1">
      <alignment vertical="center"/>
    </xf>
    <xf numFmtId="0" fontId="30" fillId="0" borderId="41" xfId="0" applyFont="1" applyBorder="1" applyAlignment="1">
      <alignment vertical="center" wrapText="1"/>
    </xf>
    <xf numFmtId="3" fontId="30" fillId="13" borderId="15" xfId="0" applyNumberFormat="1" applyFont="1" applyFill="1" applyBorder="1" applyAlignment="1">
      <alignment vertical="center"/>
    </xf>
    <xf numFmtId="3" fontId="30" fillId="7" borderId="16" xfId="0" applyNumberFormat="1" applyFont="1" applyFill="1" applyBorder="1" applyAlignment="1">
      <alignment vertical="center"/>
    </xf>
    <xf numFmtId="3" fontId="30" fillId="7" borderId="17" xfId="0" applyNumberFormat="1" applyFont="1" applyFill="1" applyBorder="1" applyAlignment="1">
      <alignment vertical="center"/>
    </xf>
    <xf numFmtId="3" fontId="30" fillId="8" borderId="15" xfId="0" applyNumberFormat="1" applyFont="1" applyFill="1" applyBorder="1" applyAlignment="1">
      <alignment vertical="center"/>
    </xf>
    <xf numFmtId="3" fontId="30" fillId="8" borderId="16" xfId="0" applyNumberFormat="1" applyFont="1" applyFill="1" applyBorder="1" applyAlignment="1">
      <alignment vertical="center"/>
    </xf>
    <xf numFmtId="3" fontId="30" fillId="8" borderId="17" xfId="0" applyNumberFormat="1" applyFont="1" applyFill="1" applyBorder="1" applyAlignment="1">
      <alignment vertical="center"/>
    </xf>
    <xf numFmtId="3" fontId="30" fillId="9" borderId="15" xfId="0" applyNumberFormat="1" applyFont="1" applyFill="1" applyBorder="1" applyAlignment="1">
      <alignment vertical="center"/>
    </xf>
    <xf numFmtId="3" fontId="30" fillId="9" borderId="16" xfId="0" applyNumberFormat="1" applyFont="1" applyFill="1" applyBorder="1" applyAlignment="1">
      <alignment vertical="center"/>
    </xf>
    <xf numFmtId="3" fontId="30" fillId="9" borderId="17" xfId="0" applyNumberFormat="1" applyFont="1" applyFill="1" applyBorder="1" applyAlignment="1">
      <alignment vertical="center"/>
    </xf>
    <xf numFmtId="3" fontId="30" fillId="5" borderId="55" xfId="0" applyNumberFormat="1" applyFont="1" applyFill="1" applyBorder="1" applyAlignment="1">
      <alignment vertical="center"/>
    </xf>
    <xf numFmtId="3" fontId="30" fillId="10" borderId="15" xfId="0" applyNumberFormat="1" applyFont="1" applyFill="1" applyBorder="1" applyAlignment="1">
      <alignment vertical="center"/>
    </xf>
    <xf numFmtId="3" fontId="30" fillId="10" borderId="16" xfId="0" applyNumberFormat="1" applyFont="1" applyFill="1" applyBorder="1" applyAlignment="1">
      <alignment vertical="center"/>
    </xf>
    <xf numFmtId="3" fontId="30" fillId="10" borderId="17" xfId="0" applyNumberFormat="1" applyFont="1" applyFill="1" applyBorder="1" applyAlignment="1">
      <alignment vertical="center"/>
    </xf>
    <xf numFmtId="3" fontId="30" fillId="11" borderId="41" xfId="0" applyNumberFormat="1" applyFont="1" applyFill="1" applyBorder="1" applyAlignment="1">
      <alignment vertical="center"/>
    </xf>
    <xf numFmtId="3" fontId="30" fillId="12" borderId="41" xfId="0" applyNumberFormat="1" applyFont="1" applyFill="1" applyBorder="1" applyAlignment="1">
      <alignment vertical="center"/>
    </xf>
    <xf numFmtId="3" fontId="30" fillId="3" borderId="55" xfId="0" applyNumberFormat="1" applyFont="1" applyFill="1" applyBorder="1" applyAlignment="1">
      <alignment vertical="center"/>
    </xf>
    <xf numFmtId="0" fontId="30" fillId="0" borderId="43" xfId="0" applyFont="1" applyBorder="1" applyAlignment="1">
      <alignment vertical="center" wrapText="1"/>
    </xf>
    <xf numFmtId="3" fontId="30" fillId="13" borderId="18" xfId="0" applyNumberFormat="1" applyFont="1" applyFill="1" applyBorder="1" applyAlignment="1">
      <alignment vertical="center"/>
    </xf>
    <xf numFmtId="3" fontId="30" fillId="7" borderId="19" xfId="0" applyNumberFormat="1" applyFont="1" applyFill="1" applyBorder="1" applyAlignment="1">
      <alignment vertical="center"/>
    </xf>
    <xf numFmtId="3" fontId="30" fillId="7" borderId="20" xfId="0" applyNumberFormat="1" applyFont="1" applyFill="1" applyBorder="1" applyAlignment="1">
      <alignment vertical="center"/>
    </xf>
    <xf numFmtId="3" fontId="30" fillId="8" borderId="18" xfId="0" applyNumberFormat="1" applyFont="1" applyFill="1" applyBorder="1" applyAlignment="1">
      <alignment vertical="center"/>
    </xf>
    <xf numFmtId="3" fontId="30" fillId="8" borderId="19" xfId="0" applyNumberFormat="1" applyFont="1" applyFill="1" applyBorder="1" applyAlignment="1">
      <alignment vertical="center"/>
    </xf>
    <xf numFmtId="3" fontId="30" fillId="8" borderId="20" xfId="0" applyNumberFormat="1" applyFont="1" applyFill="1" applyBorder="1" applyAlignment="1">
      <alignment vertical="center"/>
    </xf>
    <xf numFmtId="3" fontId="30" fillId="9" borderId="18" xfId="0" applyNumberFormat="1" applyFont="1" applyFill="1" applyBorder="1" applyAlignment="1">
      <alignment vertical="center"/>
    </xf>
    <xf numFmtId="3" fontId="30" fillId="9" borderId="19" xfId="0" applyNumberFormat="1" applyFont="1" applyFill="1" applyBorder="1" applyAlignment="1">
      <alignment vertical="center"/>
    </xf>
    <xf numFmtId="3" fontId="30" fillId="9" borderId="20" xfId="0" applyNumberFormat="1" applyFont="1" applyFill="1" applyBorder="1" applyAlignment="1">
      <alignment vertical="center"/>
    </xf>
    <xf numFmtId="3" fontId="30" fillId="5" borderId="42" xfId="0" applyNumberFormat="1" applyFont="1" applyFill="1" applyBorder="1" applyAlignment="1">
      <alignment vertical="center"/>
    </xf>
    <xf numFmtId="3" fontId="30" fillId="10" borderId="18" xfId="0" applyNumberFormat="1" applyFont="1" applyFill="1" applyBorder="1" applyAlignment="1">
      <alignment vertical="center"/>
    </xf>
    <xf numFmtId="3" fontId="30" fillId="10" borderId="19" xfId="0" applyNumberFormat="1" applyFont="1" applyFill="1" applyBorder="1" applyAlignment="1">
      <alignment vertical="center"/>
    </xf>
    <xf numFmtId="3" fontId="30" fillId="10" borderId="20" xfId="0" applyNumberFormat="1" applyFont="1" applyFill="1" applyBorder="1" applyAlignment="1">
      <alignment vertical="center"/>
    </xf>
    <xf numFmtId="3" fontId="30" fillId="11" borderId="43" xfId="0" applyNumberFormat="1" applyFont="1" applyFill="1" applyBorder="1" applyAlignment="1">
      <alignment vertical="center"/>
    </xf>
    <xf numFmtId="3" fontId="30" fillId="12" borderId="43" xfId="0" applyNumberFormat="1" applyFont="1" applyFill="1" applyBorder="1" applyAlignment="1">
      <alignment vertical="center"/>
    </xf>
    <xf numFmtId="3" fontId="30" fillId="3" borderId="42" xfId="0" applyNumberFormat="1" applyFont="1" applyFill="1" applyBorder="1" applyAlignment="1">
      <alignment vertical="center"/>
    </xf>
    <xf numFmtId="3" fontId="2" fillId="7" borderId="23" xfId="0" applyNumberFormat="1" applyFont="1" applyFill="1" applyBorder="1" applyAlignment="1">
      <alignment vertical="center"/>
    </xf>
    <xf numFmtId="3" fontId="2" fillId="8" borderId="21" xfId="0" applyNumberFormat="1" applyFont="1" applyFill="1" applyBorder="1" applyAlignment="1">
      <alignment vertical="center"/>
    </xf>
    <xf numFmtId="3" fontId="2" fillId="8" borderId="22" xfId="0" applyNumberFormat="1" applyFont="1" applyFill="1" applyBorder="1" applyAlignment="1">
      <alignment vertical="center"/>
    </xf>
    <xf numFmtId="3" fontId="2" fillId="9" borderId="21" xfId="0" applyNumberFormat="1" applyFont="1" applyFill="1" applyBorder="1" applyAlignment="1">
      <alignment vertical="center"/>
    </xf>
    <xf numFmtId="3" fontId="2" fillId="9" borderId="22" xfId="0" applyNumberFormat="1" applyFont="1" applyFill="1" applyBorder="1" applyAlignment="1">
      <alignment vertical="center"/>
    </xf>
    <xf numFmtId="3" fontId="2" fillId="5" borderId="45" xfId="0" applyNumberFormat="1" applyFont="1" applyFill="1" applyBorder="1" applyAlignment="1">
      <alignment vertical="center"/>
    </xf>
    <xf numFmtId="3" fontId="2" fillId="10" borderId="21" xfId="0" applyNumberFormat="1" applyFont="1" applyFill="1" applyBorder="1" applyAlignment="1">
      <alignment vertical="center"/>
    </xf>
    <xf numFmtId="3" fontId="2" fillId="10" borderId="22" xfId="0" applyNumberFormat="1" applyFont="1" applyFill="1" applyBorder="1" applyAlignment="1">
      <alignment vertical="center"/>
    </xf>
    <xf numFmtId="3" fontId="2" fillId="11" borderId="44" xfId="0" applyNumberFormat="1" applyFont="1" applyFill="1" applyBorder="1" applyAlignment="1">
      <alignment vertical="center"/>
    </xf>
    <xf numFmtId="3" fontId="2" fillId="12" borderId="44" xfId="0" applyNumberFormat="1" applyFont="1" applyFill="1" applyBorder="1" applyAlignment="1">
      <alignment vertical="center"/>
    </xf>
    <xf numFmtId="3" fontId="2" fillId="3" borderId="45" xfId="0" applyNumberFormat="1" applyFont="1" applyFill="1" applyBorder="1" applyAlignment="1">
      <alignment vertical="center"/>
    </xf>
    <xf numFmtId="0" fontId="2" fillId="0" borderId="36" xfId="0" applyFont="1" applyBorder="1" applyAlignment="1">
      <alignment vertical="center" wrapText="1"/>
    </xf>
    <xf numFmtId="3" fontId="2" fillId="13" borderId="51" xfId="0" applyNumberFormat="1" applyFont="1" applyFill="1" applyBorder="1" applyAlignment="1">
      <alignment vertical="center"/>
    </xf>
    <xf numFmtId="3" fontId="2" fillId="7" borderId="52" xfId="0" applyNumberFormat="1" applyFont="1" applyFill="1" applyBorder="1" applyAlignment="1">
      <alignment vertical="center"/>
    </xf>
    <xf numFmtId="3" fontId="14" fillId="7" borderId="58" xfId="0" applyNumberFormat="1" applyFont="1" applyFill="1" applyBorder="1" applyAlignment="1">
      <alignment vertical="center"/>
    </xf>
    <xf numFmtId="3" fontId="14" fillId="8" borderId="51" xfId="0" applyNumberFormat="1" applyFont="1" applyFill="1" applyBorder="1" applyAlignment="1">
      <alignment vertical="center"/>
    </xf>
    <xf numFmtId="3" fontId="14" fillId="8" borderId="52" xfId="0" applyNumberFormat="1" applyFont="1" applyFill="1" applyBorder="1" applyAlignment="1">
      <alignment vertical="center"/>
    </xf>
    <xf numFmtId="3" fontId="2" fillId="8" borderId="58" xfId="0" applyNumberFormat="1" applyFont="1" applyFill="1" applyBorder="1" applyAlignment="1">
      <alignment vertical="center"/>
    </xf>
    <xf numFmtId="3" fontId="14" fillId="9" borderId="51" xfId="0" applyNumberFormat="1" applyFont="1" applyFill="1" applyBorder="1" applyAlignment="1">
      <alignment vertical="center"/>
    </xf>
    <xf numFmtId="3" fontId="14" fillId="9" borderId="52" xfId="0" applyNumberFormat="1" applyFont="1" applyFill="1" applyBorder="1" applyAlignment="1">
      <alignment vertical="center"/>
    </xf>
    <xf numFmtId="3" fontId="2" fillId="9" borderId="58" xfId="0" applyNumberFormat="1" applyFont="1" applyFill="1" applyBorder="1" applyAlignment="1">
      <alignment vertical="center"/>
    </xf>
    <xf numFmtId="3" fontId="14" fillId="5" borderId="31" xfId="0" applyNumberFormat="1" applyFont="1" applyFill="1" applyBorder="1" applyAlignment="1">
      <alignment vertical="center"/>
    </xf>
    <xf numFmtId="3" fontId="14" fillId="10" borderId="51" xfId="0" applyNumberFormat="1" applyFont="1" applyFill="1" applyBorder="1" applyAlignment="1">
      <alignment vertical="center"/>
    </xf>
    <xf numFmtId="3" fontId="14" fillId="10" borderId="52" xfId="0" applyNumberFormat="1" applyFont="1" applyFill="1" applyBorder="1" applyAlignment="1">
      <alignment vertical="center"/>
    </xf>
    <xf numFmtId="3" fontId="2" fillId="10" borderId="58" xfId="0" applyNumberFormat="1" applyFont="1" applyFill="1" applyBorder="1" applyAlignment="1">
      <alignment vertical="center"/>
    </xf>
    <xf numFmtId="3" fontId="14" fillId="11" borderId="36" xfId="0" applyNumberFormat="1" applyFont="1" applyFill="1" applyBorder="1" applyAlignment="1">
      <alignment vertical="center"/>
    </xf>
    <xf numFmtId="3" fontId="14" fillId="12" borderId="36" xfId="0" applyNumberFormat="1" applyFont="1" applyFill="1" applyBorder="1" applyAlignment="1">
      <alignment vertical="center"/>
    </xf>
    <xf numFmtId="3" fontId="14" fillId="3" borderId="31" xfId="0" applyNumberFormat="1" applyFont="1" applyFill="1" applyBorder="1" applyAlignment="1">
      <alignment vertical="center"/>
    </xf>
    <xf numFmtId="3" fontId="0" fillId="8" borderId="17" xfId="0" applyNumberFormat="1" applyFill="1" applyBorder="1" applyAlignment="1">
      <alignment vertical="center"/>
    </xf>
    <xf numFmtId="3" fontId="0" fillId="9" borderId="17" xfId="0" applyNumberFormat="1" applyFill="1" applyBorder="1" applyAlignment="1">
      <alignment vertical="center"/>
    </xf>
    <xf numFmtId="3" fontId="0" fillId="10" borderId="17" xfId="0" applyNumberFormat="1" applyFill="1" applyBorder="1" applyAlignment="1">
      <alignment vertical="center"/>
    </xf>
    <xf numFmtId="3" fontId="0" fillId="8" borderId="20" xfId="0" applyNumberFormat="1" applyFill="1" applyBorder="1" applyAlignment="1">
      <alignment vertical="center"/>
    </xf>
    <xf numFmtId="3" fontId="0" fillId="9" borderId="20" xfId="0" applyNumberFormat="1" applyFill="1" applyBorder="1" applyAlignment="1">
      <alignment vertical="center"/>
    </xf>
    <xf numFmtId="3" fontId="0" fillId="10" borderId="20" xfId="0" applyNumberFormat="1" applyFill="1" applyBorder="1" applyAlignment="1">
      <alignment vertical="center"/>
    </xf>
    <xf numFmtId="3" fontId="26" fillId="15" borderId="53" xfId="0" applyNumberFormat="1" applyFont="1" applyFill="1" applyBorder="1" applyAlignment="1">
      <alignment vertical="center"/>
    </xf>
    <xf numFmtId="3" fontId="0" fillId="0" borderId="0" xfId="0" applyNumberFormat="1"/>
    <xf numFmtId="0" fontId="0" fillId="3" borderId="0" xfId="0" applyFill="1"/>
    <xf numFmtId="3" fontId="31" fillId="0" borderId="0" xfId="0" applyNumberFormat="1" applyFont="1"/>
    <xf numFmtId="3" fontId="28" fillId="0" borderId="0" xfId="0" applyNumberFormat="1" applyFont="1"/>
    <xf numFmtId="0" fontId="0" fillId="0" borderId="0" xfId="0" applyAlignment="1">
      <alignment horizontal="left"/>
    </xf>
    <xf numFmtId="3" fontId="19" fillId="0" borderId="0" xfId="0" applyNumberFormat="1" applyFont="1"/>
    <xf numFmtId="3" fontId="2" fillId="0" borderId="0" xfId="0" applyNumberFormat="1" applyFont="1"/>
    <xf numFmtId="3" fontId="32" fillId="0" borderId="0" xfId="0" applyNumberFormat="1" applyFont="1"/>
    <xf numFmtId="3" fontId="14" fillId="7" borderId="24" xfId="0" applyNumberFormat="1" applyFont="1" applyFill="1" applyBorder="1" applyAlignment="1">
      <alignment horizontal="center" vertical="center" wrapText="1"/>
    </xf>
    <xf numFmtId="3" fontId="14" fillId="13" borderId="9" xfId="0" applyNumberFormat="1" applyFont="1" applyFill="1" applyBorder="1" applyAlignment="1">
      <alignment horizontal="center" vertical="center" wrapText="1"/>
    </xf>
    <xf numFmtId="3" fontId="14" fillId="2" borderId="9" xfId="0" applyNumberFormat="1" applyFont="1" applyFill="1" applyBorder="1" applyAlignment="1">
      <alignment horizontal="center" vertical="center" wrapText="1"/>
    </xf>
    <xf numFmtId="3" fontId="14" fillId="16" borderId="9" xfId="0" applyNumberFormat="1" applyFont="1" applyFill="1" applyBorder="1" applyAlignment="1">
      <alignment horizontal="center" vertical="center" wrapText="1"/>
    </xf>
    <xf numFmtId="3" fontId="14" fillId="17" borderId="25" xfId="0" applyNumberFormat="1" applyFont="1" applyFill="1" applyBorder="1" applyAlignment="1">
      <alignment horizontal="center" vertical="center" wrapText="1"/>
    </xf>
    <xf numFmtId="3" fontId="14" fillId="10" borderId="60" xfId="0" applyNumberFormat="1" applyFont="1" applyFill="1" applyBorder="1" applyAlignment="1">
      <alignment horizontal="center" vertical="center" wrapText="1"/>
    </xf>
    <xf numFmtId="3" fontId="0" fillId="7" borderId="15" xfId="0" applyNumberFormat="1" applyFill="1" applyBorder="1" applyAlignment="1">
      <alignment vertical="center"/>
    </xf>
    <xf numFmtId="3" fontId="0" fillId="18" borderId="16" xfId="0" applyNumberFormat="1" applyFill="1" applyBorder="1" applyAlignment="1">
      <alignment vertical="center"/>
    </xf>
    <xf numFmtId="3" fontId="0" fillId="2" borderId="16" xfId="0" applyNumberFormat="1" applyFill="1" applyBorder="1" applyAlignment="1">
      <alignment vertical="center"/>
    </xf>
    <xf numFmtId="3" fontId="0" fillId="16" borderId="16" xfId="0" applyNumberFormat="1" applyFill="1" applyBorder="1" applyAlignment="1">
      <alignment vertical="center"/>
    </xf>
    <xf numFmtId="3" fontId="16" fillId="17" borderId="14" xfId="0" applyNumberFormat="1" applyFont="1" applyFill="1" applyBorder="1" applyAlignment="1">
      <alignment vertical="center"/>
    </xf>
    <xf numFmtId="3" fontId="16" fillId="5" borderId="40" xfId="0" applyNumberFormat="1" applyFont="1" applyFill="1" applyBorder="1" applyAlignment="1">
      <alignment vertical="center"/>
    </xf>
    <xf numFmtId="3" fontId="16" fillId="10" borderId="5" xfId="0" applyNumberFormat="1" applyFont="1" applyFill="1" applyBorder="1" applyAlignment="1">
      <alignment vertical="center"/>
    </xf>
    <xf numFmtId="3" fontId="16" fillId="9" borderId="40" xfId="0" applyNumberFormat="1" applyFont="1" applyFill="1" applyBorder="1" applyAlignment="1">
      <alignment vertical="center"/>
    </xf>
    <xf numFmtId="3" fontId="16" fillId="9" borderId="41" xfId="0" applyNumberFormat="1" applyFont="1" applyFill="1" applyBorder="1" applyAlignment="1">
      <alignment vertical="center"/>
    </xf>
    <xf numFmtId="3" fontId="16" fillId="17" borderId="20" xfId="0" applyNumberFormat="1" applyFont="1" applyFill="1" applyBorder="1" applyAlignment="1">
      <alignment vertical="center"/>
    </xf>
    <xf numFmtId="3" fontId="16" fillId="5" borderId="43" xfId="0" applyNumberFormat="1" applyFont="1" applyFill="1" applyBorder="1" applyAlignment="1">
      <alignment vertical="center"/>
    </xf>
    <xf numFmtId="3" fontId="16" fillId="10" borderId="61" xfId="0" applyNumberFormat="1" applyFont="1" applyFill="1" applyBorder="1" applyAlignment="1">
      <alignment vertical="center"/>
    </xf>
    <xf numFmtId="3" fontId="16" fillId="9" borderId="43" xfId="0" applyNumberFormat="1" applyFont="1" applyFill="1" applyBorder="1" applyAlignment="1">
      <alignment vertical="center"/>
    </xf>
    <xf numFmtId="3" fontId="0" fillId="7" borderId="18" xfId="0" applyNumberFormat="1" applyFill="1" applyBorder="1" applyAlignment="1">
      <alignment vertical="center"/>
    </xf>
    <xf numFmtId="3" fontId="0" fillId="18" borderId="19" xfId="0" applyNumberFormat="1" applyFill="1" applyBorder="1" applyAlignment="1">
      <alignment vertical="center"/>
    </xf>
    <xf numFmtId="3" fontId="0" fillId="2" borderId="19" xfId="0" applyNumberFormat="1" applyFill="1" applyBorder="1" applyAlignment="1">
      <alignment vertical="center"/>
    </xf>
    <xf numFmtId="3" fontId="0" fillId="16" borderId="19" xfId="0" applyNumberFormat="1" applyFill="1" applyBorder="1" applyAlignment="1">
      <alignment vertical="center"/>
    </xf>
    <xf numFmtId="3" fontId="16" fillId="10" borderId="62" xfId="0" applyNumberFormat="1" applyFont="1" applyFill="1" applyBorder="1" applyAlignment="1">
      <alignment vertical="center"/>
    </xf>
    <xf numFmtId="3" fontId="0" fillId="7" borderId="21" xfId="0" applyNumberFormat="1" applyFill="1" applyBorder="1" applyAlignment="1">
      <alignment vertical="center"/>
    </xf>
    <xf numFmtId="3" fontId="0" fillId="18" borderId="22" xfId="0" applyNumberFormat="1" applyFill="1" applyBorder="1" applyAlignment="1">
      <alignment vertical="center"/>
    </xf>
    <xf numFmtId="3" fontId="0" fillId="2" borderId="22" xfId="0" applyNumberFormat="1" applyFill="1" applyBorder="1" applyAlignment="1">
      <alignment vertical="center"/>
    </xf>
    <xf numFmtId="3" fontId="0" fillId="16" borderId="22" xfId="0" applyNumberFormat="1" applyFill="1" applyBorder="1" applyAlignment="1">
      <alignment vertical="center"/>
    </xf>
    <xf numFmtId="3" fontId="16" fillId="17" borderId="25" xfId="0" applyNumberFormat="1" applyFont="1" applyFill="1" applyBorder="1" applyAlignment="1">
      <alignment vertical="center"/>
    </xf>
    <xf numFmtId="3" fontId="16" fillId="5" borderId="44" xfId="0" applyNumberFormat="1" applyFont="1" applyFill="1" applyBorder="1" applyAlignment="1">
      <alignment vertical="center"/>
    </xf>
    <xf numFmtId="3" fontId="16" fillId="10" borderId="63" xfId="0" applyNumberFormat="1" applyFont="1" applyFill="1" applyBorder="1" applyAlignment="1">
      <alignment vertical="center"/>
    </xf>
    <xf numFmtId="3" fontId="16" fillId="9" borderId="44" xfId="0" applyNumberFormat="1" applyFont="1" applyFill="1" applyBorder="1" applyAlignment="1">
      <alignment vertical="center"/>
    </xf>
    <xf numFmtId="3" fontId="14" fillId="7" borderId="48" xfId="0" applyNumberFormat="1" applyFont="1" applyFill="1" applyBorder="1" applyAlignment="1">
      <alignment vertical="center"/>
    </xf>
    <xf numFmtId="3" fontId="14" fillId="18" borderId="49" xfId="0" applyNumberFormat="1" applyFont="1" applyFill="1" applyBorder="1" applyAlignment="1">
      <alignment vertical="center"/>
    </xf>
    <xf numFmtId="3" fontId="14" fillId="2" borderId="49" xfId="0" applyNumberFormat="1" applyFont="1" applyFill="1" applyBorder="1" applyAlignment="1">
      <alignment vertical="center"/>
    </xf>
    <xf numFmtId="3" fontId="14" fillId="16" borderId="49" xfId="0" applyNumberFormat="1" applyFont="1" applyFill="1" applyBorder="1" applyAlignment="1">
      <alignment vertical="center"/>
    </xf>
    <xf numFmtId="3" fontId="14" fillId="17" borderId="50" xfId="0" applyNumberFormat="1" applyFont="1" applyFill="1" applyBorder="1" applyAlignment="1">
      <alignment vertical="center"/>
    </xf>
    <xf numFmtId="3" fontId="14" fillId="5" borderId="47" xfId="0" applyNumberFormat="1" applyFont="1" applyFill="1" applyBorder="1" applyAlignment="1">
      <alignment vertical="center"/>
    </xf>
    <xf numFmtId="3" fontId="14" fillId="10" borderId="64" xfId="0" applyNumberFormat="1" applyFont="1" applyFill="1" applyBorder="1" applyAlignment="1">
      <alignment vertical="center"/>
    </xf>
    <xf numFmtId="3" fontId="14" fillId="9" borderId="47" xfId="0" applyNumberFormat="1" applyFont="1" applyFill="1" applyBorder="1" applyAlignment="1">
      <alignment vertical="center"/>
    </xf>
    <xf numFmtId="3" fontId="16" fillId="7" borderId="21" xfId="0" applyNumberFormat="1" applyFont="1" applyFill="1" applyBorder="1" applyAlignment="1">
      <alignment vertical="center"/>
    </xf>
    <xf numFmtId="3" fontId="16" fillId="18" borderId="22" xfId="0" applyNumberFormat="1" applyFont="1" applyFill="1" applyBorder="1" applyAlignment="1">
      <alignment vertical="center"/>
    </xf>
    <xf numFmtId="3" fontId="14" fillId="2" borderId="22" xfId="0" applyNumberFormat="1" applyFont="1" applyFill="1" applyBorder="1" applyAlignment="1">
      <alignment vertical="center"/>
    </xf>
    <xf numFmtId="3" fontId="16" fillId="16" borderId="22" xfId="0" applyNumberFormat="1" applyFont="1" applyFill="1" applyBorder="1" applyAlignment="1">
      <alignment vertical="center"/>
    </xf>
    <xf numFmtId="3" fontId="16" fillId="9" borderId="36" xfId="0" applyNumberFormat="1" applyFont="1" applyFill="1" applyBorder="1" applyAlignment="1">
      <alignment vertical="center"/>
    </xf>
    <xf numFmtId="3" fontId="14" fillId="7" borderId="21" xfId="0" applyNumberFormat="1" applyFont="1" applyFill="1" applyBorder="1" applyAlignment="1">
      <alignment vertical="center"/>
    </xf>
    <xf numFmtId="3" fontId="14" fillId="18" borderId="22" xfId="0" applyNumberFormat="1" applyFont="1" applyFill="1" applyBorder="1" applyAlignment="1">
      <alignment vertical="center"/>
    </xf>
    <xf numFmtId="3" fontId="14" fillId="16" borderId="22" xfId="0" applyNumberFormat="1" applyFont="1" applyFill="1" applyBorder="1" applyAlignment="1">
      <alignment vertical="center"/>
    </xf>
    <xf numFmtId="3" fontId="17" fillId="7" borderId="48" xfId="0" applyNumberFormat="1" applyFont="1" applyFill="1" applyBorder="1" applyAlignment="1">
      <alignment vertical="center"/>
    </xf>
    <xf numFmtId="3" fontId="17" fillId="18" borderId="49" xfId="0" applyNumberFormat="1" applyFont="1" applyFill="1" applyBorder="1" applyAlignment="1">
      <alignment vertical="center"/>
    </xf>
    <xf numFmtId="3" fontId="17" fillId="2" borderId="49" xfId="0" applyNumberFormat="1" applyFont="1" applyFill="1" applyBorder="1" applyAlignment="1">
      <alignment vertical="center"/>
    </xf>
    <xf numFmtId="3" fontId="17" fillId="16" borderId="49" xfId="0" applyNumberFormat="1" applyFont="1" applyFill="1" applyBorder="1" applyAlignment="1">
      <alignment vertical="center"/>
    </xf>
    <xf numFmtId="3" fontId="17" fillId="17" borderId="50" xfId="0" applyNumberFormat="1" applyFont="1" applyFill="1" applyBorder="1" applyAlignment="1">
      <alignment vertical="center"/>
    </xf>
    <xf numFmtId="3" fontId="17" fillId="5" borderId="50" xfId="0" applyNumberFormat="1" applyFont="1" applyFill="1" applyBorder="1" applyAlignment="1">
      <alignment vertical="center"/>
    </xf>
    <xf numFmtId="3" fontId="17" fillId="10" borderId="64" xfId="0" applyNumberFormat="1" applyFont="1" applyFill="1" applyBorder="1" applyAlignment="1">
      <alignment vertical="center"/>
    </xf>
    <xf numFmtId="3" fontId="17" fillId="9" borderId="50" xfId="0" applyNumberFormat="1" applyFont="1" applyFill="1" applyBorder="1" applyAlignment="1">
      <alignment vertical="center"/>
    </xf>
    <xf numFmtId="3" fontId="33" fillId="3" borderId="40" xfId="0" applyNumberFormat="1" applyFont="1" applyFill="1" applyBorder="1" applyAlignment="1">
      <alignment vertical="center"/>
    </xf>
    <xf numFmtId="3" fontId="0" fillId="7" borderId="13" xfId="0" applyNumberFormat="1" applyFill="1" applyBorder="1" applyAlignment="1">
      <alignment vertical="center"/>
    </xf>
    <xf numFmtId="3" fontId="0" fillId="18" borderId="3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16" borderId="3" xfId="0" applyNumberFormat="1" applyFill="1" applyBorder="1" applyAlignment="1">
      <alignment vertical="center"/>
    </xf>
    <xf numFmtId="3" fontId="0" fillId="18" borderId="9" xfId="0" applyNumberFormat="1" applyFill="1" applyBorder="1" applyAlignment="1">
      <alignment vertical="center"/>
    </xf>
    <xf numFmtId="3" fontId="0" fillId="2" borderId="9" xfId="0" applyNumberFormat="1" applyFill="1" applyBorder="1" applyAlignment="1">
      <alignment vertical="center"/>
    </xf>
    <xf numFmtId="3" fontId="0" fillId="16" borderId="9" xfId="0" applyNumberFormat="1" applyFill="1" applyBorder="1" applyAlignment="1">
      <alignment vertical="center"/>
    </xf>
    <xf numFmtId="3" fontId="17" fillId="5" borderId="47" xfId="0" applyNumberFormat="1" applyFont="1" applyFill="1" applyBorder="1" applyAlignment="1">
      <alignment vertical="center"/>
    </xf>
    <xf numFmtId="3" fontId="18" fillId="10" borderId="7" xfId="0" applyNumberFormat="1" applyFont="1" applyFill="1" applyBorder="1" applyAlignment="1">
      <alignment vertical="center"/>
    </xf>
    <xf numFmtId="3" fontId="17" fillId="9" borderId="47" xfId="0" applyNumberFormat="1" applyFont="1" applyFill="1" applyBorder="1" applyAlignment="1">
      <alignment vertical="center"/>
    </xf>
    <xf numFmtId="3" fontId="0" fillId="13" borderId="3" xfId="0" applyNumberFormat="1" applyFill="1" applyBorder="1" applyAlignment="1">
      <alignment vertical="center"/>
    </xf>
    <xf numFmtId="3" fontId="0" fillId="13" borderId="19" xfId="0" applyNumberFormat="1" applyFill="1" applyBorder="1" applyAlignment="1">
      <alignment vertical="center"/>
    </xf>
    <xf numFmtId="3" fontId="19" fillId="7" borderId="18" xfId="0" applyNumberFormat="1" applyFont="1" applyFill="1" applyBorder="1" applyAlignment="1">
      <alignment vertical="center"/>
    </xf>
    <xf numFmtId="3" fontId="19" fillId="13" borderId="19" xfId="0" applyNumberFormat="1" applyFont="1" applyFill="1" applyBorder="1" applyAlignment="1">
      <alignment vertical="center"/>
    </xf>
    <xf numFmtId="3" fontId="19" fillId="2" borderId="19" xfId="0" applyNumberFormat="1" applyFont="1" applyFill="1" applyBorder="1" applyAlignment="1">
      <alignment vertical="center"/>
    </xf>
    <xf numFmtId="3" fontId="19" fillId="16" borderId="19" xfId="0" applyNumberFormat="1" applyFont="1" applyFill="1" applyBorder="1" applyAlignment="1">
      <alignment vertical="center"/>
    </xf>
    <xf numFmtId="3" fontId="21" fillId="17" borderId="20" xfId="0" applyNumberFormat="1" applyFont="1" applyFill="1" applyBorder="1" applyAlignment="1">
      <alignment vertical="center"/>
    </xf>
    <xf numFmtId="3" fontId="19" fillId="5" borderId="20" xfId="0" applyNumberFormat="1" applyFont="1" applyFill="1" applyBorder="1" applyAlignment="1">
      <alignment vertical="center"/>
    </xf>
    <xf numFmtId="3" fontId="19" fillId="10" borderId="62" xfId="0" applyNumberFormat="1" applyFont="1" applyFill="1" applyBorder="1" applyAlignment="1">
      <alignment vertical="center"/>
    </xf>
    <xf numFmtId="3" fontId="19" fillId="7" borderId="21" xfId="0" applyNumberFormat="1" applyFont="1" applyFill="1" applyBorder="1" applyAlignment="1">
      <alignment vertical="center"/>
    </xf>
    <xf numFmtId="3" fontId="19" fillId="13" borderId="22" xfId="0" applyNumberFormat="1" applyFont="1" applyFill="1" applyBorder="1" applyAlignment="1">
      <alignment vertical="center"/>
    </xf>
    <xf numFmtId="3" fontId="19" fillId="2" borderId="22" xfId="0" applyNumberFormat="1" applyFont="1" applyFill="1" applyBorder="1" applyAlignment="1">
      <alignment vertical="center"/>
    </xf>
    <xf numFmtId="3" fontId="19" fillId="16" borderId="22" xfId="0" applyNumberFormat="1" applyFont="1" applyFill="1" applyBorder="1" applyAlignment="1">
      <alignment vertical="center"/>
    </xf>
    <xf numFmtId="3" fontId="21" fillId="17" borderId="25" xfId="0" applyNumberFormat="1" applyFont="1" applyFill="1" applyBorder="1" applyAlignment="1">
      <alignment vertical="center"/>
    </xf>
    <xf numFmtId="3" fontId="19" fillId="5" borderId="44" xfId="0" applyNumberFormat="1" applyFont="1" applyFill="1" applyBorder="1" applyAlignment="1">
      <alignment vertical="center"/>
    </xf>
    <xf numFmtId="3" fontId="19" fillId="10" borderId="63" xfId="0" applyNumberFormat="1" applyFont="1" applyFill="1" applyBorder="1" applyAlignment="1">
      <alignment vertical="center"/>
    </xf>
    <xf numFmtId="3" fontId="19" fillId="9" borderId="44" xfId="0" applyNumberFormat="1" applyFont="1" applyFill="1" applyBorder="1" applyAlignment="1">
      <alignment vertical="center"/>
    </xf>
    <xf numFmtId="3" fontId="2" fillId="7" borderId="48" xfId="0" applyNumberFormat="1" applyFont="1" applyFill="1" applyBorder="1" applyAlignment="1">
      <alignment vertical="center"/>
    </xf>
    <xf numFmtId="3" fontId="2" fillId="13" borderId="49" xfId="0" applyNumberFormat="1" applyFont="1" applyFill="1" applyBorder="1" applyAlignment="1">
      <alignment vertical="center"/>
    </xf>
    <xf numFmtId="3" fontId="2" fillId="2" borderId="49" xfId="0" applyNumberFormat="1" applyFont="1" applyFill="1" applyBorder="1" applyAlignment="1">
      <alignment vertical="center"/>
    </xf>
    <xf numFmtId="3" fontId="2" fillId="16" borderId="49" xfId="0" applyNumberFormat="1" applyFont="1" applyFill="1" applyBorder="1" applyAlignment="1">
      <alignment vertical="center"/>
    </xf>
    <xf numFmtId="3" fontId="2" fillId="17" borderId="50" xfId="0" applyNumberFormat="1" applyFont="1" applyFill="1" applyBorder="1" applyAlignment="1">
      <alignment vertical="center"/>
    </xf>
    <xf numFmtId="3" fontId="2" fillId="5" borderId="47" xfId="0" applyNumberFormat="1" applyFont="1" applyFill="1" applyBorder="1" applyAlignment="1">
      <alignment vertical="center"/>
    </xf>
    <xf numFmtId="3" fontId="2" fillId="10" borderId="64" xfId="0" applyNumberFormat="1" applyFont="1" applyFill="1" applyBorder="1" applyAlignment="1">
      <alignment vertical="center"/>
    </xf>
    <xf numFmtId="3" fontId="2" fillId="9" borderId="47" xfId="0" applyNumberFormat="1" applyFont="1" applyFill="1" applyBorder="1" applyAlignment="1">
      <alignment vertical="center"/>
    </xf>
    <xf numFmtId="3" fontId="0" fillId="13" borderId="16" xfId="0" applyNumberFormat="1" applyFill="1" applyBorder="1" applyAlignment="1">
      <alignment vertical="center"/>
    </xf>
    <xf numFmtId="3" fontId="16" fillId="17" borderId="17" xfId="0" applyNumberFormat="1" applyFont="1" applyFill="1" applyBorder="1" applyAlignment="1">
      <alignment vertical="center"/>
    </xf>
    <xf numFmtId="3" fontId="16" fillId="5" borderId="41" xfId="0" applyNumberFormat="1" applyFont="1" applyFill="1" applyBorder="1" applyAlignment="1">
      <alignment vertical="center"/>
    </xf>
    <xf numFmtId="3" fontId="21" fillId="17" borderId="17" xfId="0" applyNumberFormat="1" applyFont="1" applyFill="1" applyBorder="1" applyAlignment="1">
      <alignment vertical="center"/>
    </xf>
    <xf numFmtId="3" fontId="19" fillId="5" borderId="43" xfId="0" applyNumberFormat="1" applyFont="1" applyFill="1" applyBorder="1" applyAlignment="1">
      <alignment vertical="center"/>
    </xf>
    <xf numFmtId="3" fontId="19" fillId="9" borderId="43" xfId="0" applyNumberFormat="1" applyFont="1" applyFill="1" applyBorder="1" applyAlignment="1">
      <alignment vertical="center"/>
    </xf>
    <xf numFmtId="3" fontId="21" fillId="5" borderId="44" xfId="0" applyNumberFormat="1" applyFont="1" applyFill="1" applyBorder="1" applyAlignment="1">
      <alignment vertical="center"/>
    </xf>
    <xf numFmtId="3" fontId="21" fillId="10" borderId="63" xfId="0" applyNumberFormat="1" applyFont="1" applyFill="1" applyBorder="1" applyAlignment="1">
      <alignment vertical="center"/>
    </xf>
    <xf numFmtId="3" fontId="21" fillId="9" borderId="44" xfId="0" applyNumberFormat="1" applyFont="1" applyFill="1" applyBorder="1" applyAlignment="1">
      <alignment vertical="center"/>
    </xf>
    <xf numFmtId="3" fontId="22" fillId="3" borderId="46" xfId="0" applyNumberFormat="1" applyFont="1" applyFill="1" applyBorder="1" applyAlignment="1">
      <alignment vertical="center"/>
    </xf>
    <xf numFmtId="3" fontId="16" fillId="12" borderId="29" xfId="0" applyNumberFormat="1" applyFont="1" applyFill="1" applyBorder="1" applyAlignment="1">
      <alignment vertical="center"/>
    </xf>
    <xf numFmtId="3" fontId="16" fillId="5" borderId="29" xfId="0" applyNumberFormat="1" applyFont="1" applyFill="1" applyBorder="1" applyAlignment="1">
      <alignment vertical="center"/>
    </xf>
    <xf numFmtId="3" fontId="16" fillId="12" borderId="65" xfId="0" applyNumberFormat="1" applyFont="1" applyFill="1" applyBorder="1" applyAlignment="1">
      <alignment vertical="center"/>
    </xf>
    <xf numFmtId="3" fontId="16" fillId="5" borderId="65" xfId="0" applyNumberFormat="1" applyFont="1" applyFill="1" applyBorder="1" applyAlignment="1">
      <alignment vertical="center"/>
    </xf>
    <xf numFmtId="3" fontId="19" fillId="12" borderId="65" xfId="0" applyNumberFormat="1" applyFont="1" applyFill="1" applyBorder="1" applyAlignment="1">
      <alignment vertical="center"/>
    </xf>
    <xf numFmtId="3" fontId="19" fillId="5" borderId="65" xfId="0" applyNumberFormat="1" applyFont="1" applyFill="1" applyBorder="1" applyAlignment="1">
      <alignment vertical="center"/>
    </xf>
    <xf numFmtId="3" fontId="21" fillId="12" borderId="65" xfId="0" applyNumberFormat="1" applyFont="1" applyFill="1" applyBorder="1" applyAlignment="1">
      <alignment vertical="center"/>
    </xf>
    <xf numFmtId="3" fontId="21" fillId="5" borderId="65" xfId="0" applyNumberFormat="1" applyFont="1" applyFill="1" applyBorder="1" applyAlignment="1">
      <alignment vertical="center"/>
    </xf>
    <xf numFmtId="3" fontId="21" fillId="9" borderId="43" xfId="0" applyNumberFormat="1" applyFont="1" applyFill="1" applyBorder="1" applyAlignment="1">
      <alignment vertical="center"/>
    </xf>
    <xf numFmtId="3" fontId="19" fillId="12" borderId="56" xfId="0" applyNumberFormat="1" applyFont="1" applyFill="1" applyBorder="1" applyAlignment="1">
      <alignment vertical="center"/>
    </xf>
    <xf numFmtId="3" fontId="21" fillId="12" borderId="66" xfId="0" applyNumberFormat="1" applyFont="1" applyFill="1" applyBorder="1" applyAlignment="1">
      <alignment vertical="center"/>
    </xf>
    <xf numFmtId="3" fontId="21" fillId="5" borderId="66" xfId="0" applyNumberFormat="1" applyFont="1" applyFill="1" applyBorder="1" applyAlignment="1">
      <alignment vertical="center"/>
    </xf>
    <xf numFmtId="3" fontId="23" fillId="7" borderId="48" xfId="0" applyNumberFormat="1" applyFont="1" applyFill="1" applyBorder="1" applyAlignment="1">
      <alignment vertical="center"/>
    </xf>
    <xf numFmtId="3" fontId="23" fillId="13" borderId="49" xfId="0" applyNumberFormat="1" applyFont="1" applyFill="1" applyBorder="1" applyAlignment="1">
      <alignment vertical="center"/>
    </xf>
    <xf numFmtId="3" fontId="23" fillId="2" borderId="49" xfId="0" applyNumberFormat="1" applyFont="1" applyFill="1" applyBorder="1" applyAlignment="1">
      <alignment vertical="center"/>
    </xf>
    <xf numFmtId="3" fontId="23" fillId="16" borderId="49" xfId="0" applyNumberFormat="1" applyFont="1" applyFill="1" applyBorder="1" applyAlignment="1">
      <alignment vertical="center"/>
    </xf>
    <xf numFmtId="3" fontId="23" fillId="17" borderId="50" xfId="0" applyNumberFormat="1" applyFont="1" applyFill="1" applyBorder="1" applyAlignment="1">
      <alignment vertical="center"/>
    </xf>
    <xf numFmtId="3" fontId="23" fillId="12" borderId="26" xfId="0" applyNumberFormat="1" applyFont="1" applyFill="1" applyBorder="1" applyAlignment="1">
      <alignment vertical="center"/>
    </xf>
    <xf numFmtId="3" fontId="23" fillId="5" borderId="47" xfId="0" applyNumberFormat="1" applyFont="1" applyFill="1" applyBorder="1" applyAlignment="1">
      <alignment vertical="center"/>
    </xf>
    <xf numFmtId="3" fontId="23" fillId="10" borderId="64" xfId="0" applyNumberFormat="1" applyFont="1" applyFill="1" applyBorder="1" applyAlignment="1">
      <alignment vertical="center"/>
    </xf>
    <xf numFmtId="3" fontId="23" fillId="9" borderId="47" xfId="0" applyNumberFormat="1" applyFont="1" applyFill="1" applyBorder="1" applyAlignment="1">
      <alignment vertical="center"/>
    </xf>
    <xf numFmtId="3" fontId="19" fillId="7" borderId="15" xfId="0" applyNumberFormat="1" applyFont="1" applyFill="1" applyBorder="1" applyAlignment="1">
      <alignment vertical="center"/>
    </xf>
    <xf numFmtId="3" fontId="19" fillId="13" borderId="16" xfId="0" applyNumberFormat="1" applyFont="1" applyFill="1" applyBorder="1" applyAlignment="1">
      <alignment vertical="center"/>
    </xf>
    <xf numFmtId="3" fontId="19" fillId="2" borderId="16" xfId="0" applyNumberFormat="1" applyFont="1" applyFill="1" applyBorder="1" applyAlignment="1">
      <alignment vertical="center"/>
    </xf>
    <xf numFmtId="3" fontId="19" fillId="16" borderId="16" xfId="0" applyNumberFormat="1" applyFont="1" applyFill="1" applyBorder="1" applyAlignment="1">
      <alignment vertical="center"/>
    </xf>
    <xf numFmtId="3" fontId="0" fillId="17" borderId="17" xfId="0" applyNumberFormat="1" applyFont="1" applyFill="1" applyBorder="1" applyAlignment="1">
      <alignment vertical="center"/>
    </xf>
    <xf numFmtId="3" fontId="21" fillId="5" borderId="41" xfId="0" applyNumberFormat="1" applyFont="1" applyFill="1" applyBorder="1" applyAlignment="1">
      <alignment vertical="center"/>
    </xf>
    <xf numFmtId="3" fontId="0" fillId="10" borderId="61" xfId="0" applyNumberFormat="1" applyFont="1" applyFill="1" applyBorder="1" applyAlignment="1">
      <alignment vertical="center"/>
    </xf>
    <xf numFmtId="3" fontId="21" fillId="9" borderId="41" xfId="0" applyNumberFormat="1" applyFont="1" applyFill="1" applyBorder="1" applyAlignment="1">
      <alignment vertical="center"/>
    </xf>
    <xf numFmtId="3" fontId="21" fillId="5" borderId="43" xfId="0" applyNumberFormat="1" applyFont="1" applyFill="1" applyBorder="1" applyAlignment="1">
      <alignment vertical="center"/>
    </xf>
    <xf numFmtId="3" fontId="0" fillId="10" borderId="62" xfId="0" applyNumberFormat="1" applyFont="1" applyFill="1" applyBorder="1" applyAlignment="1">
      <alignment vertical="center"/>
    </xf>
    <xf numFmtId="3" fontId="19" fillId="17" borderId="17" xfId="0" applyNumberFormat="1" applyFont="1" applyFill="1" applyBorder="1" applyAlignment="1">
      <alignment vertical="center"/>
    </xf>
    <xf numFmtId="3" fontId="18" fillId="7" borderId="48" xfId="0" applyNumberFormat="1" applyFont="1" applyFill="1" applyBorder="1" applyAlignment="1">
      <alignment vertical="center"/>
    </xf>
    <xf numFmtId="3" fontId="18" fillId="13" borderId="49" xfId="0" applyNumberFormat="1" applyFont="1" applyFill="1" applyBorder="1" applyAlignment="1">
      <alignment vertical="center"/>
    </xf>
    <xf numFmtId="3" fontId="18" fillId="2" borderId="49" xfId="0" applyNumberFormat="1" applyFont="1" applyFill="1" applyBorder="1" applyAlignment="1">
      <alignment vertical="center"/>
    </xf>
    <xf numFmtId="3" fontId="18" fillId="16" borderId="49" xfId="0" applyNumberFormat="1" applyFont="1" applyFill="1" applyBorder="1" applyAlignment="1">
      <alignment vertical="center"/>
    </xf>
    <xf numFmtId="3" fontId="18" fillId="17" borderId="50" xfId="0" applyNumberFormat="1" applyFont="1" applyFill="1" applyBorder="1" applyAlignment="1">
      <alignment vertical="center"/>
    </xf>
    <xf numFmtId="3" fontId="18" fillId="5" borderId="47" xfId="0" applyNumberFormat="1" applyFont="1" applyFill="1" applyBorder="1" applyAlignment="1">
      <alignment vertical="center"/>
    </xf>
    <xf numFmtId="3" fontId="18" fillId="9" borderId="47" xfId="0" applyNumberFormat="1" applyFont="1" applyFill="1" applyBorder="1" applyAlignment="1">
      <alignment vertical="center"/>
    </xf>
    <xf numFmtId="3" fontId="17" fillId="3" borderId="40" xfId="0" applyNumberFormat="1" applyFont="1" applyFill="1" applyBorder="1" applyAlignment="1">
      <alignment vertical="center"/>
    </xf>
    <xf numFmtId="3" fontId="19" fillId="7" borderId="51" xfId="0" applyNumberFormat="1" applyFont="1" applyFill="1" applyBorder="1" applyAlignment="1">
      <alignment vertical="center"/>
    </xf>
    <xf numFmtId="3" fontId="19" fillId="13" borderId="52" xfId="0" applyNumberFormat="1" applyFont="1" applyFill="1" applyBorder="1" applyAlignment="1">
      <alignment vertical="center"/>
    </xf>
    <xf numFmtId="3" fontId="19" fillId="2" borderId="52" xfId="0" applyNumberFormat="1" applyFont="1" applyFill="1" applyBorder="1" applyAlignment="1">
      <alignment vertical="center"/>
    </xf>
    <xf numFmtId="3" fontId="19" fillId="16" borderId="52" xfId="0" applyNumberFormat="1" applyFont="1" applyFill="1" applyBorder="1" applyAlignment="1">
      <alignment vertical="center"/>
    </xf>
    <xf numFmtId="3" fontId="22" fillId="17" borderId="58" xfId="0" applyNumberFormat="1" applyFont="1" applyFill="1" applyBorder="1" applyAlignment="1">
      <alignment vertical="center"/>
    </xf>
    <xf numFmtId="3" fontId="22" fillId="5" borderId="36" xfId="0" applyNumberFormat="1" applyFont="1" applyFill="1" applyBorder="1" applyAlignment="1">
      <alignment vertical="center"/>
    </xf>
    <xf numFmtId="3" fontId="22" fillId="10" borderId="67" xfId="0" applyNumberFormat="1" applyFont="1" applyFill="1" applyBorder="1" applyAlignment="1">
      <alignment vertical="center"/>
    </xf>
    <xf numFmtId="3" fontId="21" fillId="9" borderId="36" xfId="0" applyNumberFormat="1" applyFont="1" applyFill="1" applyBorder="1" applyAlignment="1">
      <alignment vertical="center"/>
    </xf>
    <xf numFmtId="3" fontId="22" fillId="9" borderId="36" xfId="0" applyNumberFormat="1" applyFont="1" applyFill="1" applyBorder="1" applyAlignment="1">
      <alignment vertical="center"/>
    </xf>
    <xf numFmtId="3" fontId="14" fillId="17" borderId="17" xfId="0" applyNumberFormat="1" applyFont="1" applyFill="1" applyBorder="1" applyAlignment="1">
      <alignment vertical="center"/>
    </xf>
    <xf numFmtId="3" fontId="22" fillId="5" borderId="41" xfId="0" applyNumberFormat="1" applyFont="1" applyFill="1" applyBorder="1" applyAlignment="1">
      <alignment vertical="center"/>
    </xf>
    <xf numFmtId="3" fontId="14" fillId="10" borderId="61" xfId="0" applyNumberFormat="1" applyFont="1" applyFill="1" applyBorder="1" applyAlignment="1">
      <alignment vertical="center"/>
    </xf>
    <xf numFmtId="3" fontId="22" fillId="9" borderId="41" xfId="0" applyNumberFormat="1" applyFont="1" applyFill="1" applyBorder="1" applyAlignment="1">
      <alignment vertical="center"/>
    </xf>
    <xf numFmtId="3" fontId="2" fillId="7" borderId="18" xfId="0" applyNumberFormat="1" applyFont="1" applyFill="1" applyBorder="1" applyAlignment="1">
      <alignment vertical="center"/>
    </xf>
    <xf numFmtId="3" fontId="2" fillId="13" borderId="19" xfId="0" applyNumberFormat="1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vertical="center"/>
    </xf>
    <xf numFmtId="3" fontId="2" fillId="16" borderId="19" xfId="0" applyNumberFormat="1" applyFont="1" applyFill="1" applyBorder="1" applyAlignment="1">
      <alignment vertical="center"/>
    </xf>
    <xf numFmtId="3" fontId="2" fillId="17" borderId="20" xfId="0" applyNumberFormat="1" applyFont="1" applyFill="1" applyBorder="1" applyAlignment="1">
      <alignment vertical="center"/>
    </xf>
    <xf numFmtId="3" fontId="2" fillId="5" borderId="43" xfId="0" applyNumberFormat="1" applyFont="1" applyFill="1" applyBorder="1" applyAlignment="1">
      <alignment vertical="center"/>
    </xf>
    <xf numFmtId="3" fontId="2" fillId="10" borderId="62" xfId="0" applyNumberFormat="1" applyFont="1" applyFill="1" applyBorder="1" applyAlignment="1">
      <alignment vertical="center"/>
    </xf>
    <xf numFmtId="3" fontId="2" fillId="9" borderId="43" xfId="0" applyNumberFormat="1" applyFont="1" applyFill="1" applyBorder="1" applyAlignment="1">
      <alignment vertical="center"/>
    </xf>
    <xf numFmtId="3" fontId="14" fillId="17" borderId="20" xfId="0" applyNumberFormat="1" applyFont="1" applyFill="1" applyBorder="1" applyAlignment="1">
      <alignment vertical="center"/>
    </xf>
    <xf numFmtId="3" fontId="22" fillId="5" borderId="43" xfId="0" applyNumberFormat="1" applyFont="1" applyFill="1" applyBorder="1" applyAlignment="1">
      <alignment vertical="center"/>
    </xf>
    <xf numFmtId="3" fontId="14" fillId="10" borderId="62" xfId="0" applyNumberFormat="1" applyFont="1" applyFill="1" applyBorder="1" applyAlignment="1">
      <alignment vertical="center"/>
    </xf>
    <xf numFmtId="3" fontId="22" fillId="9" borderId="43" xfId="0" applyNumberFormat="1" applyFont="1" applyFill="1" applyBorder="1" applyAlignment="1">
      <alignment vertical="center"/>
    </xf>
    <xf numFmtId="3" fontId="2" fillId="7" borderId="21" xfId="0" applyNumberFormat="1" applyFont="1" applyFill="1" applyBorder="1" applyAlignment="1">
      <alignment vertical="center"/>
    </xf>
    <xf numFmtId="3" fontId="2" fillId="13" borderId="22" xfId="0" applyNumberFormat="1" applyFont="1" applyFill="1" applyBorder="1" applyAlignment="1">
      <alignment vertical="center"/>
    </xf>
    <xf numFmtId="3" fontId="2" fillId="2" borderId="22" xfId="0" applyNumberFormat="1" applyFont="1" applyFill="1" applyBorder="1" applyAlignment="1">
      <alignment vertical="center"/>
    </xf>
    <xf numFmtId="3" fontId="2" fillId="16" borderId="22" xfId="0" applyNumberFormat="1" applyFont="1" applyFill="1" applyBorder="1" applyAlignment="1">
      <alignment vertical="center"/>
    </xf>
    <xf numFmtId="3" fontId="2" fillId="17" borderId="23" xfId="0" applyNumberFormat="1" applyFont="1" applyFill="1" applyBorder="1" applyAlignment="1">
      <alignment vertical="center"/>
    </xf>
    <xf numFmtId="3" fontId="2" fillId="5" borderId="44" xfId="0" applyNumberFormat="1" applyFont="1" applyFill="1" applyBorder="1" applyAlignment="1">
      <alignment vertical="center"/>
    </xf>
    <xf numFmtId="3" fontId="2" fillId="10" borderId="63" xfId="0" applyNumberFormat="1" applyFont="1" applyFill="1" applyBorder="1" applyAlignment="1">
      <alignment vertical="center"/>
    </xf>
    <xf numFmtId="3" fontId="2" fillId="9" borderId="44" xfId="0" applyNumberFormat="1" applyFont="1" applyFill="1" applyBorder="1" applyAlignment="1">
      <alignment vertical="center"/>
    </xf>
    <xf numFmtId="3" fontId="18" fillId="10" borderId="64" xfId="0" applyNumberFormat="1" applyFont="1" applyFill="1" applyBorder="1" applyAlignment="1">
      <alignment vertical="center"/>
    </xf>
    <xf numFmtId="3" fontId="19" fillId="7" borderId="13" xfId="0" applyNumberFormat="1" applyFont="1" applyFill="1" applyBorder="1" applyAlignment="1">
      <alignment vertical="center"/>
    </xf>
    <xf numFmtId="3" fontId="19" fillId="13" borderId="3" xfId="0" applyNumberFormat="1" applyFont="1" applyFill="1" applyBorder="1" applyAlignment="1">
      <alignment vertical="center"/>
    </xf>
    <xf numFmtId="3" fontId="19" fillId="2" borderId="3" xfId="0" applyNumberFormat="1" applyFont="1" applyFill="1" applyBorder="1" applyAlignment="1">
      <alignment vertical="center"/>
    </xf>
    <xf numFmtId="3" fontId="19" fillId="16" borderId="3" xfId="0" applyNumberFormat="1" applyFont="1" applyFill="1" applyBorder="1" applyAlignment="1">
      <alignment vertical="center"/>
    </xf>
    <xf numFmtId="3" fontId="14" fillId="17" borderId="14" xfId="0" applyNumberFormat="1" applyFont="1" applyFill="1" applyBorder="1" applyAlignment="1">
      <alignment vertical="center"/>
    </xf>
    <xf numFmtId="3" fontId="22" fillId="5" borderId="40" xfId="0" applyNumberFormat="1" applyFont="1" applyFill="1" applyBorder="1" applyAlignment="1">
      <alignment vertical="center"/>
    </xf>
    <xf numFmtId="3" fontId="14" fillId="10" borderId="5" xfId="0" applyNumberFormat="1" applyFont="1" applyFill="1" applyBorder="1" applyAlignment="1">
      <alignment vertical="center"/>
    </xf>
    <xf numFmtId="3" fontId="22" fillId="9" borderId="40" xfId="0" applyNumberFormat="1" applyFont="1" applyFill="1" applyBorder="1" applyAlignment="1">
      <alignment vertical="center"/>
    </xf>
    <xf numFmtId="3" fontId="14" fillId="5" borderId="43" xfId="0" applyNumberFormat="1" applyFont="1" applyFill="1" applyBorder="1" applyAlignment="1">
      <alignment vertical="center"/>
    </xf>
    <xf numFmtId="3" fontId="14" fillId="9" borderId="43" xfId="0" applyNumberFormat="1" applyFont="1" applyFill="1" applyBorder="1" applyAlignment="1">
      <alignment vertical="center"/>
    </xf>
    <xf numFmtId="3" fontId="14" fillId="17" borderId="23" xfId="0" applyNumberFormat="1" applyFont="1" applyFill="1" applyBorder="1" applyAlignment="1">
      <alignment vertical="center"/>
    </xf>
    <xf numFmtId="3" fontId="14" fillId="5" borderId="44" xfId="0" applyNumberFormat="1" applyFont="1" applyFill="1" applyBorder="1" applyAlignment="1">
      <alignment vertical="center"/>
    </xf>
    <xf numFmtId="3" fontId="14" fillId="10" borderId="63" xfId="0" applyNumberFormat="1" applyFont="1" applyFill="1" applyBorder="1" applyAlignment="1">
      <alignment vertical="center"/>
    </xf>
    <xf numFmtId="3" fontId="14" fillId="9" borderId="44" xfId="0" applyNumberFormat="1" applyFont="1" applyFill="1" applyBorder="1" applyAlignment="1">
      <alignment vertical="center"/>
    </xf>
    <xf numFmtId="3" fontId="2" fillId="7" borderId="15" xfId="0" applyNumberFormat="1" applyFont="1" applyFill="1" applyBorder="1" applyAlignment="1">
      <alignment vertical="center"/>
    </xf>
    <xf numFmtId="3" fontId="2" fillId="13" borderId="16" xfId="0" applyNumberFormat="1" applyFont="1" applyFill="1" applyBorder="1" applyAlignment="1">
      <alignment vertical="center"/>
    </xf>
    <xf numFmtId="3" fontId="2" fillId="2" borderId="16" xfId="0" applyNumberFormat="1" applyFont="1" applyFill="1" applyBorder="1" applyAlignment="1">
      <alignment vertical="center"/>
    </xf>
    <xf numFmtId="3" fontId="2" fillId="16" borderId="16" xfId="0" applyNumberFormat="1" applyFont="1" applyFill="1" applyBorder="1" applyAlignment="1">
      <alignment vertical="center"/>
    </xf>
    <xf numFmtId="3" fontId="14" fillId="5" borderId="41" xfId="0" applyNumberFormat="1" applyFont="1" applyFill="1" applyBorder="1" applyAlignment="1">
      <alignment vertical="center"/>
    </xf>
    <xf numFmtId="3" fontId="14" fillId="9" borderId="41" xfId="0" applyNumberFormat="1" applyFont="1" applyFill="1" applyBorder="1" applyAlignment="1">
      <alignment vertical="center"/>
    </xf>
    <xf numFmtId="3" fontId="34" fillId="3" borderId="40" xfId="0" applyNumberFormat="1" applyFont="1" applyFill="1" applyBorder="1" applyAlignment="1">
      <alignment vertical="center"/>
    </xf>
    <xf numFmtId="3" fontId="0" fillId="7" borderId="48" xfId="0" applyNumberFormat="1" applyFont="1" applyFill="1" applyBorder="1" applyAlignment="1">
      <alignment vertical="center"/>
    </xf>
    <xf numFmtId="3" fontId="0" fillId="13" borderId="49" xfId="0" applyNumberFormat="1" applyFont="1" applyFill="1" applyBorder="1" applyAlignment="1">
      <alignment vertical="center"/>
    </xf>
    <xf numFmtId="3" fontId="0" fillId="2" borderId="49" xfId="0" applyNumberFormat="1" applyFont="1" applyFill="1" applyBorder="1" applyAlignment="1">
      <alignment vertical="center"/>
    </xf>
    <xf numFmtId="3" fontId="0" fillId="16" borderId="49" xfId="0" applyNumberFormat="1" applyFont="1" applyFill="1" applyBorder="1" applyAlignment="1">
      <alignment vertical="center"/>
    </xf>
    <xf numFmtId="3" fontId="19" fillId="7" borderId="48" xfId="0" applyNumberFormat="1" applyFont="1" applyFill="1" applyBorder="1" applyAlignment="1">
      <alignment vertical="center"/>
    </xf>
    <xf numFmtId="3" fontId="19" fillId="13" borderId="49" xfId="0" applyNumberFormat="1" applyFont="1" applyFill="1" applyBorder="1" applyAlignment="1">
      <alignment vertical="center"/>
    </xf>
    <xf numFmtId="3" fontId="19" fillId="2" borderId="49" xfId="0" applyNumberFormat="1" applyFont="1" applyFill="1" applyBorder="1" applyAlignment="1">
      <alignment vertical="center"/>
    </xf>
    <xf numFmtId="3" fontId="19" fillId="16" borderId="49" xfId="0" applyNumberFormat="1" applyFont="1" applyFill="1" applyBorder="1" applyAlignment="1">
      <alignment vertical="center"/>
    </xf>
    <xf numFmtId="3" fontId="19" fillId="17" borderId="50" xfId="0" applyNumberFormat="1" applyFont="1" applyFill="1" applyBorder="1" applyAlignment="1">
      <alignment vertical="center"/>
    </xf>
    <xf numFmtId="3" fontId="19" fillId="5" borderId="47" xfId="0" applyNumberFormat="1" applyFont="1" applyFill="1" applyBorder="1" applyAlignment="1">
      <alignment vertical="center"/>
    </xf>
    <xf numFmtId="3" fontId="19" fillId="9" borderId="47" xfId="0" applyNumberFormat="1" applyFont="1" applyFill="1" applyBorder="1" applyAlignment="1">
      <alignment vertical="center"/>
    </xf>
    <xf numFmtId="3" fontId="22" fillId="5" borderId="47" xfId="0" applyNumberFormat="1" applyFont="1" applyFill="1" applyBorder="1" applyAlignment="1">
      <alignment vertical="center"/>
    </xf>
    <xf numFmtId="3" fontId="22" fillId="9" borderId="47" xfId="0" applyNumberFormat="1" applyFont="1" applyFill="1" applyBorder="1" applyAlignment="1">
      <alignment vertical="center"/>
    </xf>
    <xf numFmtId="3" fontId="21" fillId="5" borderId="47" xfId="0" applyNumberFormat="1" applyFont="1" applyFill="1" applyBorder="1" applyAlignment="1">
      <alignment vertical="center"/>
    </xf>
    <xf numFmtId="3" fontId="21" fillId="9" borderId="47" xfId="0" applyNumberFormat="1" applyFont="1" applyFill="1" applyBorder="1" applyAlignment="1">
      <alignment vertical="center"/>
    </xf>
    <xf numFmtId="3" fontId="27" fillId="15" borderId="40" xfId="0" applyNumberFormat="1" applyFont="1" applyFill="1" applyBorder="1" applyAlignment="1">
      <alignment vertical="center"/>
    </xf>
    <xf numFmtId="3" fontId="19" fillId="0" borderId="15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8" xfId="0" applyNumberFormat="1" applyFont="1" applyBorder="1" applyAlignment="1">
      <alignment vertical="center"/>
    </xf>
    <xf numFmtId="3" fontId="19" fillId="0" borderId="19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3" fontId="18" fillId="0" borderId="48" xfId="0" applyNumberFormat="1" applyFont="1" applyBorder="1" applyAlignment="1">
      <alignment vertical="center"/>
    </xf>
    <xf numFmtId="3" fontId="18" fillId="0" borderId="49" xfId="0" applyNumberFormat="1" applyFont="1" applyBorder="1" applyAlignment="1">
      <alignment vertical="center"/>
    </xf>
    <xf numFmtId="3" fontId="19" fillId="0" borderId="48" xfId="0" applyNumberFormat="1" applyFont="1" applyBorder="1" applyAlignment="1">
      <alignment vertical="center"/>
    </xf>
    <xf numFmtId="3" fontId="19" fillId="0" borderId="49" xfId="0" applyNumberFormat="1" applyFont="1" applyBorder="1" applyAlignment="1">
      <alignment vertical="center"/>
    </xf>
    <xf numFmtId="3" fontId="2" fillId="0" borderId="48" xfId="0" applyNumberFormat="1" applyFont="1" applyBorder="1" applyAlignment="1">
      <alignment vertical="center"/>
    </xf>
    <xf numFmtId="3" fontId="2" fillId="0" borderId="49" xfId="0" applyNumberFormat="1" applyFont="1" applyBorder="1" applyAlignment="1">
      <alignment vertical="center"/>
    </xf>
    <xf numFmtId="3" fontId="28" fillId="0" borderId="48" xfId="0" applyNumberFormat="1" applyFont="1" applyBorder="1" applyAlignment="1">
      <alignment vertical="center"/>
    </xf>
    <xf numFmtId="3" fontId="28" fillId="0" borderId="49" xfId="0" applyNumberFormat="1" applyFont="1" applyBorder="1" applyAlignment="1">
      <alignment vertical="center"/>
    </xf>
    <xf numFmtId="3" fontId="28" fillId="13" borderId="49" xfId="0" applyNumberFormat="1" applyFont="1" applyFill="1" applyBorder="1" applyAlignment="1">
      <alignment vertical="center"/>
    </xf>
    <xf numFmtId="3" fontId="28" fillId="2" borderId="49" xfId="0" applyNumberFormat="1" applyFont="1" applyFill="1" applyBorder="1" applyAlignment="1">
      <alignment vertical="center"/>
    </xf>
    <xf numFmtId="3" fontId="28" fillId="16" borderId="49" xfId="0" applyNumberFormat="1" applyFont="1" applyFill="1" applyBorder="1" applyAlignment="1">
      <alignment vertical="center"/>
    </xf>
    <xf numFmtId="3" fontId="29" fillId="5" borderId="47" xfId="0" applyNumberFormat="1" applyFont="1" applyFill="1" applyBorder="1" applyAlignment="1">
      <alignment vertical="center"/>
    </xf>
    <xf numFmtId="3" fontId="29" fillId="9" borderId="47" xfId="0" applyNumberFormat="1" applyFont="1" applyFill="1" applyBorder="1" applyAlignment="1">
      <alignment vertical="center"/>
    </xf>
    <xf numFmtId="3" fontId="0" fillId="0" borderId="48" xfId="0" applyNumberFormat="1" applyFont="1" applyBorder="1" applyAlignment="1">
      <alignment vertical="center"/>
    </xf>
    <xf numFmtId="3" fontId="0" fillId="0" borderId="49" xfId="0" applyNumberFormat="1" applyFont="1" applyBorder="1" applyAlignment="1">
      <alignment vertical="center"/>
    </xf>
    <xf numFmtId="3" fontId="16" fillId="5" borderId="47" xfId="0" applyNumberFormat="1" applyFont="1" applyFill="1" applyBorder="1" applyAlignment="1">
      <alignment vertical="center"/>
    </xf>
    <xf numFmtId="3" fontId="16" fillId="9" borderId="47" xfId="0" applyNumberFormat="1" applyFont="1" applyFill="1" applyBorder="1" applyAlignment="1">
      <alignment vertical="center"/>
    </xf>
    <xf numFmtId="3" fontId="0" fillId="0" borderId="48" xfId="0" applyNumberFormat="1" applyBorder="1" applyAlignment="1">
      <alignment vertical="center"/>
    </xf>
    <xf numFmtId="3" fontId="0" fillId="0" borderId="49" xfId="0" applyNumberFormat="1" applyBorder="1" applyAlignment="1">
      <alignment vertical="center"/>
    </xf>
    <xf numFmtId="3" fontId="0" fillId="13" borderId="49" xfId="0" applyNumberFormat="1" applyFill="1" applyBorder="1" applyAlignment="1">
      <alignment vertical="center"/>
    </xf>
    <xf numFmtId="3" fontId="0" fillId="2" borderId="49" xfId="0" applyNumberFormat="1" applyFill="1" applyBorder="1" applyAlignment="1">
      <alignment vertical="center"/>
    </xf>
    <xf numFmtId="3" fontId="0" fillId="16" borderId="49" xfId="0" applyNumberFormat="1" applyFill="1" applyBorder="1" applyAlignment="1">
      <alignment vertical="center"/>
    </xf>
    <xf numFmtId="3" fontId="30" fillId="0" borderId="15" xfId="0" applyNumberFormat="1" applyFont="1" applyBorder="1" applyAlignment="1">
      <alignment vertical="center"/>
    </xf>
    <xf numFmtId="3" fontId="30" fillId="0" borderId="16" xfId="0" applyNumberFormat="1" applyFont="1" applyBorder="1" applyAlignment="1">
      <alignment vertical="center"/>
    </xf>
    <xf numFmtId="3" fontId="30" fillId="13" borderId="16" xfId="0" applyNumberFormat="1" applyFont="1" applyFill="1" applyBorder="1" applyAlignment="1">
      <alignment vertical="center"/>
    </xf>
    <xf numFmtId="3" fontId="30" fillId="2" borderId="16" xfId="0" applyNumberFormat="1" applyFont="1" applyFill="1" applyBorder="1" applyAlignment="1">
      <alignment vertical="center"/>
    </xf>
    <xf numFmtId="3" fontId="30" fillId="16" borderId="16" xfId="0" applyNumberFormat="1" applyFont="1" applyFill="1" applyBorder="1" applyAlignment="1">
      <alignment vertical="center"/>
    </xf>
    <xf numFmtId="3" fontId="30" fillId="17" borderId="17" xfId="0" applyNumberFormat="1" applyFont="1" applyFill="1" applyBorder="1" applyAlignment="1">
      <alignment vertical="center"/>
    </xf>
    <xf numFmtId="3" fontId="30" fillId="5" borderId="41" xfId="0" applyNumberFormat="1" applyFont="1" applyFill="1" applyBorder="1" applyAlignment="1">
      <alignment vertical="center"/>
    </xf>
    <xf numFmtId="3" fontId="30" fillId="10" borderId="61" xfId="0" applyNumberFormat="1" applyFont="1" applyFill="1" applyBorder="1" applyAlignment="1">
      <alignment vertical="center"/>
    </xf>
    <xf numFmtId="3" fontId="30" fillId="9" borderId="41" xfId="0" applyNumberFormat="1" applyFont="1" applyFill="1" applyBorder="1" applyAlignment="1">
      <alignment vertical="center"/>
    </xf>
    <xf numFmtId="3" fontId="30" fillId="0" borderId="18" xfId="0" applyNumberFormat="1" applyFont="1" applyBorder="1" applyAlignment="1">
      <alignment vertical="center"/>
    </xf>
    <xf numFmtId="3" fontId="30" fillId="0" borderId="19" xfId="0" applyNumberFormat="1" applyFont="1" applyBorder="1" applyAlignment="1">
      <alignment vertical="center"/>
    </xf>
    <xf numFmtId="3" fontId="30" fillId="13" borderId="19" xfId="0" applyNumberFormat="1" applyFont="1" applyFill="1" applyBorder="1" applyAlignment="1">
      <alignment vertical="center"/>
    </xf>
    <xf numFmtId="3" fontId="30" fillId="2" borderId="19" xfId="0" applyNumberFormat="1" applyFont="1" applyFill="1" applyBorder="1" applyAlignment="1">
      <alignment vertical="center"/>
    </xf>
    <xf numFmtId="3" fontId="30" fillId="16" borderId="19" xfId="0" applyNumberFormat="1" applyFont="1" applyFill="1" applyBorder="1" applyAlignment="1">
      <alignment vertical="center"/>
    </xf>
    <xf numFmtId="3" fontId="30" fillId="17" borderId="20" xfId="0" applyNumberFormat="1" applyFont="1" applyFill="1" applyBorder="1" applyAlignment="1">
      <alignment vertical="center"/>
    </xf>
    <xf numFmtId="3" fontId="30" fillId="5" borderId="43" xfId="0" applyNumberFormat="1" applyFont="1" applyFill="1" applyBorder="1" applyAlignment="1">
      <alignment vertical="center"/>
    </xf>
    <xf numFmtId="3" fontId="30" fillId="10" borderId="62" xfId="0" applyNumberFormat="1" applyFont="1" applyFill="1" applyBorder="1" applyAlignment="1">
      <alignment vertical="center"/>
    </xf>
    <xf numFmtId="3" fontId="30" fillId="9" borderId="43" xfId="0" applyNumberFormat="1" applyFont="1" applyFill="1" applyBorder="1" applyAlignment="1">
      <alignment vertical="center"/>
    </xf>
    <xf numFmtId="3" fontId="19" fillId="0" borderId="21" xfId="0" applyNumberFormat="1" applyFont="1" applyBorder="1" applyAlignment="1">
      <alignment vertical="center"/>
    </xf>
    <xf numFmtId="3" fontId="19" fillId="0" borderId="22" xfId="0" applyNumberFormat="1" applyFont="1" applyBorder="1" applyAlignment="1">
      <alignment vertical="center"/>
    </xf>
    <xf numFmtId="3" fontId="22" fillId="12" borderId="44" xfId="0" applyNumberFormat="1" applyFont="1" applyFill="1" applyBorder="1" applyAlignment="1">
      <alignment vertical="center"/>
    </xf>
    <xf numFmtId="3" fontId="22" fillId="5" borderId="44" xfId="0" applyNumberFormat="1" applyFont="1" applyFill="1" applyBorder="1" applyAlignment="1">
      <alignment vertical="center"/>
    </xf>
    <xf numFmtId="3" fontId="22" fillId="9" borderId="44" xfId="0" applyNumberFormat="1" applyFont="1" applyFill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3" fontId="2" fillId="0" borderId="51" xfId="0" applyNumberFormat="1" applyFont="1" applyBorder="1" applyAlignment="1">
      <alignment vertical="center"/>
    </xf>
    <xf numFmtId="3" fontId="2" fillId="0" borderId="52" xfId="0" applyNumberFormat="1" applyFont="1" applyBorder="1" applyAlignment="1">
      <alignment vertical="center"/>
    </xf>
    <xf numFmtId="3" fontId="2" fillId="13" borderId="52" xfId="0" applyNumberFormat="1" applyFont="1" applyFill="1" applyBorder="1" applyAlignment="1">
      <alignment vertical="center"/>
    </xf>
    <xf numFmtId="3" fontId="2" fillId="2" borderId="52" xfId="0" applyNumberFormat="1" applyFont="1" applyFill="1" applyBorder="1" applyAlignment="1">
      <alignment vertical="center"/>
    </xf>
    <xf numFmtId="3" fontId="2" fillId="16" borderId="52" xfId="0" applyNumberFormat="1" applyFont="1" applyFill="1" applyBorder="1" applyAlignment="1">
      <alignment vertical="center"/>
    </xf>
    <xf numFmtId="3" fontId="14" fillId="17" borderId="58" xfId="0" applyNumberFormat="1" applyFont="1" applyFill="1" applyBorder="1" applyAlignment="1">
      <alignment vertical="center"/>
    </xf>
    <xf numFmtId="3" fontId="14" fillId="5" borderId="36" xfId="0" applyNumberFormat="1" applyFont="1" applyFill="1" applyBorder="1" applyAlignment="1">
      <alignment vertical="center"/>
    </xf>
    <xf numFmtId="3" fontId="14" fillId="10" borderId="67" xfId="0" applyNumberFormat="1" applyFont="1" applyFill="1" applyBorder="1" applyAlignment="1">
      <alignment vertical="center"/>
    </xf>
    <xf numFmtId="3" fontId="14" fillId="9" borderId="36" xfId="0" applyNumberFormat="1" applyFont="1" applyFill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9" fillId="17" borderId="20" xfId="0" applyNumberFormat="1" applyFont="1" applyFill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26" fillId="15" borderId="64" xfId="0" applyNumberFormat="1" applyFont="1" applyFill="1" applyBorder="1" applyAlignment="1">
      <alignment vertical="center"/>
    </xf>
    <xf numFmtId="3" fontId="0" fillId="3" borderId="0" xfId="0" applyNumberFormat="1" applyFill="1"/>
    <xf numFmtId="0" fontId="2" fillId="0" borderId="0" xfId="0" applyFont="1"/>
    <xf numFmtId="0" fontId="32" fillId="0" borderId="0" xfId="0" applyFont="1"/>
    <xf numFmtId="0" fontId="0" fillId="0" borderId="0" xfId="0" applyAlignment="1">
      <alignment horizontal="left"/>
    </xf>
    <xf numFmtId="3" fontId="14" fillId="7" borderId="68" xfId="0" applyNumberFormat="1" applyFont="1" applyFill="1" applyBorder="1" applyAlignment="1">
      <alignment horizontal="center" vertical="center" wrapText="1"/>
    </xf>
    <xf numFmtId="0" fontId="4" fillId="3" borderId="26" xfId="1" applyFont="1" applyFill="1" applyBorder="1" applyAlignment="1">
      <alignment horizontal="center" vertical="center" wrapText="1"/>
    </xf>
    <xf numFmtId="3" fontId="14" fillId="19" borderId="9" xfId="0" applyNumberFormat="1" applyFont="1" applyFill="1" applyBorder="1" applyAlignment="1">
      <alignment horizontal="center" vertical="center" wrapText="1"/>
    </xf>
    <xf numFmtId="3" fontId="16" fillId="19" borderId="3" xfId="0" applyNumberFormat="1" applyFont="1" applyFill="1" applyBorder="1" applyAlignment="1">
      <alignment vertical="center"/>
    </xf>
    <xf numFmtId="3" fontId="16" fillId="19" borderId="16" xfId="0" applyNumberFormat="1" applyFont="1" applyFill="1" applyBorder="1" applyAlignment="1">
      <alignment vertical="center"/>
    </xf>
    <xf numFmtId="3" fontId="16" fillId="19" borderId="19" xfId="0" applyNumberFormat="1" applyFont="1" applyFill="1" applyBorder="1" applyAlignment="1">
      <alignment vertical="center"/>
    </xf>
    <xf numFmtId="3" fontId="16" fillId="19" borderId="22" xfId="0" applyNumberFormat="1" applyFont="1" applyFill="1" applyBorder="1" applyAlignment="1">
      <alignment vertical="center"/>
    </xf>
    <xf numFmtId="3" fontId="14" fillId="19" borderId="49" xfId="0" applyNumberFormat="1" applyFont="1" applyFill="1" applyBorder="1" applyAlignment="1">
      <alignment vertical="center"/>
    </xf>
    <xf numFmtId="3" fontId="16" fillId="19" borderId="9" xfId="0" applyNumberFormat="1" applyFont="1" applyFill="1" applyBorder="1" applyAlignment="1">
      <alignment vertical="center"/>
    </xf>
    <xf numFmtId="3" fontId="17" fillId="19" borderId="49" xfId="0" applyNumberFormat="1" applyFont="1" applyFill="1" applyBorder="1" applyAlignment="1">
      <alignment vertical="center"/>
    </xf>
    <xf numFmtId="3" fontId="19" fillId="19" borderId="19" xfId="0" applyNumberFormat="1" applyFont="1" applyFill="1" applyBorder="1" applyAlignment="1">
      <alignment vertical="center"/>
    </xf>
    <xf numFmtId="3" fontId="19" fillId="19" borderId="63" xfId="0" applyNumberFormat="1" applyFont="1" applyFill="1" applyBorder="1" applyAlignment="1">
      <alignment vertical="center"/>
    </xf>
    <xf numFmtId="3" fontId="2" fillId="19" borderId="64" xfId="0" applyNumberFormat="1" applyFont="1" applyFill="1" applyBorder="1" applyAlignment="1">
      <alignment vertical="center"/>
    </xf>
    <xf numFmtId="3" fontId="19" fillId="19" borderId="62" xfId="0" applyNumberFormat="1" applyFont="1" applyFill="1" applyBorder="1" applyAlignment="1">
      <alignment vertical="center"/>
    </xf>
    <xf numFmtId="3" fontId="21" fillId="19" borderId="22" xfId="0" applyNumberFormat="1" applyFont="1" applyFill="1" applyBorder="1" applyAlignment="1">
      <alignment vertical="center"/>
    </xf>
    <xf numFmtId="3" fontId="23" fillId="19" borderId="64" xfId="0" applyNumberFormat="1" applyFont="1" applyFill="1" applyBorder="1" applyAlignment="1">
      <alignment vertical="center"/>
    </xf>
    <xf numFmtId="3" fontId="0" fillId="19" borderId="16" xfId="0" applyNumberFormat="1" applyFont="1" applyFill="1" applyBorder="1" applyAlignment="1">
      <alignment vertical="center"/>
    </xf>
    <xf numFmtId="3" fontId="0" fillId="19" borderId="19" xfId="0" applyNumberFormat="1" applyFont="1" applyFill="1" applyBorder="1" applyAlignment="1">
      <alignment vertical="center"/>
    </xf>
    <xf numFmtId="3" fontId="2" fillId="19" borderId="49" xfId="0" applyNumberFormat="1" applyFont="1" applyFill="1" applyBorder="1" applyAlignment="1">
      <alignment vertical="center"/>
    </xf>
    <xf numFmtId="3" fontId="18" fillId="19" borderId="49" xfId="0" applyNumberFormat="1" applyFont="1" applyFill="1" applyBorder="1" applyAlignment="1">
      <alignment vertical="center"/>
    </xf>
    <xf numFmtId="3" fontId="22" fillId="19" borderId="52" xfId="0" applyNumberFormat="1" applyFont="1" applyFill="1" applyBorder="1" applyAlignment="1">
      <alignment vertical="center"/>
    </xf>
    <xf numFmtId="3" fontId="14" fillId="19" borderId="16" xfId="0" applyNumberFormat="1" applyFont="1" applyFill="1" applyBorder="1" applyAlignment="1">
      <alignment vertical="center"/>
    </xf>
    <xf numFmtId="3" fontId="2" fillId="19" borderId="19" xfId="0" applyNumberFormat="1" applyFont="1" applyFill="1" applyBorder="1" applyAlignment="1">
      <alignment vertical="center"/>
    </xf>
    <xf numFmtId="3" fontId="14" fillId="19" borderId="19" xfId="0" applyNumberFormat="1" applyFont="1" applyFill="1" applyBorder="1" applyAlignment="1">
      <alignment vertical="center"/>
    </xf>
    <xf numFmtId="3" fontId="2" fillId="19" borderId="22" xfId="0" applyNumberFormat="1" applyFont="1" applyFill="1" applyBorder="1" applyAlignment="1">
      <alignment vertical="center"/>
    </xf>
    <xf numFmtId="3" fontId="14" fillId="19" borderId="3" xfId="0" applyNumberFormat="1" applyFont="1" applyFill="1" applyBorder="1" applyAlignment="1">
      <alignment vertical="center"/>
    </xf>
    <xf numFmtId="3" fontId="14" fillId="19" borderId="22" xfId="0" applyNumberFormat="1" applyFont="1" applyFill="1" applyBorder="1" applyAlignment="1">
      <alignment vertical="center"/>
    </xf>
    <xf numFmtId="3" fontId="19" fillId="19" borderId="49" xfId="0" applyNumberFormat="1" applyFont="1" applyFill="1" applyBorder="1" applyAlignment="1">
      <alignment vertical="center"/>
    </xf>
    <xf numFmtId="3" fontId="30" fillId="19" borderId="16" xfId="0" applyNumberFormat="1" applyFont="1" applyFill="1" applyBorder="1" applyAlignment="1">
      <alignment vertical="center"/>
    </xf>
    <xf numFmtId="3" fontId="30" fillId="19" borderId="19" xfId="0" applyNumberFormat="1" applyFont="1" applyFill="1" applyBorder="1" applyAlignment="1">
      <alignment vertical="center"/>
    </xf>
    <xf numFmtId="3" fontId="14" fillId="19" borderId="52" xfId="0" applyNumberFormat="1" applyFont="1" applyFill="1" applyBorder="1" applyAlignment="1">
      <alignment vertical="center"/>
    </xf>
    <xf numFmtId="3" fontId="32" fillId="0" borderId="0" xfId="0" applyNumberFormat="1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3" fontId="35" fillId="0" borderId="0" xfId="0" applyNumberFormat="1" applyFont="1"/>
    <xf numFmtId="0" fontId="23" fillId="0" borderId="0" xfId="0" applyFont="1"/>
    <xf numFmtId="0" fontId="23" fillId="0" borderId="0" xfId="0" applyFont="1" applyAlignment="1">
      <alignment horizontal="center" vertical="center"/>
    </xf>
    <xf numFmtId="3" fontId="23" fillId="0" borderId="0" xfId="0" applyNumberFormat="1" applyFont="1"/>
    <xf numFmtId="3" fontId="36" fillId="0" borderId="0" xfId="0" applyNumberFormat="1" applyFont="1"/>
    <xf numFmtId="3" fontId="23" fillId="2" borderId="0" xfId="0" applyNumberFormat="1" applyFont="1" applyFill="1"/>
    <xf numFmtId="3" fontId="18" fillId="2" borderId="0" xfId="0" applyNumberFormat="1" applyFont="1" applyFill="1"/>
    <xf numFmtId="3" fontId="0" fillId="0" borderId="0" xfId="0" applyNumberFormat="1" applyFont="1"/>
    <xf numFmtId="3" fontId="26" fillId="20" borderId="34" xfId="0" applyNumberFormat="1" applyFont="1" applyFill="1" applyBorder="1" applyAlignment="1">
      <alignment vertical="center"/>
    </xf>
    <xf numFmtId="3" fontId="37" fillId="0" borderId="0" xfId="0" applyNumberFormat="1" applyFont="1"/>
    <xf numFmtId="0" fontId="4" fillId="21" borderId="13" xfId="1" applyFont="1" applyFill="1" applyBorder="1" applyAlignment="1">
      <alignment horizontal="center" vertical="center" wrapText="1"/>
    </xf>
    <xf numFmtId="0" fontId="4" fillId="21" borderId="3" xfId="1" applyNumberFormat="1" applyFont="1" applyFill="1" applyBorder="1" applyAlignment="1">
      <alignment vertical="center" wrapText="1"/>
    </xf>
    <xf numFmtId="3" fontId="4" fillId="21" borderId="3" xfId="1" applyNumberFormat="1" applyFont="1" applyFill="1" applyBorder="1" applyAlignment="1">
      <alignment vertical="center"/>
    </xf>
    <xf numFmtId="3" fontId="4" fillId="21" borderId="3" xfId="1" applyNumberFormat="1" applyFont="1" applyFill="1" applyBorder="1" applyAlignment="1">
      <alignment horizontal="right" vertical="center" wrapText="1"/>
    </xf>
    <xf numFmtId="3" fontId="4" fillId="21" borderId="14" xfId="1" applyNumberFormat="1" applyFont="1" applyFill="1" applyBorder="1" applyAlignment="1">
      <alignment horizontal="right" vertical="center" wrapText="1"/>
    </xf>
    <xf numFmtId="0" fontId="4" fillId="21" borderId="18" xfId="1" applyFont="1" applyFill="1" applyBorder="1" applyAlignment="1">
      <alignment horizontal="center" vertical="center" wrapText="1"/>
    </xf>
    <xf numFmtId="0" fontId="4" fillId="21" borderId="19" xfId="1" applyNumberFormat="1" applyFont="1" applyFill="1" applyBorder="1" applyAlignment="1">
      <alignment vertical="center" wrapText="1"/>
    </xf>
    <xf numFmtId="3" fontId="4" fillId="21" borderId="19" xfId="1" applyNumberFormat="1" applyFont="1" applyFill="1" applyBorder="1" applyAlignment="1">
      <alignment vertical="center"/>
    </xf>
    <xf numFmtId="3" fontId="4" fillId="21" borderId="19" xfId="1" applyNumberFormat="1" applyFont="1" applyFill="1" applyBorder="1" applyAlignment="1">
      <alignment horizontal="right" vertical="center" wrapText="1"/>
    </xf>
    <xf numFmtId="3" fontId="4" fillId="21" borderId="20" xfId="1" applyNumberFormat="1" applyFont="1" applyFill="1" applyBorder="1" applyAlignment="1">
      <alignment horizontal="right" vertical="center" wrapText="1"/>
    </xf>
    <xf numFmtId="0" fontId="4" fillId="21" borderId="24" xfId="1" applyFont="1" applyFill="1" applyBorder="1" applyAlignment="1">
      <alignment horizontal="center" vertical="center" wrapText="1"/>
    </xf>
    <xf numFmtId="0" fontId="4" fillId="21" borderId="9" xfId="1" applyNumberFormat="1" applyFont="1" applyFill="1" applyBorder="1" applyAlignment="1">
      <alignment vertical="center" wrapText="1"/>
    </xf>
    <xf numFmtId="3" fontId="4" fillId="21" borderId="9" xfId="1" applyNumberFormat="1" applyFont="1" applyFill="1" applyBorder="1" applyAlignment="1">
      <alignment vertical="center"/>
    </xf>
    <xf numFmtId="3" fontId="4" fillId="21" borderId="9" xfId="1" applyNumberFormat="1" applyFont="1" applyFill="1" applyBorder="1" applyAlignment="1">
      <alignment horizontal="right" vertical="center" wrapText="1"/>
    </xf>
    <xf numFmtId="3" fontId="4" fillId="21" borderId="25" xfId="1" applyNumberFormat="1" applyFont="1" applyFill="1" applyBorder="1" applyAlignment="1">
      <alignment horizontal="right" vertical="center" wrapText="1"/>
    </xf>
    <xf numFmtId="0" fontId="4" fillId="3" borderId="22" xfId="1" applyFont="1" applyFill="1" applyBorder="1" applyAlignment="1">
      <alignment horizontal="center" vertical="center" wrapText="1"/>
    </xf>
    <xf numFmtId="0" fontId="7" fillId="3" borderId="22" xfId="1" applyFont="1" applyFill="1" applyBorder="1" applyAlignment="1">
      <alignment horizontal="left" vertical="center" wrapText="1"/>
    </xf>
    <xf numFmtId="0" fontId="10" fillId="3" borderId="22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right" vertical="center" wrapText="1"/>
    </xf>
    <xf numFmtId="3" fontId="10" fillId="3" borderId="22" xfId="1" applyNumberFormat="1" applyFont="1" applyFill="1" applyBorder="1" applyAlignment="1">
      <alignment horizontal="right" vertical="center" wrapText="1"/>
    </xf>
    <xf numFmtId="164" fontId="40" fillId="0" borderId="0" xfId="2" applyNumberFormat="1" applyFont="1" applyFill="1" applyAlignment="1">
      <alignment vertical="center" wrapText="1"/>
    </xf>
    <xf numFmtId="0" fontId="41" fillId="3" borderId="27" xfId="2" applyFont="1" applyFill="1" applyBorder="1" applyAlignment="1" applyProtection="1">
      <alignment horizontal="center" vertical="center" wrapText="1"/>
    </xf>
    <xf numFmtId="0" fontId="41" fillId="3" borderId="3" xfId="2" applyFont="1" applyFill="1" applyBorder="1" applyAlignment="1" applyProtection="1">
      <alignment horizontal="center" vertical="center"/>
    </xf>
    <xf numFmtId="0" fontId="42" fillId="0" borderId="0" xfId="2" applyFont="1" applyFill="1" applyAlignment="1">
      <alignment vertical="center"/>
    </xf>
    <xf numFmtId="0" fontId="41" fillId="3" borderId="59" xfId="2" applyFont="1" applyFill="1" applyBorder="1" applyAlignment="1" applyProtection="1">
      <alignment vertical="center"/>
    </xf>
    <xf numFmtId="0" fontId="41" fillId="3" borderId="9" xfId="2" applyFont="1" applyFill="1" applyBorder="1" applyAlignment="1" applyProtection="1">
      <alignment horizontal="center" vertical="center"/>
    </xf>
    <xf numFmtId="0" fontId="41" fillId="3" borderId="31" xfId="2" applyFont="1" applyFill="1" applyBorder="1" applyAlignment="1" applyProtection="1">
      <alignment vertical="center"/>
    </xf>
    <xf numFmtId="0" fontId="41" fillId="3" borderId="0" xfId="2" applyFont="1" applyFill="1" applyBorder="1" applyAlignment="1" applyProtection="1">
      <alignment vertical="center"/>
    </xf>
    <xf numFmtId="0" fontId="44" fillId="0" borderId="0" xfId="2" applyFont="1" applyFill="1" applyAlignment="1">
      <alignment vertical="center"/>
    </xf>
    <xf numFmtId="0" fontId="41" fillId="3" borderId="34" xfId="2" applyFont="1" applyFill="1" applyBorder="1" applyAlignment="1" applyProtection="1">
      <alignment horizontal="center" vertical="center" wrapText="1"/>
    </xf>
    <xf numFmtId="0" fontId="41" fillId="3" borderId="70" xfId="2" applyFont="1" applyFill="1" applyBorder="1" applyAlignment="1" applyProtection="1">
      <alignment horizontal="center" vertical="center" wrapText="1"/>
    </xf>
    <xf numFmtId="0" fontId="41" fillId="3" borderId="6" xfId="2" applyFont="1" applyFill="1" applyBorder="1" applyAlignment="1" applyProtection="1">
      <alignment horizontal="center" vertical="center" wrapText="1"/>
    </xf>
    <xf numFmtId="0" fontId="41" fillId="3" borderId="7" xfId="2" applyFont="1" applyFill="1" applyBorder="1" applyAlignment="1" applyProtection="1">
      <alignment horizontal="center" vertical="center" wrapText="1"/>
    </xf>
    <xf numFmtId="0" fontId="38" fillId="0" borderId="0" xfId="2" applyFill="1" applyAlignment="1">
      <alignment vertical="center" wrapText="1"/>
    </xf>
    <xf numFmtId="0" fontId="45" fillId="3" borderId="48" xfId="2" applyFont="1" applyFill="1" applyBorder="1" applyAlignment="1" applyProtection="1">
      <alignment horizontal="center" vertical="center" wrapText="1"/>
    </xf>
    <xf numFmtId="0" fontId="45" fillId="3" borderId="49" xfId="2" applyFont="1" applyFill="1" applyBorder="1" applyAlignment="1" applyProtection="1">
      <alignment horizontal="center" vertical="center" wrapText="1"/>
    </xf>
    <xf numFmtId="0" fontId="45" fillId="3" borderId="53" xfId="2" applyFont="1" applyFill="1" applyBorder="1" applyAlignment="1" applyProtection="1">
      <alignment horizontal="center" vertical="center" wrapText="1"/>
    </xf>
    <xf numFmtId="0" fontId="45" fillId="3" borderId="50" xfId="2" applyFont="1" applyFill="1" applyBorder="1" applyAlignment="1" applyProtection="1">
      <alignment horizontal="center" vertical="center" wrapText="1"/>
    </xf>
    <xf numFmtId="0" fontId="42" fillId="0" borderId="0" xfId="2" applyFont="1" applyFill="1" applyAlignment="1">
      <alignment horizontal="center" vertical="center" wrapText="1"/>
    </xf>
    <xf numFmtId="0" fontId="45" fillId="3" borderId="48" xfId="3" applyFont="1" applyFill="1" applyBorder="1" applyAlignment="1" applyProtection="1">
      <alignment horizontal="center" vertical="center" wrapText="1"/>
    </xf>
    <xf numFmtId="0" fontId="45" fillId="3" borderId="49" xfId="3" applyFont="1" applyFill="1" applyBorder="1" applyAlignment="1" applyProtection="1">
      <alignment horizontal="left" vertical="center" wrapText="1" indent="1"/>
    </xf>
    <xf numFmtId="164" fontId="45" fillId="3" borderId="53" xfId="3" applyNumberFormat="1" applyFont="1" applyFill="1" applyBorder="1" applyAlignment="1" applyProtection="1">
      <alignment horizontal="right" vertical="center" wrapText="1" indent="1"/>
    </xf>
    <xf numFmtId="164" fontId="45" fillId="3" borderId="50" xfId="3" applyNumberFormat="1" applyFont="1" applyFill="1" applyBorder="1" applyAlignment="1" applyProtection="1">
      <alignment horizontal="right" vertical="center" wrapText="1" indent="1"/>
    </xf>
    <xf numFmtId="49" fontId="47" fillId="3" borderId="15" xfId="3" applyNumberFormat="1" applyFont="1" applyFill="1" applyBorder="1" applyAlignment="1" applyProtection="1">
      <alignment horizontal="center" vertical="center" wrapText="1"/>
    </xf>
    <xf numFmtId="0" fontId="48" fillId="3" borderId="16" xfId="2" applyFont="1" applyFill="1" applyBorder="1" applyAlignment="1" applyProtection="1">
      <alignment horizontal="left" wrapText="1" indent="1"/>
    </xf>
    <xf numFmtId="164" fontId="49" fillId="3" borderId="71" xfId="3" applyNumberFormat="1" applyFont="1" applyFill="1" applyBorder="1" applyAlignment="1" applyProtection="1">
      <alignment horizontal="right" vertical="center" wrapText="1" indent="1"/>
      <protection locked="0"/>
    </xf>
    <xf numFmtId="164" fontId="49" fillId="3" borderId="17" xfId="3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0" xfId="2" applyFont="1" applyFill="1" applyAlignment="1">
      <alignment vertical="center" wrapText="1"/>
    </xf>
    <xf numFmtId="49" fontId="47" fillId="3" borderId="18" xfId="3" applyNumberFormat="1" applyFont="1" applyFill="1" applyBorder="1" applyAlignment="1" applyProtection="1">
      <alignment horizontal="center" vertical="center" wrapText="1"/>
    </xf>
    <xf numFmtId="0" fontId="48" fillId="3" borderId="19" xfId="2" applyFont="1" applyFill="1" applyBorder="1" applyAlignment="1" applyProtection="1">
      <alignment horizontal="left" wrapText="1" indent="1"/>
    </xf>
    <xf numFmtId="164" fontId="49" fillId="3" borderId="20" xfId="3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0" xfId="2" applyFont="1" applyFill="1" applyAlignment="1">
      <alignment vertical="center" wrapText="1"/>
    </xf>
    <xf numFmtId="49" fontId="47" fillId="3" borderId="21" xfId="3" applyNumberFormat="1" applyFont="1" applyFill="1" applyBorder="1" applyAlignment="1" applyProtection="1">
      <alignment horizontal="center" vertical="center" wrapText="1"/>
    </xf>
    <xf numFmtId="0" fontId="48" fillId="3" borderId="22" xfId="2" applyFont="1" applyFill="1" applyBorder="1" applyAlignment="1" applyProtection="1">
      <alignment horizontal="left" wrapText="1" indent="1"/>
    </xf>
    <xf numFmtId="0" fontId="52" fillId="3" borderId="49" xfId="2" applyFont="1" applyFill="1" applyBorder="1" applyAlignment="1" applyProtection="1">
      <alignment horizontal="left" vertical="center" wrapText="1" indent="1"/>
    </xf>
    <xf numFmtId="164" fontId="47" fillId="3" borderId="17" xfId="3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20" xfId="3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23" xfId="3" applyNumberFormat="1" applyFont="1" applyFill="1" applyBorder="1" applyAlignment="1" applyProtection="1">
      <alignment horizontal="right" vertical="center" wrapText="1" indent="1"/>
      <protection locked="0"/>
    </xf>
    <xf numFmtId="164" fontId="53" fillId="3" borderId="53" xfId="3" applyNumberFormat="1" applyFont="1" applyFill="1" applyBorder="1" applyAlignment="1" applyProtection="1">
      <alignment horizontal="right" vertical="center" wrapText="1" indent="1"/>
    </xf>
    <xf numFmtId="164" fontId="53" fillId="3" borderId="50" xfId="3" applyNumberFormat="1" applyFont="1" applyFill="1" applyBorder="1" applyAlignment="1" applyProtection="1">
      <alignment horizontal="right" vertical="center" wrapText="1" indent="1"/>
    </xf>
    <xf numFmtId="164" fontId="49" fillId="3" borderId="71" xfId="3" applyNumberFormat="1" applyFont="1" applyFill="1" applyBorder="1" applyAlignment="1" applyProtection="1">
      <alignment horizontal="right" vertical="center" wrapText="1" indent="1"/>
    </xf>
    <xf numFmtId="164" fontId="49" fillId="3" borderId="17" xfId="3" applyNumberFormat="1" applyFont="1" applyFill="1" applyBorder="1" applyAlignment="1" applyProtection="1">
      <alignment horizontal="right" vertical="center" wrapText="1" indent="1"/>
    </xf>
    <xf numFmtId="49" fontId="48" fillId="3" borderId="19" xfId="2" applyNumberFormat="1" applyFont="1" applyFill="1" applyBorder="1" applyAlignment="1" applyProtection="1">
      <alignment horizontal="left" wrapText="1" indent="1"/>
    </xf>
    <xf numFmtId="164" fontId="49" fillId="3" borderId="23" xfId="3" applyNumberFormat="1" applyFont="1" applyFill="1" applyBorder="1" applyAlignment="1" applyProtection="1">
      <alignment horizontal="right" vertical="center" wrapText="1" indent="1"/>
      <protection locked="0"/>
    </xf>
    <xf numFmtId="164" fontId="54" fillId="3" borderId="20" xfId="3" applyNumberFormat="1" applyFont="1" applyFill="1" applyBorder="1" applyAlignment="1" applyProtection="1">
      <alignment horizontal="right" vertical="center" wrapText="1" indent="1"/>
      <protection locked="0"/>
    </xf>
    <xf numFmtId="164" fontId="54" fillId="3" borderId="23" xfId="3" applyNumberFormat="1" applyFont="1" applyFill="1" applyBorder="1" applyAlignment="1" applyProtection="1">
      <alignment horizontal="right" vertical="center" wrapText="1" indent="1"/>
      <protection locked="0"/>
    </xf>
    <xf numFmtId="164" fontId="54" fillId="3" borderId="17" xfId="3" applyNumberFormat="1" applyFont="1" applyFill="1" applyBorder="1" applyAlignment="1" applyProtection="1">
      <alignment horizontal="right" vertical="center" wrapText="1" indent="1"/>
      <protection locked="0"/>
    </xf>
    <xf numFmtId="164" fontId="41" fillId="3" borderId="50" xfId="3" applyNumberFormat="1" applyFont="1" applyFill="1" applyBorder="1" applyAlignment="1" applyProtection="1">
      <alignment horizontal="right" vertical="center" wrapText="1" indent="1"/>
    </xf>
    <xf numFmtId="0" fontId="52" fillId="3" borderId="48" xfId="2" applyFont="1" applyFill="1" applyBorder="1" applyAlignment="1" applyProtection="1">
      <alignment horizontal="center" wrapText="1"/>
    </xf>
    <xf numFmtId="0" fontId="48" fillId="3" borderId="22" xfId="2" applyFont="1" applyFill="1" applyBorder="1" applyAlignment="1" applyProtection="1">
      <alignment wrapText="1"/>
    </xf>
    <xf numFmtId="49" fontId="47" fillId="3" borderId="24" xfId="3" applyNumberFormat="1" applyFont="1" applyFill="1" applyBorder="1" applyAlignment="1" applyProtection="1">
      <alignment horizontal="center" vertical="center" wrapText="1"/>
    </xf>
    <xf numFmtId="0" fontId="48" fillId="3" borderId="9" xfId="2" applyFont="1" applyFill="1" applyBorder="1" applyAlignment="1" applyProtection="1">
      <alignment horizontal="left" wrapText="1" indent="1"/>
    </xf>
    <xf numFmtId="164" fontId="54" fillId="3" borderId="25" xfId="3" applyNumberFormat="1" applyFont="1" applyFill="1" applyBorder="1" applyAlignment="1" applyProtection="1">
      <alignment horizontal="right" vertical="center" wrapText="1" indent="1"/>
      <protection locked="0"/>
    </xf>
    <xf numFmtId="0" fontId="48" fillId="3" borderId="15" xfId="2" applyFont="1" applyFill="1" applyBorder="1" applyAlignment="1" applyProtection="1">
      <alignment horizontal="center" wrapText="1"/>
    </xf>
    <xf numFmtId="0" fontId="48" fillId="3" borderId="18" xfId="2" applyFont="1" applyFill="1" applyBorder="1" applyAlignment="1" applyProtection="1">
      <alignment horizontal="center" wrapText="1"/>
    </xf>
    <xf numFmtId="0" fontId="48" fillId="3" borderId="21" xfId="2" applyFont="1" applyFill="1" applyBorder="1" applyAlignment="1" applyProtection="1">
      <alignment horizontal="center" wrapText="1"/>
    </xf>
    <xf numFmtId="164" fontId="45" fillId="3" borderId="53" xfId="3" applyNumberFormat="1" applyFont="1" applyFill="1" applyBorder="1" applyAlignment="1" applyProtection="1">
      <alignment horizontal="right" vertical="center" wrapText="1" indent="1"/>
      <protection locked="0"/>
    </xf>
    <xf numFmtId="164" fontId="45" fillId="3" borderId="50" xfId="3" applyNumberFormat="1" applyFont="1" applyFill="1" applyBorder="1" applyAlignment="1" applyProtection="1">
      <alignment horizontal="right" vertical="center" wrapText="1" indent="1"/>
      <protection locked="0"/>
    </xf>
    <xf numFmtId="0" fontId="52" fillId="3" borderId="49" xfId="2" applyFont="1" applyFill="1" applyBorder="1" applyAlignment="1" applyProtection="1">
      <alignment wrapText="1"/>
    </xf>
    <xf numFmtId="0" fontId="52" fillId="3" borderId="8" xfId="2" applyFont="1" applyFill="1" applyBorder="1" applyAlignment="1" applyProtection="1">
      <alignment horizontal="center" wrapText="1"/>
    </xf>
    <xf numFmtId="0" fontId="52" fillId="3" borderId="10" xfId="2" applyFont="1" applyFill="1" applyBorder="1" applyAlignment="1" applyProtection="1">
      <alignment wrapText="1"/>
    </xf>
    <xf numFmtId="0" fontId="47" fillId="3" borderId="0" xfId="2" applyFont="1" applyFill="1" applyBorder="1" applyAlignment="1" applyProtection="1">
      <alignment horizontal="center" vertical="center" wrapText="1"/>
    </xf>
    <xf numFmtId="0" fontId="41" fillId="3" borderId="0" xfId="2" applyFont="1" applyFill="1" applyBorder="1" applyAlignment="1" applyProtection="1">
      <alignment horizontal="left" vertical="center" wrapText="1" indent="1"/>
    </xf>
    <xf numFmtId="164" fontId="45" fillId="3" borderId="0" xfId="2" applyNumberFormat="1" applyFont="1" applyFill="1" applyBorder="1" applyAlignment="1" applyProtection="1">
      <alignment horizontal="right" vertical="center" wrapText="1" indent="1"/>
    </xf>
    <xf numFmtId="0" fontId="47" fillId="3" borderId="0" xfId="2" applyFont="1" applyFill="1" applyAlignment="1" applyProtection="1">
      <alignment horizontal="center" vertical="center" wrapText="1"/>
    </xf>
    <xf numFmtId="0" fontId="47" fillId="3" borderId="0" xfId="2" applyFont="1" applyFill="1" applyAlignment="1" applyProtection="1">
      <alignment vertical="center" wrapText="1"/>
    </xf>
    <xf numFmtId="0" fontId="47" fillId="3" borderId="0" xfId="2" applyFont="1" applyFill="1" applyAlignment="1" applyProtection="1">
      <alignment horizontal="right" vertical="center" wrapText="1" indent="1"/>
    </xf>
    <xf numFmtId="0" fontId="45" fillId="3" borderId="2" xfId="3" applyFont="1" applyFill="1" applyBorder="1" applyAlignment="1" applyProtection="1">
      <alignment horizontal="center" vertical="center" wrapText="1"/>
    </xf>
    <xf numFmtId="0" fontId="45" fillId="3" borderId="70" xfId="3" applyFont="1" applyFill="1" applyBorder="1" applyAlignment="1" applyProtection="1">
      <alignment vertical="center" wrapText="1"/>
    </xf>
    <xf numFmtId="164" fontId="45" fillId="3" borderId="6" xfId="3" applyNumberFormat="1" applyFont="1" applyFill="1" applyBorder="1" applyAlignment="1" applyProtection="1">
      <alignment horizontal="right" vertical="center" wrapText="1" indent="1"/>
    </xf>
    <xf numFmtId="164" fontId="45" fillId="3" borderId="7" xfId="3" applyNumberFormat="1" applyFont="1" applyFill="1" applyBorder="1" applyAlignment="1" applyProtection="1">
      <alignment horizontal="right" vertical="center" wrapText="1" indent="1"/>
    </xf>
    <xf numFmtId="0" fontId="55" fillId="0" borderId="0" xfId="2" applyFont="1" applyFill="1" applyAlignment="1">
      <alignment vertical="center" wrapText="1"/>
    </xf>
    <xf numFmtId="49" fontId="47" fillId="3" borderId="13" xfId="3" applyNumberFormat="1" applyFont="1" applyFill="1" applyBorder="1" applyAlignment="1" applyProtection="1">
      <alignment horizontal="center" vertical="center" wrapText="1"/>
    </xf>
    <xf numFmtId="0" fontId="47" fillId="3" borderId="3" xfId="3" applyFont="1" applyFill="1" applyBorder="1" applyAlignment="1" applyProtection="1">
      <alignment horizontal="left" vertical="center" wrapText="1" indent="1"/>
    </xf>
    <xf numFmtId="164" fontId="47" fillId="3" borderId="3" xfId="3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14" xfId="3" applyNumberFormat="1" applyFont="1" applyFill="1" applyBorder="1" applyAlignment="1" applyProtection="1">
      <alignment horizontal="right" vertical="center" wrapText="1" indent="1"/>
      <protection locked="0"/>
    </xf>
    <xf numFmtId="0" fontId="47" fillId="3" borderId="19" xfId="3" applyFont="1" applyFill="1" applyBorder="1" applyAlignment="1" applyProtection="1">
      <alignment horizontal="left" vertical="center" wrapText="1" indent="1"/>
    </xf>
    <xf numFmtId="164" fontId="47" fillId="3" borderId="19" xfId="3" applyNumberFormat="1" applyFont="1" applyFill="1" applyBorder="1" applyAlignment="1" applyProtection="1">
      <alignment horizontal="right" vertical="center" wrapText="1" indent="1"/>
      <protection locked="0"/>
    </xf>
    <xf numFmtId="0" fontId="47" fillId="3" borderId="62" xfId="3" applyFont="1" applyFill="1" applyBorder="1" applyAlignment="1" applyProtection="1">
      <alignment horizontal="left" vertical="center" wrapText="1" indent="1"/>
    </xf>
    <xf numFmtId="0" fontId="47" fillId="3" borderId="0" xfId="3" applyFont="1" applyFill="1" applyBorder="1" applyAlignment="1" applyProtection="1">
      <alignment horizontal="left" vertical="center" wrapText="1" indent="1"/>
    </xf>
    <xf numFmtId="0" fontId="47" fillId="3" borderId="19" xfId="3" applyFont="1" applyFill="1" applyBorder="1" applyAlignment="1" applyProtection="1">
      <alignment horizontal="left" indent="6"/>
    </xf>
    <xf numFmtId="0" fontId="47" fillId="3" borderId="19" xfId="3" applyFont="1" applyFill="1" applyBorder="1" applyAlignment="1" applyProtection="1">
      <alignment horizontal="left" vertical="center" wrapText="1" indent="6"/>
    </xf>
    <xf numFmtId="49" fontId="47" fillId="3" borderId="51" xfId="3" applyNumberFormat="1" applyFont="1" applyFill="1" applyBorder="1" applyAlignment="1" applyProtection="1">
      <alignment horizontal="center" vertical="center" wrapText="1"/>
    </xf>
    <xf numFmtId="0" fontId="47" fillId="3" borderId="22" xfId="3" applyFont="1" applyFill="1" applyBorder="1" applyAlignment="1" applyProtection="1">
      <alignment horizontal="left" vertical="center" wrapText="1" indent="6"/>
    </xf>
    <xf numFmtId="0" fontId="47" fillId="3" borderId="9" xfId="3" applyFont="1" applyFill="1" applyBorder="1" applyAlignment="1" applyProtection="1">
      <alignment horizontal="left" vertical="center" wrapText="1" indent="6"/>
    </xf>
    <xf numFmtId="164" fontId="47" fillId="3" borderId="9" xfId="3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25" xfId="3" applyNumberFormat="1" applyFont="1" applyFill="1" applyBorder="1" applyAlignment="1" applyProtection="1">
      <alignment horizontal="right" vertical="center" wrapText="1" indent="1"/>
      <protection locked="0"/>
    </xf>
    <xf numFmtId="0" fontId="45" fillId="3" borderId="49" xfId="3" applyFont="1" applyFill="1" applyBorder="1" applyAlignment="1" applyProtection="1">
      <alignment vertical="center" wrapText="1"/>
    </xf>
    <xf numFmtId="0" fontId="47" fillId="3" borderId="22" xfId="3" applyFont="1" applyFill="1" applyBorder="1" applyAlignment="1" applyProtection="1">
      <alignment horizontal="left" vertical="center" wrapText="1" indent="1"/>
    </xf>
    <xf numFmtId="0" fontId="48" fillId="3" borderId="22" xfId="2" applyFont="1" applyFill="1" applyBorder="1" applyAlignment="1" applyProtection="1">
      <alignment horizontal="left" vertical="center" wrapText="1" indent="1"/>
    </xf>
    <xf numFmtId="0" fontId="48" fillId="3" borderId="19" xfId="2" applyFont="1" applyFill="1" applyBorder="1" applyAlignment="1" applyProtection="1">
      <alignment horizontal="left" vertical="center" wrapText="1" indent="1"/>
    </xf>
    <xf numFmtId="0" fontId="47" fillId="3" borderId="16" xfId="3" applyFont="1" applyFill="1" applyBorder="1" applyAlignment="1" applyProtection="1">
      <alignment horizontal="left" vertical="center" wrapText="1" indent="6"/>
    </xf>
    <xf numFmtId="0" fontId="53" fillId="3" borderId="49" xfId="3" applyFont="1" applyFill="1" applyBorder="1" applyAlignment="1" applyProtection="1">
      <alignment horizontal="left" vertical="center" wrapText="1" indent="1"/>
    </xf>
    <xf numFmtId="0" fontId="47" fillId="3" borderId="16" xfId="3" applyFont="1" applyFill="1" applyBorder="1" applyAlignment="1" applyProtection="1">
      <alignment horizontal="left" vertical="center" wrapText="1" indent="1"/>
    </xf>
    <xf numFmtId="164" fontId="47" fillId="3" borderId="22" xfId="3" applyNumberFormat="1" applyFont="1" applyFill="1" applyBorder="1" applyAlignment="1" applyProtection="1">
      <alignment horizontal="right" vertical="center" wrapText="1" indent="1"/>
      <protection locked="0"/>
    </xf>
    <xf numFmtId="0" fontId="47" fillId="3" borderId="52" xfId="3" applyFont="1" applyFill="1" applyBorder="1" applyAlignment="1" applyProtection="1">
      <alignment horizontal="left" vertical="center" wrapText="1" indent="1"/>
    </xf>
    <xf numFmtId="16" fontId="38" fillId="0" borderId="0" xfId="2" applyNumberFormat="1" applyFill="1" applyAlignment="1">
      <alignment vertical="center" wrapText="1"/>
    </xf>
    <xf numFmtId="164" fontId="47" fillId="22" borderId="56" xfId="3" applyNumberFormat="1" applyFont="1" applyFill="1" applyBorder="1" applyAlignment="1" applyProtection="1">
      <alignment horizontal="right" vertical="center" wrapText="1" indent="1"/>
      <protection locked="0"/>
    </xf>
    <xf numFmtId="164" fontId="52" fillId="3" borderId="53" xfId="2" applyNumberFormat="1" applyFont="1" applyFill="1" applyBorder="1" applyAlignment="1" applyProtection="1">
      <alignment horizontal="right" vertical="center" wrapText="1" indent="1"/>
    </xf>
    <xf numFmtId="164" fontId="52" fillId="3" borderId="50" xfId="2" applyNumberFormat="1" applyFont="1" applyFill="1" applyBorder="1" applyAlignment="1" applyProtection="1">
      <alignment horizontal="right" vertical="center" wrapText="1" indent="1"/>
    </xf>
    <xf numFmtId="164" fontId="56" fillId="3" borderId="53" xfId="2" quotePrefix="1" applyNumberFormat="1" applyFont="1" applyFill="1" applyBorder="1" applyAlignment="1" applyProtection="1">
      <alignment horizontal="right" vertical="center" wrapText="1" indent="1"/>
    </xf>
    <xf numFmtId="164" fontId="56" fillId="3" borderId="50" xfId="2" quotePrefix="1" applyNumberFormat="1" applyFont="1" applyFill="1" applyBorder="1" applyAlignment="1" applyProtection="1">
      <alignment horizontal="right" vertical="center" wrapText="1" indent="1"/>
    </xf>
    <xf numFmtId="0" fontId="52" fillId="3" borderId="8" xfId="2" applyFont="1" applyFill="1" applyBorder="1" applyAlignment="1" applyProtection="1">
      <alignment horizontal="center" vertical="center" wrapText="1"/>
    </xf>
    <xf numFmtId="0" fontId="56" fillId="3" borderId="10" xfId="2" applyFont="1" applyFill="1" applyBorder="1" applyAlignment="1" applyProtection="1">
      <alignment horizontal="left" vertical="center" wrapText="1" indent="1"/>
    </xf>
    <xf numFmtId="0" fontId="46" fillId="3" borderId="0" xfId="3" applyFill="1" applyProtection="1"/>
    <xf numFmtId="0" fontId="46" fillId="0" borderId="0" xfId="3" applyFill="1" applyProtection="1"/>
    <xf numFmtId="0" fontId="41" fillId="3" borderId="48" xfId="3" applyFont="1" applyFill="1" applyBorder="1" applyAlignment="1" applyProtection="1">
      <alignment horizontal="center" vertical="center" wrapText="1"/>
    </xf>
    <xf numFmtId="0" fontId="41" fillId="3" borderId="49" xfId="3" applyFont="1" applyFill="1" applyBorder="1" applyAlignment="1" applyProtection="1">
      <alignment vertical="center" wrapText="1"/>
    </xf>
    <xf numFmtId="164" fontId="41" fillId="3" borderId="53" xfId="3" applyNumberFormat="1" applyFont="1" applyFill="1" applyBorder="1" applyAlignment="1" applyProtection="1">
      <alignment horizontal="right" vertical="center" wrapText="1" indent="1"/>
    </xf>
    <xf numFmtId="164" fontId="41" fillId="3" borderId="0" xfId="3" applyNumberFormat="1" applyFont="1" applyFill="1" applyBorder="1" applyAlignment="1" applyProtection="1">
      <alignment horizontal="right" vertical="center" wrapText="1" indent="1"/>
    </xf>
    <xf numFmtId="0" fontId="38" fillId="3" borderId="0" xfId="2" applyFont="1" applyFill="1" applyAlignment="1" applyProtection="1">
      <alignment horizontal="left" vertical="center" wrapText="1"/>
    </xf>
    <xf numFmtId="0" fontId="38" fillId="3" borderId="0" xfId="2" applyFont="1" applyFill="1" applyAlignment="1" applyProtection="1">
      <alignment vertical="center" wrapText="1"/>
    </xf>
    <xf numFmtId="0" fontId="38" fillId="3" borderId="0" xfId="2" applyFont="1" applyFill="1" applyAlignment="1" applyProtection="1">
      <alignment horizontal="right" vertical="center" wrapText="1" indent="1"/>
    </xf>
    <xf numFmtId="3" fontId="46" fillId="0" borderId="0" xfId="2" applyNumberFormat="1" applyFont="1" applyFill="1" applyAlignment="1">
      <alignment vertical="center" wrapText="1"/>
    </xf>
    <xf numFmtId="3" fontId="40" fillId="0" borderId="0" xfId="2" applyNumberFormat="1" applyFont="1" applyFill="1" applyAlignment="1">
      <alignment vertical="center" wrapText="1"/>
    </xf>
    <xf numFmtId="3" fontId="60" fillId="0" borderId="0" xfId="2" applyNumberFormat="1" applyFont="1" applyFill="1" applyAlignment="1">
      <alignment vertical="center"/>
    </xf>
    <xf numFmtId="3" fontId="42" fillId="0" borderId="0" xfId="2" applyNumberFormat="1" applyFont="1" applyFill="1" applyAlignment="1">
      <alignment vertical="center"/>
    </xf>
    <xf numFmtId="3" fontId="61" fillId="0" borderId="0" xfId="2" applyNumberFormat="1" applyFont="1" applyFill="1" applyAlignment="1">
      <alignment vertical="center"/>
    </xf>
    <xf numFmtId="3" fontId="44" fillId="0" borderId="0" xfId="2" applyNumberFormat="1" applyFont="1" applyFill="1" applyAlignment="1">
      <alignment vertical="center"/>
    </xf>
    <xf numFmtId="3" fontId="38" fillId="0" borderId="0" xfId="2" applyNumberFormat="1" applyFont="1" applyFill="1" applyAlignment="1">
      <alignment vertical="center" wrapText="1"/>
    </xf>
    <xf numFmtId="3" fontId="38" fillId="0" borderId="0" xfId="2" applyNumberFormat="1" applyFill="1" applyAlignment="1">
      <alignment vertical="center" wrapText="1"/>
    </xf>
    <xf numFmtId="3" fontId="60" fillId="0" borderId="0" xfId="2" applyNumberFormat="1" applyFont="1" applyFill="1" applyAlignment="1">
      <alignment horizontal="center" vertical="center" wrapText="1"/>
    </xf>
    <xf numFmtId="3" fontId="42" fillId="0" borderId="0" xfId="2" applyNumberFormat="1" applyFont="1" applyFill="1" applyAlignment="1">
      <alignment horizontal="center" vertical="center" wrapText="1"/>
    </xf>
    <xf numFmtId="49" fontId="60" fillId="0" borderId="0" xfId="2" applyNumberFormat="1" applyFont="1" applyFill="1" applyAlignment="1">
      <alignment horizontal="center" vertical="center" wrapText="1"/>
    </xf>
    <xf numFmtId="49" fontId="42" fillId="0" borderId="0" xfId="2" applyNumberFormat="1" applyFont="1" applyFill="1" applyAlignment="1">
      <alignment horizontal="center" vertical="center" wrapText="1"/>
    </xf>
    <xf numFmtId="3" fontId="61" fillId="0" borderId="0" xfId="2" applyNumberFormat="1" applyFont="1" applyFill="1" applyAlignment="1">
      <alignment horizontal="center" vertical="center" wrapText="1"/>
    </xf>
    <xf numFmtId="3" fontId="62" fillId="0" borderId="0" xfId="2" applyNumberFormat="1" applyFont="1" applyFill="1" applyAlignment="1">
      <alignment vertical="center" wrapText="1"/>
    </xf>
    <xf numFmtId="164" fontId="47" fillId="3" borderId="71" xfId="3" applyNumberFormat="1" applyFont="1" applyFill="1" applyBorder="1" applyAlignment="1" applyProtection="1">
      <alignment horizontal="right" vertical="center" wrapText="1" indent="1"/>
      <protection locked="0"/>
    </xf>
    <xf numFmtId="164" fontId="49" fillId="3" borderId="54" xfId="3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54" xfId="3" applyNumberFormat="1" applyFont="1" applyFill="1" applyBorder="1" applyAlignment="1" applyProtection="1">
      <alignment horizontal="right" vertical="center" wrapText="1" indent="1"/>
      <protection locked="0"/>
    </xf>
    <xf numFmtId="164" fontId="54" fillId="3" borderId="71" xfId="3" applyNumberFormat="1" applyFont="1" applyFill="1" applyBorder="1" applyAlignment="1" applyProtection="1">
      <alignment horizontal="right" vertical="center" wrapText="1" indent="1"/>
      <protection locked="0"/>
    </xf>
    <xf numFmtId="164" fontId="54" fillId="3" borderId="54" xfId="3" applyNumberFormat="1" applyFont="1" applyFill="1" applyBorder="1" applyAlignment="1" applyProtection="1">
      <alignment horizontal="right" vertical="center" wrapText="1" indent="1"/>
      <protection locked="0"/>
    </xf>
    <xf numFmtId="3" fontId="63" fillId="0" borderId="0" xfId="2" applyNumberFormat="1" applyFont="1" applyFill="1" applyAlignment="1">
      <alignment vertical="center" wrapText="1"/>
    </xf>
    <xf numFmtId="3" fontId="64" fillId="0" borderId="0" xfId="2" applyNumberFormat="1" applyFont="1" applyFill="1" applyAlignment="1">
      <alignment vertical="center" wrapText="1"/>
    </xf>
    <xf numFmtId="3" fontId="51" fillId="0" borderId="0" xfId="2" applyNumberFormat="1" applyFont="1" applyFill="1" applyAlignment="1">
      <alignment vertical="center" wrapText="1"/>
    </xf>
    <xf numFmtId="164" fontId="47" fillId="3" borderId="73" xfId="3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74" xfId="3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56" xfId="3" applyNumberFormat="1" applyFont="1" applyFill="1" applyBorder="1" applyAlignment="1" applyProtection="1">
      <alignment horizontal="right" vertical="center" wrapText="1" indent="1"/>
      <protection locked="0"/>
    </xf>
    <xf numFmtId="3" fontId="61" fillId="0" borderId="0" xfId="2" applyNumberFormat="1" applyFont="1" applyFill="1" applyAlignment="1">
      <alignment vertical="center" wrapText="1"/>
    </xf>
    <xf numFmtId="0" fontId="61" fillId="0" borderId="0" xfId="2" applyFont="1" applyFill="1" applyAlignment="1">
      <alignment vertical="center" wrapText="1"/>
    </xf>
    <xf numFmtId="0" fontId="44" fillId="3" borderId="48" xfId="2" applyFont="1" applyFill="1" applyBorder="1" applyAlignment="1" applyProtection="1">
      <alignment horizontal="left" vertical="center"/>
    </xf>
    <xf numFmtId="0" fontId="44" fillId="3" borderId="64" xfId="2" applyFont="1" applyFill="1" applyBorder="1" applyAlignment="1" applyProtection="1">
      <alignment vertical="center" wrapText="1"/>
    </xf>
    <xf numFmtId="3" fontId="44" fillId="3" borderId="53" xfId="2" applyNumberFormat="1" applyFont="1" applyFill="1" applyBorder="1" applyAlignment="1" applyProtection="1">
      <alignment horizontal="right" vertical="center" wrapText="1" indent="1"/>
      <protection locked="0"/>
    </xf>
    <xf numFmtId="3" fontId="44" fillId="3" borderId="50" xfId="2" applyNumberFormat="1" applyFont="1" applyFill="1" applyBorder="1" applyAlignment="1" applyProtection="1">
      <alignment horizontal="right" vertical="center" wrapText="1" indent="1"/>
      <protection locked="0"/>
    </xf>
    <xf numFmtId="0" fontId="65" fillId="3" borderId="0" xfId="3" applyFont="1" applyFill="1" applyProtection="1"/>
    <xf numFmtId="164" fontId="38" fillId="0" borderId="0" xfId="2" applyNumberFormat="1" applyFont="1" applyFill="1" applyAlignment="1" applyProtection="1">
      <alignment vertical="center" wrapText="1"/>
    </xf>
    <xf numFmtId="164" fontId="40" fillId="0" borderId="0" xfId="2" applyNumberFormat="1" applyFont="1" applyFill="1" applyAlignment="1" applyProtection="1">
      <alignment vertical="center" wrapText="1"/>
    </xf>
    <xf numFmtId="0" fontId="45" fillId="3" borderId="27" xfId="2" applyFont="1" applyFill="1" applyBorder="1" applyAlignment="1" applyProtection="1">
      <alignment horizontal="center" vertical="center" wrapText="1"/>
    </xf>
    <xf numFmtId="0" fontId="61" fillId="0" borderId="0" xfId="2" applyFont="1" applyFill="1" applyAlignment="1" applyProtection="1">
      <alignment vertical="center"/>
    </xf>
    <xf numFmtId="0" fontId="42" fillId="0" borderId="0" xfId="2" applyFont="1" applyFill="1" applyAlignment="1" applyProtection="1">
      <alignment vertical="center"/>
    </xf>
    <xf numFmtId="0" fontId="41" fillId="3" borderId="59" xfId="2" applyFont="1" applyFill="1" applyBorder="1" applyAlignment="1" applyProtection="1">
      <alignment horizontal="center" vertical="center" wrapText="1"/>
    </xf>
    <xf numFmtId="0" fontId="44" fillId="0" borderId="0" xfId="2" applyFont="1" applyFill="1" applyAlignment="1" applyProtection="1">
      <alignment vertical="center"/>
    </xf>
    <xf numFmtId="49" fontId="38" fillId="0" borderId="0" xfId="2" applyNumberFormat="1" applyFill="1" applyAlignment="1" applyProtection="1">
      <alignment vertical="center" wrapText="1"/>
    </xf>
    <xf numFmtId="0" fontId="38" fillId="0" borderId="0" xfId="2" applyFill="1" applyAlignment="1" applyProtection="1">
      <alignment vertical="center" wrapText="1"/>
    </xf>
    <xf numFmtId="0" fontId="61" fillId="0" borderId="0" xfId="2" applyFont="1" applyFill="1" applyAlignment="1" applyProtection="1">
      <alignment horizontal="center" vertical="center" wrapText="1"/>
    </xf>
    <xf numFmtId="0" fontId="42" fillId="0" borderId="0" xfId="2" applyFont="1" applyFill="1" applyAlignment="1" applyProtection="1">
      <alignment horizontal="center" vertical="center" wrapText="1"/>
    </xf>
    <xf numFmtId="0" fontId="53" fillId="3" borderId="49" xfId="2" applyFont="1" applyFill="1" applyBorder="1" applyAlignment="1" applyProtection="1">
      <alignment horizontal="left" vertical="center" wrapText="1" indent="1"/>
    </xf>
    <xf numFmtId="164" fontId="53" fillId="3" borderId="50" xfId="2" applyNumberFormat="1" applyFont="1" applyFill="1" applyBorder="1" applyAlignment="1" applyProtection="1">
      <alignment horizontal="right" vertical="center" wrapText="1" indent="1"/>
    </xf>
    <xf numFmtId="0" fontId="62" fillId="0" borderId="0" xfId="2" applyFont="1" applyFill="1" applyAlignment="1" applyProtection="1">
      <alignment vertical="center" wrapText="1"/>
    </xf>
    <xf numFmtId="0" fontId="50" fillId="0" borderId="0" xfId="2" applyFont="1" applyFill="1" applyAlignment="1" applyProtection="1">
      <alignment vertical="center" wrapText="1"/>
    </xf>
    <xf numFmtId="49" fontId="54" fillId="3" borderId="13" xfId="2" applyNumberFormat="1" applyFont="1" applyFill="1" applyBorder="1" applyAlignment="1" applyProtection="1">
      <alignment horizontal="center" vertical="center" wrapText="1"/>
    </xf>
    <xf numFmtId="164" fontId="54" fillId="3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0" xfId="2" applyNumberFormat="1" applyFont="1" applyFill="1" applyAlignment="1" applyProtection="1">
      <alignment vertical="center" wrapText="1"/>
    </xf>
    <xf numFmtId="49" fontId="54" fillId="3" borderId="18" xfId="2" applyNumberFormat="1" applyFont="1" applyFill="1" applyBorder="1" applyAlignment="1" applyProtection="1">
      <alignment horizontal="center" vertical="center" wrapText="1"/>
    </xf>
    <xf numFmtId="164" fontId="47" fillId="3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58" xfId="2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0" xfId="2" applyFont="1" applyFill="1" applyAlignment="1" applyProtection="1">
      <alignment vertical="center" wrapText="1"/>
    </xf>
    <xf numFmtId="164" fontId="47" fillId="3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53" fillId="3" borderId="48" xfId="2" applyFont="1" applyFill="1" applyBorder="1" applyAlignment="1" applyProtection="1">
      <alignment horizontal="center" vertical="center" wrapText="1"/>
    </xf>
    <xf numFmtId="164" fontId="53" fillId="3" borderId="50" xfId="2" applyNumberFormat="1" applyFont="1" applyFill="1" applyBorder="1" applyAlignment="1" applyProtection="1">
      <alignment horizontal="right" vertical="center" wrapText="1" indent="1"/>
      <protection locked="0"/>
    </xf>
    <xf numFmtId="49" fontId="54" fillId="3" borderId="15" xfId="2" applyNumberFormat="1" applyFont="1" applyFill="1" applyBorder="1" applyAlignment="1" applyProtection="1">
      <alignment horizontal="center" vertical="center" wrapText="1"/>
    </xf>
    <xf numFmtId="0" fontId="54" fillId="3" borderId="16" xfId="3" applyFont="1" applyFill="1" applyBorder="1" applyAlignment="1" applyProtection="1">
      <alignment horizontal="left" vertical="center" wrapText="1" indent="1"/>
    </xf>
    <xf numFmtId="0" fontId="54" fillId="3" borderId="19" xfId="3" applyFont="1" applyFill="1" applyBorder="1" applyAlignment="1" applyProtection="1">
      <alignment horizontal="left" vertical="center" wrapText="1" indent="1"/>
    </xf>
    <xf numFmtId="164" fontId="54" fillId="3" borderId="58" xfId="2" applyNumberFormat="1" applyFont="1" applyFill="1" applyBorder="1" applyAlignment="1" applyProtection="1">
      <alignment horizontal="right" vertical="center" wrapText="1" indent="1"/>
      <protection locked="0"/>
    </xf>
    <xf numFmtId="0" fontId="54" fillId="3" borderId="10" xfId="3" quotePrefix="1" applyFont="1" applyFill="1" applyBorder="1" applyAlignment="1" applyProtection="1">
      <alignment horizontal="left" vertical="center" wrapText="1" indent="1"/>
    </xf>
    <xf numFmtId="0" fontId="54" fillId="3" borderId="10" xfId="3" applyFont="1" applyFill="1" applyBorder="1" applyAlignment="1" applyProtection="1">
      <alignment horizontal="left" vertical="center" wrapText="1" indent="1"/>
    </xf>
    <xf numFmtId="164" fontId="53" fillId="3" borderId="35" xfId="2" applyNumberFormat="1" applyFont="1" applyFill="1" applyBorder="1" applyAlignment="1" applyProtection="1">
      <alignment horizontal="right" vertical="center" wrapText="1" indent="1"/>
      <protection locked="0"/>
    </xf>
    <xf numFmtId="164" fontId="53" fillId="3" borderId="35" xfId="2" applyNumberFormat="1" applyFont="1" applyFill="1" applyBorder="1" applyAlignment="1" applyProtection="1">
      <alignment horizontal="right" vertical="center" wrapText="1" indent="1"/>
    </xf>
    <xf numFmtId="0" fontId="52" fillId="3" borderId="48" xfId="2" applyFont="1" applyFill="1" applyBorder="1" applyAlignment="1" applyProtection="1">
      <alignment horizontal="center" vertical="center" wrapText="1"/>
    </xf>
    <xf numFmtId="0" fontId="66" fillId="3" borderId="64" xfId="2" applyFont="1" applyFill="1" applyBorder="1" applyAlignment="1" applyProtection="1">
      <alignment horizontal="left" wrapText="1" indent="1"/>
    </xf>
    <xf numFmtId="164" fontId="45" fillId="3" borderId="35" xfId="2" applyNumberFormat="1" applyFont="1" applyFill="1" applyBorder="1" applyAlignment="1" applyProtection="1">
      <alignment horizontal="right" vertical="center" wrapText="1" indent="1"/>
    </xf>
    <xf numFmtId="0" fontId="47" fillId="3" borderId="0" xfId="2" applyFont="1" applyFill="1" applyAlignment="1" applyProtection="1">
      <alignment horizontal="left" vertical="center" wrapText="1"/>
    </xf>
    <xf numFmtId="3" fontId="61" fillId="0" borderId="0" xfId="2" applyNumberFormat="1" applyFont="1" applyFill="1" applyAlignment="1" applyProtection="1">
      <alignment horizontal="center" vertical="center" wrapText="1"/>
    </xf>
    <xf numFmtId="0" fontId="55" fillId="0" borderId="0" xfId="2" applyFont="1" applyFill="1" applyAlignment="1" applyProtection="1">
      <alignment vertical="center" wrapText="1"/>
    </xf>
    <xf numFmtId="164" fontId="54" fillId="3" borderId="20" xfId="2" applyNumberFormat="1" applyFont="1" applyFill="1" applyBorder="1" applyAlignment="1" applyProtection="1">
      <alignment horizontal="right" vertical="center" wrapText="1" indent="1"/>
      <protection locked="0"/>
    </xf>
    <xf numFmtId="0" fontId="41" fillId="3" borderId="49" xfId="2" applyFont="1" applyFill="1" applyBorder="1" applyAlignment="1" applyProtection="1">
      <alignment horizontal="left" vertical="center" wrapText="1" indent="1"/>
    </xf>
    <xf numFmtId="164" fontId="45" fillId="3" borderId="50" xfId="2" applyNumberFormat="1" applyFont="1" applyFill="1" applyBorder="1" applyAlignment="1" applyProtection="1">
      <alignment horizontal="right" vertical="center" wrapText="1" indent="1"/>
    </xf>
    <xf numFmtId="0" fontId="38" fillId="3" borderId="0" xfId="2" applyFill="1" applyAlignment="1" applyProtection="1">
      <alignment horizontal="left" vertical="center" wrapText="1"/>
    </xf>
    <xf numFmtId="0" fontId="38" fillId="3" borderId="0" xfId="2" applyFill="1" applyAlignment="1" applyProtection="1">
      <alignment vertical="center" wrapText="1"/>
    </xf>
    <xf numFmtId="0" fontId="38" fillId="3" borderId="0" xfId="2" applyFill="1" applyAlignment="1" applyProtection="1">
      <alignment horizontal="right" vertical="center" wrapText="1" indent="1"/>
    </xf>
    <xf numFmtId="0" fontId="38" fillId="0" borderId="0" xfId="2" applyFont="1" applyFill="1" applyAlignment="1" applyProtection="1">
      <alignment vertical="center" wrapText="1"/>
    </xf>
    <xf numFmtId="0" fontId="41" fillId="3" borderId="4" xfId="2" applyFont="1" applyFill="1" applyBorder="1" applyAlignment="1" applyProtection="1">
      <alignment horizontal="center" vertical="center"/>
    </xf>
    <xf numFmtId="0" fontId="41" fillId="3" borderId="68" xfId="2" applyFont="1" applyFill="1" applyBorder="1" applyAlignment="1" applyProtection="1">
      <alignment horizontal="center" vertical="center"/>
    </xf>
    <xf numFmtId="0" fontId="41" fillId="3" borderId="47" xfId="2" applyFont="1" applyFill="1" applyBorder="1" applyAlignment="1" applyProtection="1">
      <alignment horizontal="center" vertical="center" wrapText="1"/>
    </xf>
    <xf numFmtId="0" fontId="41" fillId="3" borderId="33" xfId="2" applyFont="1" applyFill="1" applyBorder="1" applyAlignment="1" applyProtection="1">
      <alignment horizontal="center" vertical="center" wrapText="1"/>
    </xf>
    <xf numFmtId="49" fontId="61" fillId="0" borderId="0" xfId="2" applyNumberFormat="1" applyFont="1" applyFill="1" applyAlignment="1" applyProtection="1">
      <alignment horizontal="center" vertical="center" wrapText="1"/>
    </xf>
    <xf numFmtId="0" fontId="45" fillId="3" borderId="47" xfId="2" applyFont="1" applyFill="1" applyBorder="1" applyAlignment="1" applyProtection="1">
      <alignment horizontal="center" vertical="center" wrapText="1"/>
    </xf>
    <xf numFmtId="0" fontId="53" fillId="3" borderId="53" xfId="2" applyFont="1" applyFill="1" applyBorder="1" applyAlignment="1" applyProtection="1">
      <alignment horizontal="left" vertical="center" wrapText="1" indent="1"/>
    </xf>
    <xf numFmtId="164" fontId="53" fillId="3" borderId="47" xfId="2" applyNumberFormat="1" applyFont="1" applyFill="1" applyBorder="1" applyAlignment="1" applyProtection="1">
      <alignment horizontal="right" vertical="center" wrapText="1" indent="1"/>
    </xf>
    <xf numFmtId="0" fontId="47" fillId="3" borderId="4" xfId="3" applyFont="1" applyFill="1" applyBorder="1" applyAlignment="1" applyProtection="1">
      <alignment horizontal="left" vertical="center" wrapText="1" indent="1"/>
    </xf>
    <xf numFmtId="164" fontId="54" fillId="3" borderId="41" xfId="2" applyNumberFormat="1" applyFont="1" applyFill="1" applyBorder="1" applyAlignment="1" applyProtection="1">
      <alignment horizontal="right" vertical="center" wrapText="1" indent="1"/>
      <protection locked="0"/>
    </xf>
    <xf numFmtId="0" fontId="47" fillId="3" borderId="54" xfId="3" applyFont="1" applyFill="1" applyBorder="1" applyAlignment="1" applyProtection="1">
      <alignment horizontal="left" vertical="center" wrapText="1" indent="1"/>
    </xf>
    <xf numFmtId="0" fontId="47" fillId="3" borderId="73" xfId="3" applyFont="1" applyFill="1" applyBorder="1" applyAlignment="1" applyProtection="1">
      <alignment horizontal="left" vertical="center" wrapText="1" indent="1"/>
    </xf>
    <xf numFmtId="0" fontId="47" fillId="3" borderId="71" xfId="3" applyFont="1" applyFill="1" applyBorder="1" applyAlignment="1" applyProtection="1">
      <alignment horizontal="left" vertical="center" wrapText="1" indent="1"/>
    </xf>
    <xf numFmtId="0" fontId="53" fillId="3" borderId="53" xfId="3" applyFont="1" applyFill="1" applyBorder="1" applyAlignment="1" applyProtection="1">
      <alignment horizontal="left" vertical="center" wrapText="1" indent="1"/>
    </xf>
    <xf numFmtId="164" fontId="53" fillId="3" borderId="47" xfId="2" applyNumberFormat="1" applyFont="1" applyFill="1" applyBorder="1" applyAlignment="1" applyProtection="1">
      <alignment horizontal="right" vertical="center" wrapText="1" indent="1"/>
      <protection locked="0"/>
    </xf>
    <xf numFmtId="0" fontId="54" fillId="3" borderId="71" xfId="3" applyFont="1" applyFill="1" applyBorder="1" applyAlignment="1" applyProtection="1">
      <alignment horizontal="left" vertical="center" wrapText="1" indent="1"/>
    </xf>
    <xf numFmtId="0" fontId="54" fillId="3" borderId="54" xfId="3" applyFont="1" applyFill="1" applyBorder="1" applyAlignment="1" applyProtection="1">
      <alignment horizontal="left" vertical="center" wrapText="1" indent="1"/>
    </xf>
    <xf numFmtId="0" fontId="54" fillId="3" borderId="11" xfId="3" quotePrefix="1" applyFont="1" applyFill="1" applyBorder="1" applyAlignment="1" applyProtection="1">
      <alignment horizontal="left" vertical="center" wrapText="1" indent="1"/>
    </xf>
    <xf numFmtId="0" fontId="54" fillId="3" borderId="11" xfId="3" applyFont="1" applyFill="1" applyBorder="1" applyAlignment="1" applyProtection="1">
      <alignment horizontal="left" vertical="center" wrapText="1" indent="1"/>
    </xf>
    <xf numFmtId="0" fontId="66" fillId="3" borderId="26" xfId="2" applyFont="1" applyFill="1" applyBorder="1" applyAlignment="1" applyProtection="1">
      <alignment horizontal="left" wrapText="1" indent="1"/>
    </xf>
    <xf numFmtId="164" fontId="45" fillId="3" borderId="47" xfId="2" applyNumberFormat="1" applyFont="1" applyFill="1" applyBorder="1" applyAlignment="1" applyProtection="1">
      <alignment horizontal="right" vertical="center" wrapText="1" indent="1"/>
    </xf>
    <xf numFmtId="0" fontId="41" fillId="3" borderId="53" xfId="2" applyFont="1" applyFill="1" applyBorder="1" applyAlignment="1" applyProtection="1">
      <alignment horizontal="left" vertical="center" wrapText="1" indent="1"/>
    </xf>
    <xf numFmtId="0" fontId="44" fillId="3" borderId="26" xfId="2" applyFont="1" applyFill="1" applyBorder="1" applyAlignment="1" applyProtection="1">
      <alignment vertical="center" wrapText="1"/>
    </xf>
    <xf numFmtId="3" fontId="44" fillId="3" borderId="47" xfId="2" applyNumberFormat="1" applyFont="1" applyFill="1" applyBorder="1" applyAlignment="1" applyProtection="1">
      <alignment horizontal="right" vertical="center" wrapText="1" indent="1"/>
      <protection locked="0"/>
    </xf>
    <xf numFmtId="164" fontId="38" fillId="3" borderId="0" xfId="2" applyNumberFormat="1" applyFill="1" applyAlignment="1" applyProtection="1">
      <alignment vertical="center" wrapText="1"/>
    </xf>
    <xf numFmtId="164" fontId="42" fillId="3" borderId="0" xfId="2" applyNumberFormat="1" applyFont="1" applyFill="1" applyAlignment="1" applyProtection="1">
      <alignment horizontal="centerContinuous" vertical="center" wrapText="1"/>
    </xf>
    <xf numFmtId="164" fontId="38" fillId="3" borderId="0" xfId="2" applyNumberFormat="1" applyFill="1" applyAlignment="1" applyProtection="1">
      <alignment horizontal="centerContinuous" vertical="center"/>
    </xf>
    <xf numFmtId="164" fontId="38" fillId="0" borderId="0" xfId="2" applyNumberFormat="1" applyFill="1" applyAlignment="1" applyProtection="1">
      <alignment vertical="center" wrapText="1"/>
    </xf>
    <xf numFmtId="164" fontId="38" fillId="3" borderId="0" xfId="2" applyNumberFormat="1" applyFill="1" applyAlignment="1" applyProtection="1">
      <alignment horizontal="center" vertical="center" wrapText="1"/>
    </xf>
    <xf numFmtId="164" fontId="41" fillId="3" borderId="48" xfId="2" applyNumberFormat="1" applyFont="1" applyFill="1" applyBorder="1" applyAlignment="1" applyProtection="1">
      <alignment horizontal="centerContinuous" vertical="center" wrapText="1"/>
    </xf>
    <xf numFmtId="164" fontId="41" fillId="3" borderId="49" xfId="2" applyNumberFormat="1" applyFont="1" applyFill="1" applyBorder="1" applyAlignment="1" applyProtection="1">
      <alignment horizontal="centerContinuous" vertical="center" wrapText="1"/>
    </xf>
    <xf numFmtId="164" fontId="41" fillId="3" borderId="64" xfId="2" applyNumberFormat="1" applyFont="1" applyFill="1" applyBorder="1" applyAlignment="1" applyProtection="1">
      <alignment horizontal="centerContinuous" vertical="center" wrapText="1"/>
    </xf>
    <xf numFmtId="164" fontId="41" fillId="3" borderId="50" xfId="2" applyNumberFormat="1" applyFont="1" applyFill="1" applyBorder="1" applyAlignment="1" applyProtection="1">
      <alignment horizontal="centerContinuous" vertical="center" wrapText="1"/>
    </xf>
    <xf numFmtId="164" fontId="41" fillId="3" borderId="48" xfId="2" applyNumberFormat="1" applyFont="1" applyFill="1" applyBorder="1" applyAlignment="1" applyProtection="1">
      <alignment horizontal="center" vertical="center" wrapText="1"/>
    </xf>
    <xf numFmtId="164" fontId="41" fillId="3" borderId="49" xfId="2" applyNumberFormat="1" applyFont="1" applyFill="1" applyBorder="1" applyAlignment="1" applyProtection="1">
      <alignment horizontal="center" vertical="center" wrapText="1"/>
    </xf>
    <xf numFmtId="164" fontId="44" fillId="0" borderId="0" xfId="2" applyNumberFormat="1" applyFont="1" applyFill="1" applyAlignment="1" applyProtection="1">
      <alignment horizontal="center" vertical="center" wrapText="1"/>
    </xf>
    <xf numFmtId="164" fontId="53" fillId="3" borderId="47" xfId="2" applyNumberFormat="1" applyFont="1" applyFill="1" applyBorder="1" applyAlignment="1" applyProtection="1">
      <alignment horizontal="center" vertical="center" wrapText="1"/>
    </xf>
    <xf numFmtId="164" fontId="53" fillId="3" borderId="48" xfId="2" applyNumberFormat="1" applyFont="1" applyFill="1" applyBorder="1" applyAlignment="1" applyProtection="1">
      <alignment horizontal="center" vertical="center" wrapText="1"/>
    </xf>
    <xf numFmtId="164" fontId="53" fillId="3" borderId="49" xfId="2" applyNumberFormat="1" applyFont="1" applyFill="1" applyBorder="1" applyAlignment="1" applyProtection="1">
      <alignment horizontal="center" vertical="center" wrapText="1"/>
    </xf>
    <xf numFmtId="164" fontId="53" fillId="3" borderId="53" xfId="2" applyNumberFormat="1" applyFont="1" applyFill="1" applyBorder="1" applyAlignment="1" applyProtection="1">
      <alignment horizontal="center" vertical="center" wrapText="1"/>
    </xf>
    <xf numFmtId="164" fontId="53" fillId="3" borderId="50" xfId="2" applyNumberFormat="1" applyFont="1" applyFill="1" applyBorder="1" applyAlignment="1" applyProtection="1">
      <alignment horizontal="center" vertical="center" wrapText="1"/>
    </xf>
    <xf numFmtId="164" fontId="53" fillId="0" borderId="0" xfId="2" applyNumberFormat="1" applyFont="1" applyFill="1" applyAlignment="1" applyProtection="1">
      <alignment horizontal="center" vertical="center" wrapText="1"/>
    </xf>
    <xf numFmtId="164" fontId="38" fillId="3" borderId="41" xfId="2" applyNumberFormat="1" applyFill="1" applyBorder="1" applyAlignment="1" applyProtection="1">
      <alignment horizontal="left" vertical="center" wrapText="1" indent="1"/>
    </xf>
    <xf numFmtId="164" fontId="47" fillId="3" borderId="15" xfId="2" applyNumberFormat="1" applyFont="1" applyFill="1" applyBorder="1" applyAlignment="1" applyProtection="1">
      <alignment horizontal="left" vertical="center" wrapText="1" indent="1"/>
    </xf>
    <xf numFmtId="164" fontId="47" fillId="3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3" xfId="2" applyNumberFormat="1" applyFont="1" applyFill="1" applyBorder="1" applyAlignment="1" applyProtection="1">
      <alignment horizontal="right" vertical="center" wrapText="1" indent="1"/>
      <protection locked="0"/>
    </xf>
    <xf numFmtId="164" fontId="38" fillId="3" borderId="43" xfId="2" applyNumberFormat="1" applyFill="1" applyBorder="1" applyAlignment="1" applyProtection="1">
      <alignment horizontal="left" vertical="center" wrapText="1" indent="1"/>
    </xf>
    <xf numFmtId="164" fontId="47" fillId="3" borderId="18" xfId="2" applyNumberFormat="1" applyFont="1" applyFill="1" applyBorder="1" applyAlignment="1" applyProtection="1">
      <alignment horizontal="left" vertical="center" wrapText="1" indent="1"/>
    </xf>
    <xf numFmtId="164" fontId="47" fillId="3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31" xfId="2" applyNumberFormat="1" applyFont="1" applyFill="1" applyBorder="1" applyAlignment="1" applyProtection="1">
      <alignment horizontal="left" vertical="center" wrapText="1" indent="1"/>
    </xf>
    <xf numFmtId="164" fontId="47" fillId="3" borderId="54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18" xfId="2" applyNumberFormat="1" applyFont="1" applyFill="1" applyBorder="1" applyAlignment="1" applyProtection="1">
      <alignment horizontal="left" vertical="center" wrapText="1" indent="1"/>
      <protection locked="0"/>
    </xf>
    <xf numFmtId="164" fontId="54" fillId="3" borderId="0" xfId="2" applyNumberFormat="1" applyFont="1" applyFill="1" applyBorder="1" applyAlignment="1" applyProtection="1">
      <alignment horizontal="left" vertical="center" wrapText="1" indent="1"/>
      <protection locked="0"/>
    </xf>
    <xf numFmtId="164" fontId="47" fillId="3" borderId="21" xfId="2" applyNumberFormat="1" applyFont="1" applyFill="1" applyBorder="1" applyAlignment="1" applyProtection="1">
      <alignment horizontal="left" vertical="center" wrapText="1" indent="1"/>
      <protection locked="0"/>
    </xf>
    <xf numFmtId="164" fontId="47" fillId="3" borderId="22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74" xfId="2" applyNumberFormat="1" applyFont="1" applyFill="1" applyBorder="1" applyAlignment="1" applyProtection="1">
      <alignment horizontal="right" vertical="center" wrapText="1" indent="1"/>
      <protection locked="0"/>
    </xf>
    <xf numFmtId="164" fontId="61" fillId="3" borderId="47" xfId="2" applyNumberFormat="1" applyFont="1" applyFill="1" applyBorder="1" applyAlignment="1" applyProtection="1">
      <alignment horizontal="left" vertical="center" wrapText="1" indent="1"/>
    </xf>
    <xf numFmtId="164" fontId="53" fillId="3" borderId="48" xfId="2" applyNumberFormat="1" applyFont="1" applyFill="1" applyBorder="1" applyAlignment="1" applyProtection="1">
      <alignment horizontal="left" vertical="center" wrapText="1" indent="1"/>
    </xf>
    <xf numFmtId="164" fontId="53" fillId="3" borderId="49" xfId="2" applyNumberFormat="1" applyFont="1" applyFill="1" applyBorder="1" applyAlignment="1" applyProtection="1">
      <alignment horizontal="right" vertical="center" wrapText="1" indent="1"/>
    </xf>
    <xf numFmtId="164" fontId="53" fillId="3" borderId="53" xfId="2" applyNumberFormat="1" applyFont="1" applyFill="1" applyBorder="1" applyAlignment="1" applyProtection="1">
      <alignment horizontal="right" vertical="center" wrapText="1" indent="1"/>
    </xf>
    <xf numFmtId="164" fontId="38" fillId="3" borderId="36" xfId="2" applyNumberFormat="1" applyFont="1" applyFill="1" applyBorder="1" applyAlignment="1" applyProtection="1">
      <alignment horizontal="left" vertical="center" wrapText="1" indent="1"/>
    </xf>
    <xf numFmtId="164" fontId="54" fillId="3" borderId="51" xfId="2" applyNumberFormat="1" applyFont="1" applyFill="1" applyBorder="1" applyAlignment="1" applyProtection="1">
      <alignment horizontal="left" vertical="center" wrapText="1" indent="1"/>
    </xf>
    <xf numFmtId="164" fontId="70" fillId="3" borderId="52" xfId="2" applyNumberFormat="1" applyFont="1" applyFill="1" applyBorder="1" applyAlignment="1" applyProtection="1">
      <alignment horizontal="right" vertical="center" wrapText="1" indent="1"/>
    </xf>
    <xf numFmtId="164" fontId="54" fillId="3" borderId="18" xfId="2" applyNumberFormat="1" applyFont="1" applyFill="1" applyBorder="1" applyAlignment="1" applyProtection="1">
      <alignment horizontal="left" vertical="center" wrapText="1" indent="1"/>
    </xf>
    <xf numFmtId="164" fontId="54" fillId="3" borderId="73" xfId="2" applyNumberFormat="1" applyFont="1" applyFill="1" applyBorder="1" applyAlignment="1" applyProtection="1">
      <alignment horizontal="right" vertical="center" wrapText="1" indent="1"/>
      <protection locked="0"/>
    </xf>
    <xf numFmtId="164" fontId="38" fillId="3" borderId="43" xfId="2" applyNumberFormat="1" applyFont="1" applyFill="1" applyBorder="1" applyAlignment="1" applyProtection="1">
      <alignment horizontal="left" vertical="center" wrapText="1" indent="1"/>
    </xf>
    <xf numFmtId="164" fontId="54" fillId="3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54" fillId="3" borderId="54" xfId="2" applyNumberFormat="1" applyFont="1" applyFill="1" applyBorder="1" applyAlignment="1" applyProtection="1">
      <alignment horizontal="right" vertical="center" wrapText="1" indent="1"/>
      <protection locked="0"/>
    </xf>
    <xf numFmtId="164" fontId="70" fillId="3" borderId="19" xfId="2" applyNumberFormat="1" applyFont="1" applyFill="1" applyBorder="1" applyAlignment="1" applyProtection="1">
      <alignment horizontal="right" vertical="center" wrapText="1" indent="1"/>
    </xf>
    <xf numFmtId="164" fontId="54" fillId="3" borderId="52" xfId="2" applyNumberFormat="1" applyFont="1" applyFill="1" applyBorder="1" applyAlignment="1" applyProtection="1">
      <alignment horizontal="right" vertical="center" wrapText="1" indent="1"/>
      <protection locked="0"/>
    </xf>
    <xf numFmtId="164" fontId="61" fillId="3" borderId="48" xfId="2" applyNumberFormat="1" applyFont="1" applyFill="1" applyBorder="1" applyAlignment="1" applyProtection="1">
      <alignment horizontal="left" vertical="center" wrapText="1" indent="1"/>
    </xf>
    <xf numFmtId="164" fontId="61" fillId="3" borderId="26" xfId="2" applyNumberFormat="1" applyFont="1" applyFill="1" applyBorder="1" applyAlignment="1" applyProtection="1">
      <alignment horizontal="right" vertical="center" wrapText="1" indent="1"/>
    </xf>
    <xf numFmtId="164" fontId="61" fillId="3" borderId="50" xfId="2" applyNumberFormat="1" applyFont="1" applyFill="1" applyBorder="1" applyAlignment="1" applyProtection="1">
      <alignment horizontal="right" vertical="center" wrapText="1" indent="1"/>
    </xf>
    <xf numFmtId="164" fontId="53" fillId="3" borderId="64" xfId="2" applyNumberFormat="1" applyFont="1" applyFill="1" applyBorder="1" applyAlignment="1" applyProtection="1">
      <alignment horizontal="center" vertical="center" wrapText="1"/>
    </xf>
    <xf numFmtId="164" fontId="47" fillId="3" borderId="61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4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62" xfId="2" applyNumberFormat="1" applyFont="1" applyFill="1" applyBorder="1" applyAlignment="1" applyProtection="1">
      <alignment horizontal="right" vertical="center" wrapText="1" indent="1"/>
      <protection locked="0"/>
    </xf>
    <xf numFmtId="164" fontId="38" fillId="3" borderId="36" xfId="2" applyNumberFormat="1" applyFill="1" applyBorder="1" applyAlignment="1" applyProtection="1">
      <alignment horizontal="left" vertical="center" wrapText="1" indent="1"/>
    </xf>
    <xf numFmtId="164" fontId="47" fillId="3" borderId="51" xfId="2" applyNumberFormat="1" applyFont="1" applyFill="1" applyBorder="1" applyAlignment="1" applyProtection="1">
      <alignment horizontal="left" vertical="center" wrapText="1" indent="1"/>
      <protection locked="0"/>
    </xf>
    <xf numFmtId="164" fontId="47" fillId="3" borderId="73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51" xfId="2" applyNumberFormat="1" applyFont="1" applyFill="1" applyBorder="1" applyAlignment="1" applyProtection="1">
      <alignment horizontal="left" vertical="center" wrapText="1" indent="1"/>
    </xf>
    <xf numFmtId="164" fontId="70" fillId="3" borderId="51" xfId="2" applyNumberFormat="1" applyFont="1" applyFill="1" applyBorder="1" applyAlignment="1" applyProtection="1">
      <alignment horizontal="left" vertical="center" wrapText="1" indent="1"/>
    </xf>
    <xf numFmtId="164" fontId="70" fillId="3" borderId="16" xfId="2" applyNumberFormat="1" applyFont="1" applyFill="1" applyBorder="1" applyAlignment="1" applyProtection="1">
      <alignment horizontal="right" vertical="center" wrapText="1" indent="1"/>
    </xf>
    <xf numFmtId="164" fontId="54" fillId="3" borderId="71" xfId="2" applyNumberFormat="1" applyFont="1" applyFill="1" applyBorder="1" applyAlignment="1" applyProtection="1">
      <alignment horizontal="right" vertical="center" wrapText="1" indent="1"/>
      <protection locked="0"/>
    </xf>
    <xf numFmtId="164" fontId="54" fillId="3" borderId="18" xfId="2" applyNumberFormat="1" applyFont="1" applyFill="1" applyBorder="1" applyAlignment="1" applyProtection="1">
      <alignment horizontal="left" vertical="center" wrapText="1" indent="2"/>
    </xf>
    <xf numFmtId="164" fontId="54" fillId="3" borderId="19" xfId="2" applyNumberFormat="1" applyFont="1" applyFill="1" applyBorder="1" applyAlignment="1" applyProtection="1">
      <alignment horizontal="left" vertical="center" wrapText="1" indent="2"/>
    </xf>
    <xf numFmtId="164" fontId="70" fillId="3" borderId="19" xfId="2" applyNumberFormat="1" applyFont="1" applyFill="1" applyBorder="1" applyAlignment="1" applyProtection="1">
      <alignment horizontal="left" vertical="center" wrapText="1" indent="1"/>
    </xf>
    <xf numFmtId="164" fontId="54" fillId="3" borderId="15" xfId="2" applyNumberFormat="1" applyFont="1" applyFill="1" applyBorder="1" applyAlignment="1" applyProtection="1">
      <alignment horizontal="left" vertical="center" wrapText="1" indent="1"/>
    </xf>
    <xf numFmtId="164" fontId="54" fillId="3" borderId="15" xfId="2" applyNumberFormat="1" applyFont="1" applyFill="1" applyBorder="1" applyAlignment="1" applyProtection="1">
      <alignment horizontal="left" vertical="center" wrapText="1" indent="1"/>
      <protection locked="0"/>
    </xf>
    <xf numFmtId="164" fontId="47" fillId="3" borderId="15" xfId="2" applyNumberFormat="1" applyFont="1" applyFill="1" applyBorder="1" applyAlignment="1" applyProtection="1">
      <alignment horizontal="left" vertical="center" wrapText="1" indent="1"/>
      <protection locked="0"/>
    </xf>
    <xf numFmtId="164" fontId="47" fillId="3" borderId="15" xfId="2" applyNumberFormat="1" applyFont="1" applyFill="1" applyBorder="1" applyAlignment="1" applyProtection="1">
      <alignment horizontal="left" vertical="center" wrapText="1" indent="2"/>
    </xf>
    <xf numFmtId="164" fontId="47" fillId="3" borderId="21" xfId="2" applyNumberFormat="1" applyFont="1" applyFill="1" applyBorder="1" applyAlignment="1" applyProtection="1">
      <alignment horizontal="left" vertical="center" wrapText="1" indent="2"/>
    </xf>
    <xf numFmtId="164" fontId="45" fillId="3" borderId="53" xfId="2" applyNumberFormat="1" applyFont="1" applyFill="1" applyBorder="1" applyAlignment="1" applyProtection="1">
      <alignment horizontal="center" vertical="center" wrapText="1"/>
    </xf>
    <xf numFmtId="164" fontId="53" fillId="3" borderId="6" xfId="2" applyNumberFormat="1" applyFont="1" applyFill="1" applyBorder="1" applyAlignment="1" applyProtection="1">
      <alignment horizontal="center" vertical="center" wrapText="1"/>
    </xf>
    <xf numFmtId="0" fontId="51" fillId="0" borderId="0" xfId="3" applyFont="1" applyFill="1"/>
    <xf numFmtId="164" fontId="71" fillId="3" borderId="0" xfId="3" applyNumberFormat="1" applyFont="1" applyFill="1" applyBorder="1" applyAlignment="1" applyProtection="1">
      <alignment horizontal="centerContinuous" vertical="center"/>
    </xf>
    <xf numFmtId="0" fontId="72" fillId="0" borderId="0" xfId="2" applyFont="1" applyFill="1" applyBorder="1" applyAlignment="1" applyProtection="1"/>
    <xf numFmtId="0" fontId="61" fillId="3" borderId="22" xfId="3" applyFont="1" applyFill="1" applyBorder="1" applyAlignment="1">
      <alignment horizontal="center" vertical="center" wrapText="1"/>
    </xf>
    <xf numFmtId="0" fontId="73" fillId="3" borderId="48" xfId="3" applyFont="1" applyFill="1" applyBorder="1" applyAlignment="1">
      <alignment horizontal="center" vertical="center"/>
    </xf>
    <xf numFmtId="0" fontId="73" fillId="3" borderId="49" xfId="3" applyFont="1" applyFill="1" applyBorder="1" applyAlignment="1">
      <alignment horizontal="center" vertical="center"/>
    </xf>
    <xf numFmtId="0" fontId="73" fillId="3" borderId="50" xfId="3" applyFont="1" applyFill="1" applyBorder="1" applyAlignment="1">
      <alignment horizontal="center" vertical="center"/>
    </xf>
    <xf numFmtId="0" fontId="73" fillId="3" borderId="15" xfId="3" applyFont="1" applyFill="1" applyBorder="1" applyAlignment="1">
      <alignment horizontal="center" vertical="center"/>
    </xf>
    <xf numFmtId="0" fontId="73" fillId="3" borderId="18" xfId="3" applyFont="1" applyFill="1" applyBorder="1" applyAlignment="1">
      <alignment horizontal="center" vertical="center"/>
    </xf>
    <xf numFmtId="0" fontId="73" fillId="3" borderId="19" xfId="3" applyFont="1" applyFill="1" applyBorder="1" applyProtection="1">
      <protection locked="0"/>
    </xf>
    <xf numFmtId="165" fontId="73" fillId="3" borderId="19" xfId="5" applyNumberFormat="1" applyFont="1" applyFill="1" applyBorder="1" applyProtection="1">
      <protection locked="0"/>
    </xf>
    <xf numFmtId="165" fontId="73" fillId="3" borderId="20" xfId="5" applyNumberFormat="1" applyFont="1" applyFill="1" applyBorder="1"/>
    <xf numFmtId="0" fontId="73" fillId="3" borderId="21" xfId="3" applyFont="1" applyFill="1" applyBorder="1" applyAlignment="1">
      <alignment horizontal="center" vertical="center"/>
    </xf>
    <xf numFmtId="0" fontId="73" fillId="3" borderId="22" xfId="3" applyFont="1" applyFill="1" applyBorder="1" applyProtection="1">
      <protection locked="0"/>
    </xf>
    <xf numFmtId="165" fontId="73" fillId="3" borderId="22" xfId="5" applyNumberFormat="1" applyFont="1" applyFill="1" applyBorder="1" applyProtection="1">
      <protection locked="0"/>
    </xf>
    <xf numFmtId="0" fontId="61" fillId="3" borderId="48" xfId="3" applyFont="1" applyFill="1" applyBorder="1" applyAlignment="1">
      <alignment horizontal="center" vertical="center"/>
    </xf>
    <xf numFmtId="0" fontId="61" fillId="3" borderId="49" xfId="3" applyFont="1" applyFill="1" applyBorder="1"/>
    <xf numFmtId="165" fontId="61" fillId="3" borderId="49" xfId="3" applyNumberFormat="1" applyFont="1" applyFill="1" applyBorder="1"/>
    <xf numFmtId="165" fontId="61" fillId="3" borderId="50" xfId="3" applyNumberFormat="1" applyFont="1" applyFill="1" applyBorder="1"/>
    <xf numFmtId="0" fontId="63" fillId="0" borderId="0" xfId="3" applyFont="1" applyFill="1"/>
    <xf numFmtId="0" fontId="51" fillId="3" borderId="0" xfId="3" applyFont="1" applyFill="1"/>
    <xf numFmtId="0" fontId="53" fillId="3" borderId="13" xfId="3" applyFont="1" applyFill="1" applyBorder="1" applyAlignment="1" applyProtection="1">
      <alignment horizontal="center" vertical="center" wrapText="1"/>
    </xf>
    <xf numFmtId="0" fontId="53" fillId="3" borderId="4" xfId="3" applyFont="1" applyFill="1" applyBorder="1" applyAlignment="1" applyProtection="1">
      <alignment horizontal="center" vertical="center" wrapText="1"/>
    </xf>
    <xf numFmtId="0" fontId="53" fillId="3" borderId="40" xfId="3" applyFont="1" applyFill="1" applyBorder="1" applyAlignment="1" applyProtection="1">
      <alignment horizontal="center" vertical="center" wrapText="1"/>
    </xf>
    <xf numFmtId="0" fontId="53" fillId="0" borderId="37" xfId="3" applyFont="1" applyFill="1" applyBorder="1" applyAlignment="1">
      <alignment horizontal="center" vertical="center" wrapText="1"/>
    </xf>
    <xf numFmtId="0" fontId="54" fillId="3" borderId="48" xfId="3" applyFont="1" applyFill="1" applyBorder="1" applyAlignment="1" applyProtection="1">
      <alignment horizontal="center" vertical="center"/>
    </xf>
    <xf numFmtId="0" fontId="54" fillId="3" borderId="53" xfId="3" applyFont="1" applyFill="1" applyBorder="1" applyAlignment="1" applyProtection="1">
      <alignment horizontal="center" vertical="center"/>
    </xf>
    <xf numFmtId="0" fontId="54" fillId="3" borderId="47" xfId="3" applyFont="1" applyFill="1" applyBorder="1" applyAlignment="1" applyProtection="1">
      <alignment horizontal="center" vertical="center"/>
    </xf>
    <xf numFmtId="0" fontId="47" fillId="0" borderId="47" xfId="3" applyFont="1" applyFill="1" applyBorder="1" applyAlignment="1">
      <alignment horizontal="center" vertical="center"/>
    </xf>
    <xf numFmtId="0" fontId="54" fillId="3" borderId="13" xfId="3" applyFont="1" applyFill="1" applyBorder="1" applyAlignment="1" applyProtection="1">
      <alignment horizontal="center" vertical="center"/>
    </xf>
    <xf numFmtId="0" fontId="54" fillId="3" borderId="71" xfId="3" applyFont="1" applyFill="1" applyBorder="1" applyProtection="1"/>
    <xf numFmtId="165" fontId="54" fillId="3" borderId="40" xfId="5" applyNumberFormat="1" applyFont="1" applyFill="1" applyBorder="1" applyAlignment="1" applyProtection="1">
      <alignment vertical="center"/>
      <protection locked="0"/>
    </xf>
    <xf numFmtId="3" fontId="47" fillId="0" borderId="41" xfId="3" applyNumberFormat="1" applyFont="1" applyFill="1" applyBorder="1" applyAlignment="1">
      <alignment vertical="center"/>
    </xf>
    <xf numFmtId="0" fontId="54" fillId="3" borderId="18" xfId="3" applyFont="1" applyFill="1" applyBorder="1" applyAlignment="1" applyProtection="1">
      <alignment horizontal="center" vertical="center"/>
    </xf>
    <xf numFmtId="0" fontId="39" fillId="3" borderId="54" xfId="2" applyFont="1" applyFill="1" applyBorder="1" applyAlignment="1">
      <alignment horizontal="justify" wrapText="1"/>
    </xf>
    <xf numFmtId="165" fontId="54" fillId="3" borderId="43" xfId="5" applyNumberFormat="1" applyFont="1" applyFill="1" applyBorder="1" applyAlignment="1" applyProtection="1">
      <alignment vertical="center"/>
      <protection locked="0"/>
    </xf>
    <xf numFmtId="3" fontId="47" fillId="0" borderId="43" xfId="3" applyNumberFormat="1" applyFont="1" applyFill="1" applyBorder="1" applyAlignment="1">
      <alignment vertical="center"/>
    </xf>
    <xf numFmtId="0" fontId="39" fillId="3" borderId="54" xfId="2" applyFont="1" applyFill="1" applyBorder="1" applyAlignment="1">
      <alignment wrapText="1"/>
    </xf>
    <xf numFmtId="0" fontId="54" fillId="3" borderId="21" xfId="3" applyFont="1" applyFill="1" applyBorder="1" applyAlignment="1" applyProtection="1">
      <alignment horizontal="center" vertical="center"/>
    </xf>
    <xf numFmtId="165" fontId="54" fillId="3" borderId="44" xfId="5" applyNumberFormat="1" applyFont="1" applyFill="1" applyBorder="1" applyAlignment="1" applyProtection="1">
      <alignment vertical="center"/>
      <protection locked="0"/>
    </xf>
    <xf numFmtId="0" fontId="39" fillId="3" borderId="68" xfId="2" applyFont="1" applyFill="1" applyBorder="1" applyAlignment="1">
      <alignment wrapText="1"/>
    </xf>
    <xf numFmtId="3" fontId="47" fillId="0" borderId="44" xfId="3" applyNumberFormat="1" applyFont="1" applyFill="1" applyBorder="1" applyAlignment="1">
      <alignment vertical="center"/>
    </xf>
    <xf numFmtId="165" fontId="53" fillId="3" borderId="47" xfId="5" applyNumberFormat="1" applyFont="1" applyFill="1" applyBorder="1" applyAlignment="1" applyProtection="1">
      <alignment vertical="center"/>
    </xf>
    <xf numFmtId="165" fontId="53" fillId="3" borderId="50" xfId="5" applyNumberFormat="1" applyFont="1" applyFill="1" applyBorder="1" applyAlignment="1" applyProtection="1">
      <alignment horizontal="right" vertical="center"/>
    </xf>
    <xf numFmtId="164" fontId="38" fillId="0" borderId="0" xfId="2" applyNumberFormat="1" applyFill="1" applyAlignment="1">
      <alignment vertical="center" wrapText="1"/>
    </xf>
    <xf numFmtId="164" fontId="43" fillId="3" borderId="0" xfId="2" applyNumberFormat="1" applyFont="1" applyFill="1" applyAlignment="1" applyProtection="1">
      <alignment horizontal="right" wrapText="1"/>
    </xf>
    <xf numFmtId="164" fontId="41" fillId="3" borderId="50" xfId="2" applyNumberFormat="1" applyFont="1" applyFill="1" applyBorder="1" applyAlignment="1" applyProtection="1">
      <alignment horizontal="center" vertical="center" wrapText="1"/>
    </xf>
    <xf numFmtId="164" fontId="44" fillId="0" borderId="0" xfId="2" applyNumberFormat="1" applyFont="1" applyFill="1" applyAlignment="1">
      <alignment horizontal="center" vertical="center" wrapText="1"/>
    </xf>
    <xf numFmtId="164" fontId="45" fillId="3" borderId="8" xfId="2" applyNumberFormat="1" applyFont="1" applyFill="1" applyBorder="1" applyAlignment="1" applyProtection="1">
      <alignment horizontal="center" vertical="center" wrapText="1"/>
    </xf>
    <xf numFmtId="164" fontId="45" fillId="3" borderId="10" xfId="2" applyNumberFormat="1" applyFont="1" applyFill="1" applyBorder="1" applyAlignment="1" applyProtection="1">
      <alignment horizontal="center" vertical="center" wrapText="1"/>
    </xf>
    <xf numFmtId="164" fontId="45" fillId="3" borderId="12" xfId="2" applyNumberFormat="1" applyFont="1" applyFill="1" applyBorder="1" applyAlignment="1" applyProtection="1">
      <alignment horizontal="center" vertical="center" wrapText="1"/>
    </xf>
    <xf numFmtId="164" fontId="61" fillId="3" borderId="18" xfId="2" applyNumberFormat="1" applyFont="1" applyFill="1" applyBorder="1" applyAlignment="1" applyProtection="1">
      <alignment horizontal="left" vertical="center" wrapText="1" indent="1"/>
      <protection locked="0"/>
    </xf>
    <xf numFmtId="164" fontId="49" fillId="3" borderId="19" xfId="2" applyNumberFormat="1" applyFont="1" applyFill="1" applyBorder="1" applyAlignment="1" applyProtection="1">
      <alignment vertical="center" wrapText="1"/>
      <protection locked="0"/>
    </xf>
    <xf numFmtId="49" fontId="49" fillId="3" borderId="19" xfId="2" applyNumberFormat="1" applyFont="1" applyFill="1" applyBorder="1" applyAlignment="1" applyProtection="1">
      <alignment horizontal="center" vertical="center" wrapText="1"/>
      <protection locked="0"/>
    </xf>
    <xf numFmtId="164" fontId="49" fillId="3" borderId="20" xfId="2" applyNumberFormat="1" applyFont="1" applyFill="1" applyBorder="1" applyAlignment="1" applyProtection="1">
      <alignment vertical="center" wrapText="1"/>
    </xf>
    <xf numFmtId="164" fontId="49" fillId="3" borderId="18" xfId="2" applyNumberFormat="1" applyFont="1" applyFill="1" applyBorder="1" applyAlignment="1" applyProtection="1">
      <alignment horizontal="left" vertical="center" wrapText="1" indent="1"/>
      <protection locked="0"/>
    </xf>
    <xf numFmtId="164" fontId="49" fillId="3" borderId="21" xfId="2" applyNumberFormat="1" applyFont="1" applyFill="1" applyBorder="1" applyAlignment="1" applyProtection="1">
      <alignment horizontal="left" vertical="center" wrapText="1" indent="1"/>
      <protection locked="0"/>
    </xf>
    <xf numFmtId="164" fontId="49" fillId="3" borderId="22" xfId="2" applyNumberFormat="1" applyFont="1" applyFill="1" applyBorder="1" applyAlignment="1" applyProtection="1">
      <alignment vertical="center" wrapText="1"/>
      <protection locked="0"/>
    </xf>
    <xf numFmtId="49" fontId="49" fillId="3" borderId="22" xfId="2" applyNumberFormat="1" applyFont="1" applyFill="1" applyBorder="1" applyAlignment="1" applyProtection="1">
      <alignment horizontal="center" vertical="center" wrapText="1"/>
      <protection locked="0"/>
    </xf>
    <xf numFmtId="164" fontId="49" fillId="3" borderId="23" xfId="2" applyNumberFormat="1" applyFont="1" applyFill="1" applyBorder="1" applyAlignment="1" applyProtection="1">
      <alignment vertical="center" wrapText="1"/>
    </xf>
    <xf numFmtId="164" fontId="41" fillId="3" borderId="48" xfId="2" applyNumberFormat="1" applyFont="1" applyFill="1" applyBorder="1" applyAlignment="1" applyProtection="1">
      <alignment horizontal="left" vertical="center" wrapText="1"/>
    </xf>
    <xf numFmtId="164" fontId="41" fillId="3" borderId="49" xfId="2" applyNumberFormat="1" applyFont="1" applyFill="1" applyBorder="1" applyAlignment="1" applyProtection="1">
      <alignment vertical="center" wrapText="1"/>
    </xf>
    <xf numFmtId="164" fontId="41" fillId="23" borderId="49" xfId="2" applyNumberFormat="1" applyFont="1" applyFill="1" applyBorder="1" applyAlignment="1" applyProtection="1">
      <alignment vertical="center" wrapText="1"/>
    </xf>
    <xf numFmtId="164" fontId="41" fillId="3" borderId="50" xfId="2" applyNumberFormat="1" applyFont="1" applyFill="1" applyBorder="1" applyAlignment="1" applyProtection="1">
      <alignment vertical="center" wrapText="1"/>
    </xf>
    <xf numFmtId="164" fontId="44" fillId="0" borderId="0" xfId="2" applyNumberFormat="1" applyFont="1" applyFill="1" applyAlignment="1">
      <alignment vertical="center" wrapText="1"/>
    </xf>
    <xf numFmtId="164" fontId="38" fillId="3" borderId="0" xfId="2" applyNumberFormat="1" applyFill="1" applyAlignment="1">
      <alignment vertical="center" wrapText="1"/>
    </xf>
    <xf numFmtId="164" fontId="38" fillId="3" borderId="0" xfId="2" applyNumberFormat="1" applyFill="1" applyAlignment="1">
      <alignment horizontal="center" vertical="center" wrapText="1"/>
    </xf>
    <xf numFmtId="164" fontId="38" fillId="0" borderId="0" xfId="2" applyNumberFormat="1" applyFill="1" applyAlignment="1" applyProtection="1">
      <alignment horizontal="center" vertical="center" wrapText="1"/>
    </xf>
    <xf numFmtId="164" fontId="43" fillId="0" borderId="0" xfId="2" applyNumberFormat="1" applyFont="1" applyFill="1" applyAlignment="1" applyProtection="1">
      <alignment horizontal="right" wrapText="1"/>
    </xf>
    <xf numFmtId="164" fontId="41" fillId="0" borderId="76" xfId="2" applyNumberFormat="1" applyFont="1" applyFill="1" applyBorder="1" applyAlignment="1" applyProtection="1">
      <alignment horizontal="center" vertical="center" wrapText="1"/>
    </xf>
    <xf numFmtId="164" fontId="41" fillId="0" borderId="49" xfId="2" applyNumberFormat="1" applyFont="1" applyFill="1" applyBorder="1" applyAlignment="1" applyProtection="1">
      <alignment horizontal="center" vertical="center" wrapText="1"/>
    </xf>
    <xf numFmtId="164" fontId="41" fillId="0" borderId="77" xfId="2" applyNumberFormat="1" applyFont="1" applyFill="1" applyBorder="1" applyAlignment="1" applyProtection="1">
      <alignment horizontal="center" vertical="center" wrapText="1"/>
    </xf>
    <xf numFmtId="164" fontId="45" fillId="0" borderId="78" xfId="2" applyNumberFormat="1" applyFont="1" applyFill="1" applyBorder="1" applyAlignment="1" applyProtection="1">
      <alignment horizontal="center" vertical="center" wrapText="1"/>
    </xf>
    <xf numFmtId="164" fontId="45" fillId="0" borderId="10" xfId="2" applyNumberFormat="1" applyFont="1" applyFill="1" applyBorder="1" applyAlignment="1" applyProtection="1">
      <alignment horizontal="center" vertical="center" wrapText="1"/>
    </xf>
    <xf numFmtId="164" fontId="45" fillId="0" borderId="79" xfId="2" applyNumberFormat="1" applyFont="1" applyFill="1" applyBorder="1" applyAlignment="1" applyProtection="1">
      <alignment horizontal="center" vertical="center" wrapText="1"/>
    </xf>
    <xf numFmtId="164" fontId="65" fillId="0" borderId="82" xfId="2" applyNumberFormat="1" applyFont="1" applyFill="1" applyBorder="1" applyAlignment="1" applyProtection="1">
      <alignment horizontal="left" vertical="center"/>
      <protection locked="0"/>
    </xf>
    <xf numFmtId="164" fontId="65" fillId="0" borderId="19" xfId="2" applyNumberFormat="1" applyFont="1" applyFill="1" applyBorder="1" applyAlignment="1" applyProtection="1">
      <alignment vertical="center"/>
      <protection locked="0"/>
    </xf>
    <xf numFmtId="49" fontId="65" fillId="0" borderId="19" xfId="2" applyNumberFormat="1" applyFont="1" applyFill="1" applyBorder="1" applyAlignment="1" applyProtection="1">
      <alignment horizontal="center" vertical="center"/>
      <protection locked="0"/>
    </xf>
    <xf numFmtId="164" fontId="65" fillId="0" borderId="83" xfId="2" applyNumberFormat="1" applyFont="1" applyFill="1" applyBorder="1" applyAlignment="1" applyProtection="1">
      <alignment vertical="center"/>
    </xf>
    <xf numFmtId="49" fontId="65" fillId="0" borderId="9" xfId="2" applyNumberFormat="1" applyFont="1" applyFill="1" applyBorder="1" applyAlignment="1" applyProtection="1">
      <alignment horizontal="center" vertical="center"/>
      <protection locked="0"/>
    </xf>
    <xf numFmtId="164" fontId="76" fillId="0" borderId="83" xfId="2" applyNumberFormat="1" applyFont="1" applyFill="1" applyBorder="1" applyAlignment="1" applyProtection="1">
      <alignment vertical="center"/>
    </xf>
    <xf numFmtId="164" fontId="41" fillId="0" borderId="76" xfId="2" applyNumberFormat="1" applyFont="1" applyFill="1" applyBorder="1" applyAlignment="1" applyProtection="1">
      <alignment horizontal="left" vertical="center" wrapText="1"/>
    </xf>
    <xf numFmtId="164" fontId="45" fillId="0" borderId="49" xfId="2" applyNumberFormat="1" applyFont="1" applyFill="1" applyBorder="1" applyAlignment="1" applyProtection="1">
      <alignment vertical="center" wrapText="1"/>
    </xf>
    <xf numFmtId="164" fontId="45" fillId="0" borderId="77" xfId="2" applyNumberFormat="1" applyFont="1" applyFill="1" applyBorder="1" applyAlignment="1" applyProtection="1">
      <alignment vertical="center" wrapText="1"/>
    </xf>
    <xf numFmtId="164" fontId="54" fillId="0" borderId="0" xfId="2" applyNumberFormat="1" applyFont="1" applyFill="1" applyAlignment="1">
      <alignment horizontal="left" vertical="center" wrapText="1"/>
    </xf>
    <xf numFmtId="164" fontId="38" fillId="0" borderId="0" xfId="2" applyNumberFormat="1" applyFill="1" applyAlignment="1">
      <alignment horizontal="center" vertical="center" wrapText="1"/>
    </xf>
    <xf numFmtId="164" fontId="65" fillId="0" borderId="19" xfId="2" applyNumberFormat="1" applyFont="1" applyFill="1" applyBorder="1" applyAlignment="1" applyProtection="1">
      <alignment horizontal="center" vertical="center"/>
      <protection locked="0"/>
    </xf>
    <xf numFmtId="164" fontId="65" fillId="0" borderId="9" xfId="2" applyNumberFormat="1" applyFont="1" applyFill="1" applyBorder="1" applyAlignment="1" applyProtection="1">
      <alignment horizontal="center" vertical="center"/>
      <protection locked="0"/>
    </xf>
    <xf numFmtId="164" fontId="65" fillId="0" borderId="84" xfId="2" applyNumberFormat="1" applyFont="1" applyFill="1" applyBorder="1" applyAlignment="1" applyProtection="1">
      <alignment horizontal="center" vertical="center"/>
      <protection locked="0"/>
    </xf>
    <xf numFmtId="164" fontId="65" fillId="0" borderId="85" xfId="2" applyNumberFormat="1" applyFont="1" applyFill="1" applyBorder="1" applyAlignment="1" applyProtection="1">
      <alignment horizontal="center" vertical="center"/>
    </xf>
    <xf numFmtId="0" fontId="16" fillId="0" borderId="0" xfId="14"/>
    <xf numFmtId="0" fontId="78" fillId="3" borderId="0" xfId="13" applyFont="1" applyFill="1" applyAlignment="1">
      <alignment horizontal="center" vertical="center" wrapText="1"/>
    </xf>
    <xf numFmtId="0" fontId="78" fillId="3" borderId="0" xfId="13" applyFont="1" applyFill="1" applyAlignment="1">
      <alignment horizontal="center" vertical="center"/>
    </xf>
    <xf numFmtId="0" fontId="78" fillId="0" borderId="0" xfId="13" applyFont="1" applyAlignment="1">
      <alignment horizontal="center" vertical="center"/>
    </xf>
    <xf numFmtId="0" fontId="79" fillId="3" borderId="37" xfId="13" applyFont="1" applyFill="1" applyBorder="1" applyAlignment="1">
      <alignment horizontal="center"/>
    </xf>
    <xf numFmtId="0" fontId="78" fillId="0" borderId="0" xfId="13" applyFont="1" applyBorder="1" applyAlignment="1">
      <alignment horizontal="right"/>
    </xf>
    <xf numFmtId="0" fontId="79" fillId="3" borderId="38" xfId="13" applyFont="1" applyFill="1" applyBorder="1" applyAlignment="1">
      <alignment horizontal="center" wrapText="1"/>
    </xf>
    <xf numFmtId="0" fontId="81" fillId="3" borderId="24" xfId="13" applyFont="1" applyFill="1" applyBorder="1" applyAlignment="1">
      <alignment horizontal="center" vertical="center"/>
    </xf>
    <xf numFmtId="0" fontId="81" fillId="3" borderId="25" xfId="13" applyFont="1" applyFill="1" applyBorder="1" applyAlignment="1">
      <alignment horizontal="center" vertical="center"/>
    </xf>
    <xf numFmtId="0" fontId="80" fillId="3" borderId="40" xfId="13" applyFont="1" applyFill="1" applyBorder="1" applyAlignment="1">
      <alignment horizontal="left"/>
    </xf>
    <xf numFmtId="3" fontId="80" fillId="3" borderId="41" xfId="13" applyNumberFormat="1" applyFont="1" applyFill="1" applyBorder="1" applyAlignment="1">
      <alignment horizontal="right"/>
    </xf>
    <xf numFmtId="0" fontId="79" fillId="3" borderId="15" xfId="13" applyFont="1" applyFill="1" applyBorder="1" applyAlignment="1">
      <alignment horizontal="right"/>
    </xf>
    <xf numFmtId="3" fontId="79" fillId="3" borderId="17" xfId="13" applyNumberFormat="1" applyFont="1" applyFill="1" applyBorder="1" applyAlignment="1">
      <alignment horizontal="right"/>
    </xf>
    <xf numFmtId="0" fontId="82" fillId="3" borderId="31" xfId="13" applyFont="1" applyFill="1" applyBorder="1" applyAlignment="1">
      <alignment horizontal="left" wrapText="1"/>
    </xf>
    <xf numFmtId="0" fontId="80" fillId="3" borderId="43" xfId="13" applyFont="1" applyFill="1" applyBorder="1" applyAlignment="1">
      <alignment horizontal="right"/>
    </xf>
    <xf numFmtId="0" fontId="80" fillId="3" borderId="18" xfId="13" applyFont="1" applyFill="1" applyBorder="1" applyAlignment="1">
      <alignment horizontal="right"/>
    </xf>
    <xf numFmtId="3" fontId="80" fillId="3" borderId="20" xfId="13" applyNumberFormat="1" applyFont="1" applyFill="1" applyBorder="1" applyAlignment="1">
      <alignment horizontal="right"/>
    </xf>
    <xf numFmtId="0" fontId="82" fillId="0" borderId="0" xfId="13" applyFont="1" applyBorder="1" applyAlignment="1">
      <alignment horizontal="right"/>
    </xf>
    <xf numFmtId="0" fontId="82" fillId="3" borderId="42" xfId="13" applyFont="1" applyFill="1" applyBorder="1" applyAlignment="1">
      <alignment horizontal="left" wrapText="1"/>
    </xf>
    <xf numFmtId="3" fontId="79" fillId="3" borderId="43" xfId="13" applyNumberFormat="1" applyFont="1" applyFill="1" applyBorder="1" applyAlignment="1">
      <alignment horizontal="right"/>
    </xf>
    <xf numFmtId="3" fontId="79" fillId="3" borderId="18" xfId="13" applyNumberFormat="1" applyFont="1" applyFill="1" applyBorder="1" applyAlignment="1">
      <alignment horizontal="right"/>
    </xf>
    <xf numFmtId="0" fontId="14" fillId="0" borderId="0" xfId="14" applyFont="1"/>
    <xf numFmtId="0" fontId="80" fillId="3" borderId="42" xfId="13" applyFont="1" applyFill="1" applyBorder="1" applyAlignment="1">
      <alignment horizontal="left"/>
    </xf>
    <xf numFmtId="3" fontId="7" fillId="3" borderId="43" xfId="13" applyNumberFormat="1" applyFont="1" applyFill="1" applyBorder="1" applyAlignment="1">
      <alignment horizontal="right"/>
    </xf>
    <xf numFmtId="3" fontId="7" fillId="3" borderId="18" xfId="13" applyNumberFormat="1" applyFont="1" applyFill="1" applyBorder="1" applyAlignment="1">
      <alignment horizontal="right"/>
    </xf>
    <xf numFmtId="3" fontId="7" fillId="3" borderId="20" xfId="13" applyNumberFormat="1" applyFont="1" applyFill="1" applyBorder="1" applyAlignment="1">
      <alignment horizontal="right"/>
    </xf>
    <xf numFmtId="3" fontId="83" fillId="0" borderId="65" xfId="13" applyNumberFormat="1" applyFont="1" applyBorder="1" applyAlignment="1">
      <alignment horizontal="right"/>
    </xf>
    <xf numFmtId="3" fontId="83" fillId="0" borderId="43" xfId="13" applyNumberFormat="1" applyFont="1" applyBorder="1" applyAlignment="1">
      <alignment horizontal="right"/>
    </xf>
    <xf numFmtId="0" fontId="82" fillId="3" borderId="42" xfId="13" applyFont="1" applyFill="1" applyBorder="1" applyAlignment="1">
      <alignment horizontal="left" indent="1"/>
    </xf>
    <xf numFmtId="3" fontId="83" fillId="3" borderId="43" xfId="13" applyNumberFormat="1" applyFont="1" applyFill="1" applyBorder="1" applyAlignment="1">
      <alignment horizontal="right"/>
    </xf>
    <xf numFmtId="3" fontId="83" fillId="3" borderId="18" xfId="13" applyNumberFormat="1" applyFont="1" applyFill="1" applyBorder="1"/>
    <xf numFmtId="3" fontId="83" fillId="3" borderId="20" xfId="13" applyNumberFormat="1" applyFont="1" applyFill="1" applyBorder="1"/>
    <xf numFmtId="0" fontId="38" fillId="0" borderId="0" xfId="2"/>
    <xf numFmtId="0" fontId="74" fillId="0" borderId="0" xfId="13"/>
    <xf numFmtId="0" fontId="85" fillId="0" borderId="0" xfId="13" applyFont="1" applyAlignment="1">
      <alignment wrapText="1"/>
    </xf>
    <xf numFmtId="0" fontId="16" fillId="0" borderId="0" xfId="14" applyAlignment="1">
      <alignment wrapText="1"/>
    </xf>
    <xf numFmtId="3" fontId="84" fillId="0" borderId="65" xfId="13" applyNumberFormat="1" applyFont="1" applyBorder="1" applyAlignment="1">
      <alignment horizontal="right"/>
    </xf>
    <xf numFmtId="3" fontId="84" fillId="0" borderId="43" xfId="13" applyNumberFormat="1" applyFont="1" applyBorder="1" applyAlignment="1">
      <alignment horizontal="right"/>
    </xf>
    <xf numFmtId="3" fontId="86" fillId="3" borderId="43" xfId="13" applyNumberFormat="1" applyFont="1" applyFill="1" applyBorder="1" applyAlignment="1">
      <alignment horizontal="right"/>
    </xf>
    <xf numFmtId="3" fontId="83" fillId="3" borderId="18" xfId="13" applyNumberFormat="1" applyFont="1" applyFill="1" applyBorder="1" applyAlignment="1">
      <alignment horizontal="right"/>
    </xf>
    <xf numFmtId="3" fontId="83" fillId="3" borderId="20" xfId="13" applyNumberFormat="1" applyFont="1" applyFill="1" applyBorder="1" applyAlignment="1">
      <alignment horizontal="right"/>
    </xf>
    <xf numFmtId="0" fontId="78" fillId="3" borderId="45" xfId="13" applyFont="1" applyFill="1" applyBorder="1" applyAlignment="1">
      <alignment horizontal="left" indent="1"/>
    </xf>
    <xf numFmtId="3" fontId="4" fillId="3" borderId="43" xfId="13" applyNumberFormat="1" applyFont="1" applyFill="1" applyBorder="1" applyAlignment="1">
      <alignment horizontal="right"/>
    </xf>
    <xf numFmtId="3" fontId="4" fillId="3" borderId="18" xfId="13" applyNumberFormat="1" applyFont="1" applyFill="1" applyBorder="1" applyAlignment="1">
      <alignment horizontal="right"/>
    </xf>
    <xf numFmtId="3" fontId="4" fillId="3" borderId="20" xfId="13" applyNumberFormat="1" applyFont="1" applyFill="1" applyBorder="1" applyAlignment="1">
      <alignment horizontal="right"/>
    </xf>
    <xf numFmtId="3" fontId="4" fillId="0" borderId="66" xfId="13" applyNumberFormat="1" applyFont="1" applyBorder="1" applyAlignment="1">
      <alignment horizontal="right"/>
    </xf>
    <xf numFmtId="3" fontId="4" fillId="0" borderId="44" xfId="13" applyNumberFormat="1" applyFont="1" applyBorder="1" applyAlignment="1">
      <alignment horizontal="right"/>
    </xf>
    <xf numFmtId="0" fontId="82" fillId="3" borderId="45" xfId="13" applyFont="1" applyFill="1" applyBorder="1" applyAlignment="1">
      <alignment horizontal="left" indent="1"/>
    </xf>
    <xf numFmtId="3" fontId="83" fillId="0" borderId="66" xfId="13" applyNumberFormat="1" applyFont="1" applyBorder="1" applyAlignment="1">
      <alignment horizontal="right"/>
    </xf>
    <xf numFmtId="3" fontId="83" fillId="0" borderId="44" xfId="13" applyNumberFormat="1" applyFont="1" applyBorder="1" applyAlignment="1">
      <alignment horizontal="right"/>
    </xf>
    <xf numFmtId="3" fontId="83" fillId="3" borderId="44" xfId="13" applyNumberFormat="1" applyFont="1" applyFill="1" applyBorder="1" applyAlignment="1">
      <alignment horizontal="right"/>
    </xf>
    <xf numFmtId="3" fontId="83" fillId="3" borderId="21" xfId="13" applyNumberFormat="1" applyFont="1" applyFill="1" applyBorder="1" applyAlignment="1">
      <alignment horizontal="right"/>
    </xf>
    <xf numFmtId="3" fontId="83" fillId="3" borderId="23" xfId="13" applyNumberFormat="1" applyFont="1" applyFill="1" applyBorder="1" applyAlignment="1">
      <alignment horizontal="right"/>
    </xf>
    <xf numFmtId="0" fontId="84" fillId="3" borderId="34" xfId="13" applyFont="1" applyFill="1" applyBorder="1" applyAlignment="1">
      <alignment horizontal="center"/>
    </xf>
    <xf numFmtId="3" fontId="84" fillId="3" borderId="47" xfId="13" applyNumberFormat="1" applyFont="1" applyFill="1" applyBorder="1"/>
    <xf numFmtId="3" fontId="84" fillId="3" borderId="34" xfId="13" applyNumberFormat="1" applyFont="1" applyFill="1" applyBorder="1"/>
    <xf numFmtId="3" fontId="84" fillId="3" borderId="50" xfId="13" applyNumberFormat="1" applyFont="1" applyFill="1" applyBorder="1"/>
    <xf numFmtId="3" fontId="84" fillId="0" borderId="69" xfId="13" applyNumberFormat="1" applyFont="1" applyBorder="1"/>
    <xf numFmtId="3" fontId="84" fillId="0" borderId="46" xfId="13" applyNumberFormat="1" applyFont="1" applyBorder="1"/>
    <xf numFmtId="0" fontId="16" fillId="3" borderId="0" xfId="14" applyFill="1"/>
    <xf numFmtId="3" fontId="7" fillId="3" borderId="18" xfId="13" applyNumberFormat="1" applyFont="1" applyFill="1" applyBorder="1"/>
    <xf numFmtId="3" fontId="7" fillId="3" borderId="20" xfId="13" applyNumberFormat="1" applyFont="1" applyFill="1" applyBorder="1"/>
    <xf numFmtId="0" fontId="80" fillId="3" borderId="42" xfId="13" applyFont="1" applyFill="1" applyBorder="1" applyAlignment="1">
      <alignment horizontal="left" wrapText="1"/>
    </xf>
    <xf numFmtId="3" fontId="7" fillId="3" borderId="43" xfId="13" applyNumberFormat="1" applyFont="1" applyFill="1" applyBorder="1" applyAlignment="1">
      <alignment wrapText="1"/>
    </xf>
    <xf numFmtId="3" fontId="7" fillId="3" borderId="18" xfId="13" applyNumberFormat="1" applyFont="1" applyFill="1" applyBorder="1" applyAlignment="1">
      <alignment wrapText="1"/>
    </xf>
    <xf numFmtId="3" fontId="7" fillId="3" borderId="20" xfId="13" applyNumberFormat="1" applyFont="1" applyFill="1" applyBorder="1" applyAlignment="1">
      <alignment wrapText="1"/>
    </xf>
    <xf numFmtId="0" fontId="41" fillId="3" borderId="34" xfId="2" applyFont="1" applyFill="1" applyBorder="1" applyAlignment="1" applyProtection="1">
      <alignment horizontal="center" vertical="center" wrapText="1"/>
    </xf>
    <xf numFmtId="0" fontId="38" fillId="0" borderId="0" xfId="2" applyFill="1"/>
    <xf numFmtId="0" fontId="40" fillId="0" borderId="0" xfId="2" applyFont="1" applyFill="1" applyProtection="1">
      <protection locked="0"/>
    </xf>
    <xf numFmtId="0" fontId="38" fillId="0" borderId="0" xfId="2" applyFill="1" applyProtection="1">
      <protection locked="0"/>
    </xf>
    <xf numFmtId="0" fontId="64" fillId="0" borderId="0" xfId="2" applyFont="1" applyFill="1"/>
    <xf numFmtId="0" fontId="41" fillId="0" borderId="48" xfId="2" applyFont="1" applyFill="1" applyBorder="1" applyAlignment="1" applyProtection="1">
      <alignment horizontal="center" vertical="center" wrapText="1"/>
    </xf>
    <xf numFmtId="0" fontId="41" fillId="0" borderId="49" xfId="2" applyFont="1" applyFill="1" applyBorder="1" applyAlignment="1" applyProtection="1">
      <alignment horizontal="center" vertical="center" wrapText="1"/>
    </xf>
    <xf numFmtId="0" fontId="41" fillId="0" borderId="50" xfId="2" applyFont="1" applyFill="1" applyBorder="1" applyAlignment="1" applyProtection="1">
      <alignment horizontal="center" vertical="center" wrapText="1"/>
    </xf>
    <xf numFmtId="0" fontId="44" fillId="0" borderId="0" xfId="2" applyFont="1" applyFill="1" applyAlignment="1">
      <alignment horizontal="center" vertical="center" wrapText="1"/>
    </xf>
    <xf numFmtId="0" fontId="54" fillId="0" borderId="15" xfId="2" applyFont="1" applyFill="1" applyBorder="1" applyAlignment="1" applyProtection="1">
      <alignment horizontal="center" vertical="center"/>
    </xf>
    <xf numFmtId="0" fontId="54" fillId="0" borderId="16" xfId="2" applyFont="1" applyFill="1" applyBorder="1" applyAlignment="1" applyProtection="1">
      <alignment vertical="center" wrapText="1"/>
    </xf>
    <xf numFmtId="164" fontId="54" fillId="0" borderId="16" xfId="2" applyNumberFormat="1" applyFont="1" applyFill="1" applyBorder="1" applyAlignment="1" applyProtection="1">
      <alignment vertical="center"/>
      <protection locked="0"/>
    </xf>
    <xf numFmtId="164" fontId="53" fillId="0" borderId="17" xfId="2" applyNumberFormat="1" applyFont="1" applyFill="1" applyBorder="1" applyAlignment="1" applyProtection="1">
      <alignment vertical="center"/>
    </xf>
    <xf numFmtId="0" fontId="54" fillId="0" borderId="18" xfId="2" applyFont="1" applyFill="1" applyBorder="1" applyAlignment="1" applyProtection="1">
      <alignment horizontal="center" vertical="center"/>
    </xf>
    <xf numFmtId="0" fontId="54" fillId="0" borderId="19" xfId="2" applyFont="1" applyFill="1" applyBorder="1" applyAlignment="1" applyProtection="1">
      <alignment vertical="center" wrapText="1"/>
    </xf>
    <xf numFmtId="164" fontId="54" fillId="0" borderId="19" xfId="2" applyNumberFormat="1" applyFont="1" applyFill="1" applyBorder="1" applyAlignment="1" applyProtection="1">
      <alignment vertical="center"/>
      <protection locked="0"/>
    </xf>
    <xf numFmtId="164" fontId="53" fillId="0" borderId="20" xfId="2" applyNumberFormat="1" applyFont="1" applyFill="1" applyBorder="1" applyAlignment="1" applyProtection="1">
      <alignment vertical="center"/>
    </xf>
    <xf numFmtId="0" fontId="54" fillId="0" borderId="21" xfId="2" applyFont="1" applyFill="1" applyBorder="1" applyAlignment="1" applyProtection="1">
      <alignment horizontal="center" vertical="center"/>
    </xf>
    <xf numFmtId="0" fontId="54" fillId="0" borderId="22" xfId="2" applyFont="1" applyFill="1" applyBorder="1" applyAlignment="1" applyProtection="1">
      <alignment vertical="center" wrapText="1"/>
    </xf>
    <xf numFmtId="164" fontId="54" fillId="0" borderId="22" xfId="2" applyNumberFormat="1" applyFont="1" applyFill="1" applyBorder="1" applyAlignment="1" applyProtection="1">
      <alignment vertical="center"/>
      <protection locked="0"/>
    </xf>
    <xf numFmtId="164" fontId="53" fillId="0" borderId="23" xfId="2" applyNumberFormat="1" applyFont="1" applyFill="1" applyBorder="1" applyAlignment="1" applyProtection="1">
      <alignment vertical="center"/>
    </xf>
    <xf numFmtId="0" fontId="53" fillId="0" borderId="48" xfId="2" applyFont="1" applyFill="1" applyBorder="1" applyAlignment="1" applyProtection="1">
      <alignment horizontal="center" vertical="center"/>
    </xf>
    <xf numFmtId="0" fontId="57" fillId="0" borderId="49" xfId="2" applyFont="1" applyFill="1" applyBorder="1" applyAlignment="1" applyProtection="1">
      <alignment vertical="center" wrapText="1"/>
    </xf>
    <xf numFmtId="164" fontId="53" fillId="0" borderId="49" xfId="2" applyNumberFormat="1" applyFont="1" applyFill="1" applyBorder="1" applyAlignment="1" applyProtection="1">
      <alignment vertical="center"/>
    </xf>
    <xf numFmtId="164" fontId="53" fillId="0" borderId="50" xfId="2" applyNumberFormat="1" applyFont="1" applyFill="1" applyBorder="1" applyAlignment="1" applyProtection="1">
      <alignment vertical="center"/>
    </xf>
    <xf numFmtId="0" fontId="44" fillId="0" borderId="0" xfId="2" applyFont="1" applyFill="1"/>
    <xf numFmtId="0" fontId="38" fillId="0" borderId="0" xfId="2" applyFill="1" applyAlignment="1">
      <alignment vertical="center"/>
    </xf>
    <xf numFmtId="0" fontId="87" fillId="0" borderId="0" xfId="2" applyFont="1" applyFill="1" applyAlignment="1" applyProtection="1">
      <alignment vertical="center"/>
    </xf>
    <xf numFmtId="0" fontId="40" fillId="0" borderId="0" xfId="2" applyFont="1" applyFill="1" applyAlignment="1" applyProtection="1">
      <alignment vertical="center"/>
    </xf>
    <xf numFmtId="0" fontId="40" fillId="0" borderId="0" xfId="2" applyFont="1" applyFill="1" applyAlignment="1" applyProtection="1">
      <alignment vertical="center"/>
      <protection locked="0"/>
    </xf>
    <xf numFmtId="0" fontId="38" fillId="0" borderId="0" xfId="2" applyFill="1" applyAlignment="1" applyProtection="1">
      <alignment vertical="center"/>
    </xf>
    <xf numFmtId="0" fontId="38" fillId="0" borderId="0" xfId="2" applyFill="1" applyAlignment="1" applyProtection="1">
      <alignment vertical="center"/>
      <protection locked="0"/>
    </xf>
    <xf numFmtId="0" fontId="63" fillId="0" borderId="0" xfId="2" applyFont="1" applyFill="1" applyAlignment="1" applyProtection="1">
      <alignment vertical="center"/>
      <protection locked="0"/>
    </xf>
    <xf numFmtId="0" fontId="64" fillId="0" borderId="0" xfId="2" applyFont="1" applyFill="1" applyAlignment="1" applyProtection="1">
      <alignment vertical="center"/>
    </xf>
    <xf numFmtId="0" fontId="64" fillId="0" borderId="0" xfId="2" applyFont="1" applyFill="1" applyAlignment="1">
      <alignment vertical="center"/>
    </xf>
    <xf numFmtId="0" fontId="38" fillId="0" borderId="0" xfId="2" applyFill="1" applyBorder="1" applyAlignment="1">
      <alignment vertical="center"/>
    </xf>
    <xf numFmtId="0" fontId="43" fillId="0" borderId="0" xfId="2" applyFont="1" applyFill="1" applyBorder="1" applyAlignment="1">
      <alignment horizontal="center" vertical="center"/>
    </xf>
    <xf numFmtId="6" fontId="64" fillId="0" borderId="0" xfId="2" applyNumberFormat="1" applyFont="1" applyFill="1" applyAlignment="1" applyProtection="1">
      <alignment vertical="center"/>
    </xf>
    <xf numFmtId="0" fontId="57" fillId="0" borderId="2" xfId="2" applyFont="1" applyBorder="1" applyAlignment="1" applyProtection="1">
      <alignment horizontal="center" vertical="center" wrapText="1"/>
    </xf>
    <xf numFmtId="0" fontId="57" fillId="0" borderId="70" xfId="2" applyFont="1" applyBorder="1" applyAlignment="1" applyProtection="1">
      <alignment horizontal="center" vertical="center"/>
    </xf>
    <xf numFmtId="0" fontId="57" fillId="0" borderId="7" xfId="2" applyFont="1" applyBorder="1" applyAlignment="1" applyProtection="1">
      <alignment horizontal="center" vertical="center" wrapText="1"/>
    </xf>
    <xf numFmtId="0" fontId="54" fillId="0" borderId="18" xfId="2" applyFont="1" applyBorder="1" applyAlignment="1" applyProtection="1">
      <alignment horizontal="right" vertical="center" indent="1"/>
    </xf>
    <xf numFmtId="0" fontId="54" fillId="0" borderId="19" xfId="2" applyFont="1" applyBorder="1" applyAlignment="1" applyProtection="1">
      <alignment horizontal="left" vertical="center" wrapText="1" indent="1"/>
      <protection locked="0"/>
    </xf>
    <xf numFmtId="0" fontId="54" fillId="0" borderId="19" xfId="2" applyFont="1" applyBorder="1" applyAlignment="1" applyProtection="1">
      <alignment horizontal="left" vertical="center" indent="1"/>
      <protection locked="0"/>
    </xf>
    <xf numFmtId="3" fontId="54" fillId="0" borderId="20" xfId="2" applyNumberFormat="1" applyFont="1" applyBorder="1" applyAlignment="1" applyProtection="1">
      <alignment horizontal="right" vertical="center" indent="1"/>
      <protection locked="0"/>
    </xf>
    <xf numFmtId="3" fontId="38" fillId="0" borderId="0" xfId="2" applyNumberFormat="1"/>
    <xf numFmtId="3" fontId="54" fillId="0" borderId="20" xfId="2" applyNumberFormat="1" applyFont="1" applyFill="1" applyBorder="1" applyAlignment="1" applyProtection="1">
      <alignment horizontal="right" vertical="center" indent="1"/>
      <protection locked="0"/>
    </xf>
    <xf numFmtId="0" fontId="54" fillId="0" borderId="22" xfId="2" applyFont="1" applyBorder="1" applyAlignment="1" applyProtection="1">
      <alignment horizontal="left" vertical="center" indent="1"/>
      <protection locked="0"/>
    </xf>
    <xf numFmtId="3" fontId="54" fillId="0" borderId="23" xfId="2" applyNumberFormat="1" applyFont="1" applyFill="1" applyBorder="1" applyAlignment="1" applyProtection="1">
      <alignment horizontal="right" vertical="center" indent="1"/>
      <protection locked="0"/>
    </xf>
    <xf numFmtId="164" fontId="73" fillId="24" borderId="47" xfId="2" applyNumberFormat="1" applyFont="1" applyFill="1" applyBorder="1" applyAlignment="1" applyProtection="1">
      <alignment horizontal="left" vertical="center" wrapText="1" indent="2"/>
    </xf>
    <xf numFmtId="3" fontId="61" fillId="0" borderId="50" xfId="2" applyNumberFormat="1" applyFont="1" applyFill="1" applyBorder="1" applyAlignment="1" applyProtection="1">
      <alignment horizontal="right" vertical="center" indent="1"/>
    </xf>
    <xf numFmtId="0" fontId="54" fillId="0" borderId="0" xfId="2" applyFont="1"/>
    <xf numFmtId="164" fontId="43" fillId="0" borderId="0" xfId="2" applyNumberFormat="1" applyFont="1" applyFill="1" applyAlignment="1" applyProtection="1">
      <alignment horizontal="right"/>
    </xf>
    <xf numFmtId="164" fontId="71" fillId="0" borderId="0" xfId="2" applyNumberFormat="1" applyFont="1" applyFill="1" applyAlignment="1" applyProtection="1">
      <alignment vertical="center"/>
    </xf>
    <xf numFmtId="164" fontId="41" fillId="0" borderId="68" xfId="2" applyNumberFormat="1" applyFont="1" applyFill="1" applyBorder="1" applyAlignment="1" applyProtection="1">
      <alignment horizontal="center" vertical="center"/>
    </xf>
    <xf numFmtId="164" fontId="41" fillId="0" borderId="25" xfId="2" applyNumberFormat="1" applyFont="1" applyFill="1" applyBorder="1" applyAlignment="1" applyProtection="1">
      <alignment horizontal="center" vertical="center" wrapText="1"/>
    </xf>
    <xf numFmtId="164" fontId="71" fillId="0" borderId="0" xfId="2" applyNumberFormat="1" applyFont="1" applyFill="1" applyAlignment="1" applyProtection="1">
      <alignment horizontal="center" vertical="center"/>
    </xf>
    <xf numFmtId="164" fontId="45" fillId="0" borderId="34" xfId="2" applyNumberFormat="1" applyFont="1" applyFill="1" applyBorder="1" applyAlignment="1" applyProtection="1">
      <alignment horizontal="center" vertical="center" wrapText="1"/>
    </xf>
    <xf numFmtId="164" fontId="45" fillId="0" borderId="47" xfId="2" applyNumberFormat="1" applyFont="1" applyFill="1" applyBorder="1" applyAlignment="1" applyProtection="1">
      <alignment horizontal="center" vertical="center" wrapText="1"/>
    </xf>
    <xf numFmtId="164" fontId="45" fillId="0" borderId="53" xfId="2" applyNumberFormat="1" applyFont="1" applyFill="1" applyBorder="1" applyAlignment="1" applyProtection="1">
      <alignment horizontal="center" vertical="center" wrapText="1"/>
    </xf>
    <xf numFmtId="164" fontId="45" fillId="0" borderId="50" xfId="2" applyNumberFormat="1" applyFont="1" applyFill="1" applyBorder="1" applyAlignment="1" applyProtection="1">
      <alignment horizontal="center" vertical="center" wrapText="1"/>
    </xf>
    <xf numFmtId="164" fontId="45" fillId="0" borderId="36" xfId="2" applyNumberFormat="1" applyFont="1" applyFill="1" applyBorder="1" applyAlignment="1" applyProtection="1">
      <alignment horizontal="center" vertical="center" wrapText="1"/>
    </xf>
    <xf numFmtId="164" fontId="71" fillId="0" borderId="0" xfId="2" applyNumberFormat="1" applyFont="1" applyFill="1" applyAlignment="1" applyProtection="1">
      <alignment horizontal="center" vertical="center" wrapText="1"/>
    </xf>
    <xf numFmtId="164" fontId="45" fillId="0" borderId="48" xfId="2" applyNumberFormat="1" applyFont="1" applyFill="1" applyBorder="1" applyAlignment="1" applyProtection="1">
      <alignment horizontal="center" vertical="center" wrapText="1"/>
    </xf>
    <xf numFmtId="164" fontId="45" fillId="0" borderId="47" xfId="2" applyNumberFormat="1" applyFont="1" applyFill="1" applyBorder="1" applyAlignment="1" applyProtection="1">
      <alignment horizontal="left" vertical="center" wrapText="1" indent="1"/>
    </xf>
    <xf numFmtId="49" fontId="47" fillId="0" borderId="49" xfId="2" applyNumberFormat="1" applyFont="1" applyFill="1" applyBorder="1" applyAlignment="1" applyProtection="1">
      <alignment horizontal="center" vertical="center" wrapText="1"/>
      <protection locked="0"/>
    </xf>
    <xf numFmtId="164" fontId="47" fillId="0" borderId="47" xfId="2" applyNumberFormat="1" applyFont="1" applyFill="1" applyBorder="1" applyAlignment="1" applyProtection="1">
      <alignment vertical="center" wrapText="1"/>
    </xf>
    <xf numFmtId="164" fontId="47" fillId="0" borderId="48" xfId="2" applyNumberFormat="1" applyFont="1" applyFill="1" applyBorder="1" applyAlignment="1" applyProtection="1">
      <alignment vertical="center" wrapText="1"/>
    </xf>
    <xf numFmtId="164" fontId="47" fillId="0" borderId="49" xfId="2" applyNumberFormat="1" applyFont="1" applyFill="1" applyBorder="1" applyAlignment="1" applyProtection="1">
      <alignment vertical="center" wrapText="1"/>
    </xf>
    <xf numFmtId="164" fontId="47" fillId="0" borderId="50" xfId="2" applyNumberFormat="1" applyFont="1" applyFill="1" applyBorder="1" applyAlignment="1" applyProtection="1">
      <alignment vertical="center" wrapText="1"/>
    </xf>
    <xf numFmtId="164" fontId="45" fillId="0" borderId="18" xfId="2" applyNumberFormat="1" applyFont="1" applyFill="1" applyBorder="1" applyAlignment="1" applyProtection="1">
      <alignment horizontal="center" vertical="center" wrapText="1"/>
    </xf>
    <xf numFmtId="164" fontId="47" fillId="0" borderId="43" xfId="2" applyNumberFormat="1" applyFont="1" applyFill="1" applyBorder="1" applyAlignment="1" applyProtection="1">
      <alignment horizontal="left" vertical="center" wrapText="1" indent="1"/>
      <protection locked="0"/>
    </xf>
    <xf numFmtId="49" fontId="73" fillId="0" borderId="19" xfId="2" applyNumberFormat="1" applyFont="1" applyFill="1" applyBorder="1" applyAlignment="1" applyProtection="1">
      <alignment horizontal="center" vertical="center" wrapText="1"/>
      <protection locked="0"/>
    </xf>
    <xf numFmtId="164" fontId="47" fillId="0" borderId="43" xfId="2" applyNumberFormat="1" applyFont="1" applyFill="1" applyBorder="1" applyAlignment="1" applyProtection="1">
      <alignment vertical="center" wrapText="1"/>
      <protection locked="0"/>
    </xf>
    <xf numFmtId="164" fontId="47" fillId="0" borderId="18" xfId="2" applyNumberFormat="1" applyFont="1" applyFill="1" applyBorder="1" applyAlignment="1" applyProtection="1">
      <alignment vertical="center" wrapText="1"/>
      <protection locked="0"/>
    </xf>
    <xf numFmtId="164" fontId="47" fillId="0" borderId="19" xfId="2" applyNumberFormat="1" applyFont="1" applyFill="1" applyBorder="1" applyAlignment="1" applyProtection="1">
      <alignment vertical="center" wrapText="1"/>
      <protection locked="0"/>
    </xf>
    <xf numFmtId="164" fontId="47" fillId="0" borderId="20" xfId="2" applyNumberFormat="1" applyFont="1" applyFill="1" applyBorder="1" applyAlignment="1" applyProtection="1">
      <alignment vertical="center" wrapText="1"/>
      <protection locked="0"/>
    </xf>
    <xf numFmtId="164" fontId="47" fillId="0" borderId="43" xfId="2" applyNumberFormat="1" applyFont="1" applyFill="1" applyBorder="1" applyAlignment="1" applyProtection="1">
      <alignment vertical="center" wrapText="1"/>
    </xf>
    <xf numFmtId="49" fontId="73" fillId="0" borderId="49" xfId="2" applyNumberFormat="1" applyFont="1" applyFill="1" applyBorder="1" applyAlignment="1" applyProtection="1">
      <alignment horizontal="center" vertical="center" wrapText="1"/>
      <protection locked="0"/>
    </xf>
    <xf numFmtId="164" fontId="45" fillId="0" borderId="21" xfId="2" applyNumberFormat="1" applyFont="1" applyFill="1" applyBorder="1" applyAlignment="1" applyProtection="1">
      <alignment horizontal="center" vertical="center" wrapText="1"/>
    </xf>
    <xf numFmtId="164" fontId="47" fillId="0" borderId="44" xfId="2" applyNumberFormat="1" applyFont="1" applyFill="1" applyBorder="1" applyAlignment="1" applyProtection="1">
      <alignment horizontal="left" vertical="center" wrapText="1" indent="1"/>
      <protection locked="0"/>
    </xf>
    <xf numFmtId="49" fontId="73" fillId="0" borderId="22" xfId="2" applyNumberFormat="1" applyFont="1" applyFill="1" applyBorder="1" applyAlignment="1" applyProtection="1">
      <alignment horizontal="center" vertical="center" wrapText="1"/>
      <protection locked="0"/>
    </xf>
    <xf numFmtId="164" fontId="47" fillId="0" borderId="44" xfId="2" applyNumberFormat="1" applyFont="1" applyFill="1" applyBorder="1" applyAlignment="1" applyProtection="1">
      <alignment vertical="center" wrapText="1"/>
      <protection locked="0"/>
    </xf>
    <xf numFmtId="164" fontId="47" fillId="0" borderId="21" xfId="2" applyNumberFormat="1" applyFont="1" applyFill="1" applyBorder="1" applyAlignment="1" applyProtection="1">
      <alignment vertical="center" wrapText="1"/>
      <protection locked="0"/>
    </xf>
    <xf numFmtId="164" fontId="47" fillId="0" borderId="22" xfId="2" applyNumberFormat="1" applyFont="1" applyFill="1" applyBorder="1" applyAlignment="1" applyProtection="1">
      <alignment vertical="center" wrapText="1"/>
      <protection locked="0"/>
    </xf>
    <xf numFmtId="164" fontId="47" fillId="0" borderId="23" xfId="2" applyNumberFormat="1" applyFont="1" applyFill="1" applyBorder="1" applyAlignment="1" applyProtection="1">
      <alignment vertical="center" wrapText="1"/>
      <protection locked="0"/>
    </xf>
    <xf numFmtId="164" fontId="47" fillId="0" borderId="44" xfId="2" applyNumberFormat="1" applyFont="1" applyFill="1" applyBorder="1" applyAlignment="1" applyProtection="1">
      <alignment vertical="center" wrapText="1"/>
    </xf>
    <xf numFmtId="164" fontId="53" fillId="0" borderId="47" xfId="2" applyNumberFormat="1" applyFont="1" applyFill="1" applyBorder="1" applyAlignment="1" applyProtection="1">
      <alignment horizontal="left" vertical="center" wrapText="1" indent="1"/>
    </xf>
    <xf numFmtId="164" fontId="45" fillId="0" borderId="51" xfId="2" applyNumberFormat="1" applyFont="1" applyFill="1" applyBorder="1" applyAlignment="1" applyProtection="1">
      <alignment horizontal="center" vertical="center" wrapText="1"/>
    </xf>
    <xf numFmtId="164" fontId="47" fillId="0" borderId="41" xfId="2" applyNumberFormat="1" applyFont="1" applyFill="1" applyBorder="1" applyAlignment="1" applyProtection="1">
      <alignment horizontal="left" vertical="center" wrapText="1" indent="1"/>
      <protection locked="0"/>
    </xf>
    <xf numFmtId="49" fontId="73" fillId="0" borderId="73" xfId="2" applyNumberFormat="1" applyFont="1" applyFill="1" applyBorder="1" applyAlignment="1" applyProtection="1">
      <alignment horizontal="center" vertical="center" wrapText="1"/>
      <protection locked="0"/>
    </xf>
    <xf numFmtId="164" fontId="47" fillId="0" borderId="36" xfId="2" applyNumberFormat="1" applyFont="1" applyFill="1" applyBorder="1" applyAlignment="1" applyProtection="1">
      <alignment vertical="center" wrapText="1"/>
      <protection locked="0"/>
    </xf>
    <xf numFmtId="164" fontId="47" fillId="0" borderId="51" xfId="2" applyNumberFormat="1" applyFont="1" applyFill="1" applyBorder="1" applyAlignment="1" applyProtection="1">
      <alignment vertical="center" wrapText="1"/>
      <protection locked="0"/>
    </xf>
    <xf numFmtId="164" fontId="47" fillId="0" borderId="52" xfId="2" applyNumberFormat="1" applyFont="1" applyFill="1" applyBorder="1" applyAlignment="1" applyProtection="1">
      <alignment vertical="center" wrapText="1"/>
      <protection locked="0"/>
    </xf>
    <xf numFmtId="164" fontId="47" fillId="0" borderId="58" xfId="2" applyNumberFormat="1" applyFont="1" applyFill="1" applyBorder="1" applyAlignment="1" applyProtection="1">
      <alignment vertical="center" wrapText="1"/>
      <protection locked="0"/>
    </xf>
    <xf numFmtId="164" fontId="47" fillId="0" borderId="36" xfId="2" applyNumberFormat="1" applyFont="1" applyFill="1" applyBorder="1" applyAlignment="1" applyProtection="1">
      <alignment vertical="center" wrapText="1"/>
    </xf>
    <xf numFmtId="164" fontId="73" fillId="25" borderId="53" xfId="2" applyNumberFormat="1" applyFont="1" applyFill="1" applyBorder="1" applyAlignment="1" applyProtection="1">
      <alignment horizontal="left" vertical="center" wrapText="1" indent="2"/>
    </xf>
    <xf numFmtId="0" fontId="38" fillId="0" borderId="0" xfId="2" applyFill="1" applyAlignment="1">
      <alignment horizontal="center" vertical="center" wrapText="1"/>
    </xf>
    <xf numFmtId="164" fontId="50" fillId="0" borderId="0" xfId="2" applyNumberFormat="1" applyFont="1" applyFill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164" fontId="50" fillId="0" borderId="0" xfId="2" applyNumberFormat="1" applyFont="1" applyFill="1" applyAlignment="1">
      <alignment vertical="center" wrapText="1"/>
    </xf>
    <xf numFmtId="164" fontId="43" fillId="0" borderId="0" xfId="2" applyNumberFormat="1" applyFont="1" applyFill="1" applyAlignment="1">
      <alignment horizontal="right" vertical="center"/>
    </xf>
    <xf numFmtId="0" fontId="41" fillId="0" borderId="48" xfId="2" applyFont="1" applyFill="1" applyBorder="1" applyAlignment="1">
      <alignment horizontal="center" vertical="center" wrapText="1"/>
    </xf>
    <xf numFmtId="0" fontId="45" fillId="0" borderId="48" xfId="2" applyFont="1" applyFill="1" applyBorder="1" applyAlignment="1">
      <alignment horizontal="center" vertical="center" wrapText="1"/>
    </xf>
    <xf numFmtId="0" fontId="45" fillId="0" borderId="49" xfId="2" applyFont="1" applyFill="1" applyBorder="1" applyAlignment="1" applyProtection="1">
      <alignment horizontal="center" vertical="center" wrapText="1"/>
    </xf>
    <xf numFmtId="0" fontId="45" fillId="0" borderId="50" xfId="2" applyFont="1" applyFill="1" applyBorder="1" applyAlignment="1" applyProtection="1">
      <alignment horizontal="center" vertical="center" wrapText="1"/>
    </xf>
    <xf numFmtId="0" fontId="54" fillId="0" borderId="13" xfId="2" applyFont="1" applyFill="1" applyBorder="1" applyAlignment="1">
      <alignment horizontal="center" vertical="center" wrapText="1"/>
    </xf>
    <xf numFmtId="0" fontId="48" fillId="0" borderId="61" xfId="2" applyFont="1" applyFill="1" applyBorder="1" applyAlignment="1" applyProtection="1">
      <alignment horizontal="left" vertical="center" wrapText="1" indent="1"/>
    </xf>
    <xf numFmtId="164" fontId="54" fillId="0" borderId="61" xfId="2" applyNumberFormat="1" applyFont="1" applyFill="1" applyBorder="1" applyAlignment="1" applyProtection="1">
      <alignment horizontal="right" vertical="center" wrapText="1" indent="1"/>
      <protection locked="0"/>
    </xf>
    <xf numFmtId="164" fontId="54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18" xfId="2" applyFont="1" applyFill="1" applyBorder="1" applyAlignment="1">
      <alignment horizontal="center" vertical="center" wrapText="1"/>
    </xf>
    <xf numFmtId="0" fontId="48" fillId="0" borderId="62" xfId="2" applyFont="1" applyFill="1" applyBorder="1" applyAlignment="1" applyProtection="1">
      <alignment horizontal="left" vertical="center" wrapText="1" indent="1"/>
    </xf>
    <xf numFmtId="164" fontId="54" fillId="0" borderId="62" xfId="2" applyNumberFormat="1" applyFont="1" applyFill="1" applyBorder="1" applyAlignment="1" applyProtection="1">
      <alignment horizontal="right" vertical="center" wrapText="1" indent="1"/>
      <protection locked="0"/>
    </xf>
    <xf numFmtId="164" fontId="54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62" xfId="2" applyFont="1" applyFill="1" applyBorder="1" applyAlignment="1" applyProtection="1">
      <alignment horizontal="left" vertical="center" wrapText="1" indent="8"/>
    </xf>
    <xf numFmtId="164" fontId="54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19" xfId="2" applyFont="1" applyFill="1" applyBorder="1" applyAlignment="1" applyProtection="1">
      <alignment vertical="center" wrapText="1"/>
      <protection locked="0"/>
    </xf>
    <xf numFmtId="0" fontId="54" fillId="0" borderId="21" xfId="2" applyFont="1" applyFill="1" applyBorder="1" applyAlignment="1">
      <alignment horizontal="center" vertical="center" wrapText="1"/>
    </xf>
    <xf numFmtId="0" fontId="54" fillId="0" borderId="9" xfId="2" applyFont="1" applyFill="1" applyBorder="1" applyAlignment="1" applyProtection="1">
      <alignment vertical="center" wrapText="1"/>
      <protection locked="0"/>
    </xf>
    <xf numFmtId="164" fontId="54" fillId="0" borderId="9" xfId="2" applyNumberFormat="1" applyFont="1" applyFill="1" applyBorder="1" applyAlignment="1" applyProtection="1">
      <alignment horizontal="right" vertical="center" wrapText="1" indent="1"/>
      <protection locked="0"/>
    </xf>
    <xf numFmtId="164" fontId="54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48" xfId="2" applyFont="1" applyFill="1" applyBorder="1" applyAlignment="1">
      <alignment horizontal="center" vertical="center" wrapText="1"/>
    </xf>
    <xf numFmtId="0" fontId="57" fillId="0" borderId="10" xfId="2" applyFont="1" applyFill="1" applyBorder="1" applyAlignment="1" applyProtection="1">
      <alignment vertical="center" wrapText="1"/>
    </xf>
    <xf numFmtId="164" fontId="53" fillId="0" borderId="10" xfId="2" applyNumberFormat="1" applyFont="1" applyFill="1" applyBorder="1" applyAlignment="1" applyProtection="1">
      <alignment vertical="center" wrapText="1"/>
    </xf>
    <xf numFmtId="164" fontId="53" fillId="0" borderId="12" xfId="2" applyNumberFormat="1" applyFont="1" applyFill="1" applyBorder="1" applyAlignment="1" applyProtection="1">
      <alignment vertical="center" wrapText="1"/>
    </xf>
    <xf numFmtId="0" fontId="38" fillId="0" borderId="0" xfId="2" applyFill="1" applyAlignment="1">
      <alignment horizontal="right" vertical="center" wrapText="1"/>
    </xf>
    <xf numFmtId="0" fontId="46" fillId="0" borderId="0" xfId="15" applyFill="1" applyProtection="1">
      <protection locked="0"/>
    </xf>
    <xf numFmtId="0" fontId="46" fillId="0" borderId="0" xfId="15" applyFill="1" applyProtection="1"/>
    <xf numFmtId="0" fontId="43" fillId="0" borderId="0" xfId="0" applyFont="1" applyFill="1" applyAlignment="1">
      <alignment horizontal="right"/>
    </xf>
    <xf numFmtId="0" fontId="57" fillId="0" borderId="2" xfId="15" applyFont="1" applyFill="1" applyBorder="1" applyAlignment="1" applyProtection="1">
      <alignment horizontal="center" vertical="center" wrapText="1"/>
    </xf>
    <xf numFmtId="0" fontId="57" fillId="0" borderId="70" xfId="15" applyFont="1" applyFill="1" applyBorder="1" applyAlignment="1" applyProtection="1">
      <alignment horizontal="center" vertical="center"/>
    </xf>
    <xf numFmtId="0" fontId="57" fillId="0" borderId="7" xfId="15" applyFont="1" applyFill="1" applyBorder="1" applyAlignment="1" applyProtection="1">
      <alignment horizontal="center" vertical="center"/>
    </xf>
    <xf numFmtId="0" fontId="46" fillId="0" borderId="0" xfId="15" applyFill="1" applyAlignment="1" applyProtection="1">
      <alignment vertical="center"/>
    </xf>
    <xf numFmtId="0" fontId="47" fillId="0" borderId="48" xfId="15" applyFont="1" applyFill="1" applyBorder="1" applyAlignment="1" applyProtection="1">
      <alignment horizontal="left" vertical="center" indent="1"/>
    </xf>
    <xf numFmtId="0" fontId="47" fillId="0" borderId="51" xfId="15" applyFont="1" applyFill="1" applyBorder="1" applyAlignment="1" applyProtection="1">
      <alignment horizontal="left" vertical="center" indent="1"/>
    </xf>
    <xf numFmtId="0" fontId="47" fillId="0" borderId="52" xfId="15" applyFont="1" applyFill="1" applyBorder="1" applyAlignment="1" applyProtection="1">
      <alignment horizontal="left" vertical="center" wrapText="1" indent="1"/>
    </xf>
    <xf numFmtId="164" fontId="73" fillId="0" borderId="52" xfId="15" applyNumberFormat="1" applyFont="1" applyFill="1" applyBorder="1" applyAlignment="1" applyProtection="1">
      <alignment vertical="center"/>
      <protection locked="0"/>
    </xf>
    <xf numFmtId="164" fontId="73" fillId="0" borderId="52" xfId="15" applyNumberFormat="1" applyFont="1" applyFill="1" applyBorder="1" applyAlignment="1" applyProtection="1">
      <alignment vertical="center"/>
    </xf>
    <xf numFmtId="164" fontId="73" fillId="0" borderId="58" xfId="15" quotePrefix="1" applyNumberFormat="1" applyFont="1" applyFill="1" applyBorder="1" applyAlignment="1" applyProtection="1">
      <alignment horizontal="center" vertical="center"/>
    </xf>
    <xf numFmtId="0" fontId="46" fillId="0" borderId="0" xfId="15" applyFill="1" applyAlignment="1" applyProtection="1">
      <alignment vertical="center"/>
      <protection locked="0"/>
    </xf>
    <xf numFmtId="0" fontId="47" fillId="0" borderId="18" xfId="15" applyFont="1" applyFill="1" applyBorder="1" applyAlignment="1" applyProtection="1">
      <alignment horizontal="left" vertical="center" indent="1"/>
    </xf>
    <xf numFmtId="0" fontId="47" fillId="0" borderId="19" xfId="15" applyFont="1" applyFill="1" applyBorder="1" applyAlignment="1" applyProtection="1">
      <alignment horizontal="left" vertical="center" wrapText="1" indent="1"/>
    </xf>
    <xf numFmtId="164" fontId="73" fillId="0" borderId="19" xfId="15" applyNumberFormat="1" applyFont="1" applyFill="1" applyBorder="1" applyAlignment="1" applyProtection="1">
      <alignment vertical="center"/>
      <protection locked="0"/>
    </xf>
    <xf numFmtId="164" fontId="73" fillId="0" borderId="20" xfId="15" applyNumberFormat="1" applyFont="1" applyFill="1" applyBorder="1" applyAlignment="1" applyProtection="1">
      <alignment vertical="center"/>
    </xf>
    <xf numFmtId="0" fontId="47" fillId="0" borderId="16" xfId="15" applyFont="1" applyFill="1" applyBorder="1" applyAlignment="1" applyProtection="1">
      <alignment horizontal="left" vertical="center" wrapText="1" indent="1"/>
    </xf>
    <xf numFmtId="164" fontId="73" fillId="0" borderId="16" xfId="15" applyNumberFormat="1" applyFont="1" applyFill="1" applyBorder="1" applyAlignment="1" applyProtection="1">
      <alignment vertical="center"/>
      <protection locked="0"/>
    </xf>
    <xf numFmtId="0" fontId="47" fillId="0" borderId="19" xfId="15" applyFont="1" applyFill="1" applyBorder="1" applyAlignment="1" applyProtection="1">
      <alignment horizontal="left" vertical="center" indent="1"/>
    </xf>
    <xf numFmtId="0" fontId="41" fillId="0" borderId="49" xfId="15" applyFont="1" applyFill="1" applyBorder="1" applyAlignment="1" applyProtection="1">
      <alignment horizontal="left" vertical="center" indent="1"/>
    </xf>
    <xf numFmtId="164" fontId="44" fillId="0" borderId="49" xfId="15" applyNumberFormat="1" applyFont="1" applyFill="1" applyBorder="1" applyAlignment="1" applyProtection="1">
      <alignment vertical="center"/>
    </xf>
    <xf numFmtId="164" fontId="44" fillId="0" borderId="50" xfId="15" quotePrefix="1" applyNumberFormat="1" applyFont="1" applyFill="1" applyBorder="1" applyAlignment="1" applyProtection="1">
      <alignment horizontal="right" vertical="center"/>
    </xf>
    <xf numFmtId="0" fontId="47" fillId="0" borderId="15" xfId="15" applyFont="1" applyFill="1" applyBorder="1" applyAlignment="1" applyProtection="1">
      <alignment horizontal="left" vertical="center" indent="1"/>
    </xf>
    <xf numFmtId="0" fontId="47" fillId="0" borderId="16" xfId="15" applyFont="1" applyFill="1" applyBorder="1" applyAlignment="1" applyProtection="1">
      <alignment horizontal="left" vertical="center" indent="1"/>
    </xf>
    <xf numFmtId="164" fontId="73" fillId="0" borderId="17" xfId="15" applyNumberFormat="1" applyFont="1" applyFill="1" applyBorder="1" applyAlignment="1" applyProtection="1">
      <alignment vertical="center"/>
    </xf>
    <xf numFmtId="0" fontId="45" fillId="0" borderId="48" xfId="15" applyFont="1" applyFill="1" applyBorder="1" applyAlignment="1" applyProtection="1">
      <alignment horizontal="left" vertical="center" indent="1"/>
    </xf>
    <xf numFmtId="164" fontId="44" fillId="0" borderId="50" xfId="15" applyNumberFormat="1" applyFont="1" applyFill="1" applyBorder="1" applyAlignment="1" applyProtection="1">
      <alignment vertical="center"/>
    </xf>
    <xf numFmtId="0" fontId="41" fillId="0" borderId="49" xfId="15" applyFont="1" applyFill="1" applyBorder="1" applyAlignment="1" applyProtection="1">
      <alignment horizontal="left" indent="1"/>
    </xf>
    <xf numFmtId="164" fontId="44" fillId="0" borderId="49" xfId="15" applyNumberFormat="1" applyFont="1" applyFill="1" applyBorder="1" applyProtection="1"/>
    <xf numFmtId="164" fontId="44" fillId="0" borderId="50" xfId="15" quotePrefix="1" applyNumberFormat="1" applyFont="1" applyFill="1" applyBorder="1" applyAlignment="1" applyProtection="1">
      <alignment horizontal="center"/>
    </xf>
    <xf numFmtId="0" fontId="63" fillId="0" borderId="0" xfId="15" applyFont="1" applyFill="1" applyProtection="1">
      <protection locked="0"/>
    </xf>
    <xf numFmtId="0" fontId="60" fillId="0" borderId="0" xfId="15" applyFont="1" applyFill="1" applyProtection="1">
      <protection locked="0"/>
    </xf>
    <xf numFmtId="0" fontId="43" fillId="0" borderId="0" xfId="2" applyFont="1" applyFill="1" applyAlignment="1">
      <alignment horizontal="right"/>
    </xf>
    <xf numFmtId="164" fontId="47" fillId="0" borderId="52" xfId="15" applyNumberFormat="1" applyFont="1" applyFill="1" applyBorder="1" applyAlignment="1" applyProtection="1">
      <alignment vertical="center"/>
      <protection locked="0"/>
    </xf>
    <xf numFmtId="164" fontId="47" fillId="0" borderId="58" xfId="15" applyNumberFormat="1" applyFont="1" applyFill="1" applyBorder="1" applyAlignment="1" applyProtection="1">
      <alignment vertical="center"/>
    </xf>
    <xf numFmtId="164" fontId="47" fillId="0" borderId="19" xfId="15" applyNumberFormat="1" applyFont="1" applyFill="1" applyBorder="1" applyAlignment="1" applyProtection="1">
      <alignment vertical="center"/>
      <protection locked="0"/>
    </xf>
    <xf numFmtId="164" fontId="47" fillId="0" borderId="20" xfId="15" applyNumberFormat="1" applyFont="1" applyFill="1" applyBorder="1" applyAlignment="1" applyProtection="1">
      <alignment vertical="center"/>
    </xf>
    <xf numFmtId="164" fontId="47" fillId="0" borderId="16" xfId="15" applyNumberFormat="1" applyFont="1" applyFill="1" applyBorder="1" applyAlignment="1" applyProtection="1">
      <alignment vertical="center"/>
      <protection locked="0"/>
    </xf>
    <xf numFmtId="164" fontId="47" fillId="0" borderId="17" xfId="15" applyNumberFormat="1" applyFont="1" applyFill="1" applyBorder="1" applyAlignment="1" applyProtection="1">
      <alignment vertical="center"/>
    </xf>
    <xf numFmtId="164" fontId="45" fillId="0" borderId="49" xfId="15" applyNumberFormat="1" applyFont="1" applyFill="1" applyBorder="1" applyAlignment="1" applyProtection="1">
      <alignment vertical="center"/>
    </xf>
    <xf numFmtId="164" fontId="45" fillId="0" borderId="50" xfId="15" applyNumberFormat="1" applyFont="1" applyFill="1" applyBorder="1" applyAlignment="1" applyProtection="1">
      <alignment vertical="center"/>
    </xf>
    <xf numFmtId="164" fontId="45" fillId="0" borderId="49" xfId="15" applyNumberFormat="1" applyFont="1" applyFill="1" applyBorder="1" applyProtection="1"/>
    <xf numFmtId="164" fontId="45" fillId="0" borderId="50" xfId="15" applyNumberFormat="1" applyFont="1" applyFill="1" applyBorder="1" applyProtection="1"/>
    <xf numFmtId="0" fontId="73" fillId="0" borderId="0" xfId="15" applyFont="1" applyFill="1" applyProtection="1"/>
    <xf numFmtId="3" fontId="38" fillId="0" borderId="0" xfId="15" applyNumberFormat="1" applyFont="1" applyFill="1" applyProtection="1">
      <protection locked="0"/>
    </xf>
    <xf numFmtId="0" fontId="38" fillId="0" borderId="0" xfId="15" applyFont="1" applyFill="1" applyProtection="1">
      <protection locked="0"/>
    </xf>
    <xf numFmtId="3" fontId="38" fillId="0" borderId="0" xfId="15" applyNumberFormat="1" applyFont="1" applyFill="1" applyProtection="1"/>
    <xf numFmtId="0" fontId="38" fillId="0" borderId="0" xfId="15" applyFont="1" applyFill="1" applyProtection="1"/>
    <xf numFmtId="3" fontId="38" fillId="0" borderId="0" xfId="15" applyNumberFormat="1" applyFont="1" applyFill="1" applyAlignment="1" applyProtection="1">
      <alignment vertical="center"/>
    </xf>
    <xf numFmtId="0" fontId="38" fillId="0" borderId="0" xfId="15" applyFont="1" applyFill="1" applyAlignment="1" applyProtection="1">
      <alignment vertical="center"/>
    </xf>
    <xf numFmtId="3" fontId="38" fillId="0" borderId="0" xfId="15" applyNumberFormat="1" applyFont="1" applyFill="1" applyAlignment="1" applyProtection="1">
      <alignment vertical="center"/>
      <protection locked="0"/>
    </xf>
    <xf numFmtId="0" fontId="38" fillId="0" borderId="0" xfId="15" applyFont="1" applyFill="1" applyAlignment="1" applyProtection="1">
      <alignment vertical="center"/>
      <protection locked="0"/>
    </xf>
    <xf numFmtId="0" fontId="41" fillId="3" borderId="68" xfId="2" applyFont="1" applyFill="1" applyBorder="1" applyAlignment="1" applyProtection="1">
      <alignment horizontal="center" vertical="center"/>
    </xf>
    <xf numFmtId="0" fontId="41" fillId="3" borderId="34" xfId="2" applyFont="1" applyFill="1" applyBorder="1" applyAlignment="1" applyProtection="1">
      <alignment horizontal="center" vertical="center" wrapText="1"/>
    </xf>
    <xf numFmtId="164" fontId="38" fillId="0" borderId="67" xfId="2" applyNumberFormat="1" applyFont="1" applyFill="1" applyBorder="1" applyAlignment="1" applyProtection="1">
      <alignment vertical="center" wrapText="1"/>
    </xf>
    <xf numFmtId="0" fontId="61" fillId="0" borderId="67" xfId="2" applyFont="1" applyFill="1" applyBorder="1" applyAlignment="1" applyProtection="1">
      <alignment vertical="center"/>
    </xf>
    <xf numFmtId="0" fontId="61" fillId="0" borderId="67" xfId="2" applyFont="1" applyFill="1" applyBorder="1" applyAlignment="1" applyProtection="1">
      <alignment horizontal="center" vertical="center" wrapText="1"/>
    </xf>
    <xf numFmtId="0" fontId="62" fillId="0" borderId="67" xfId="2" applyFont="1" applyFill="1" applyBorder="1" applyAlignment="1" applyProtection="1">
      <alignment vertical="center" wrapText="1"/>
    </xf>
    <xf numFmtId="3" fontId="38" fillId="0" borderId="67" xfId="2" applyNumberFormat="1" applyFont="1" applyFill="1" applyBorder="1" applyAlignment="1" applyProtection="1">
      <alignment vertical="center" wrapText="1"/>
    </xf>
    <xf numFmtId="3" fontId="61" fillId="0" borderId="67" xfId="2" applyNumberFormat="1" applyFont="1" applyFill="1" applyBorder="1" applyAlignment="1" applyProtection="1">
      <alignment horizontal="center" vertical="center" wrapText="1"/>
    </xf>
    <xf numFmtId="0" fontId="38" fillId="0" borderId="67" xfId="2" applyFont="1" applyFill="1" applyBorder="1" applyAlignment="1" applyProtection="1">
      <alignment vertical="center" wrapText="1"/>
    </xf>
    <xf numFmtId="49" fontId="61" fillId="0" borderId="67" xfId="2" applyNumberFormat="1" applyFont="1" applyFill="1" applyBorder="1" applyAlignment="1" applyProtection="1">
      <alignment horizontal="center" vertical="center" wrapText="1"/>
    </xf>
    <xf numFmtId="3" fontId="38" fillId="0" borderId="0" xfId="2" applyNumberFormat="1" applyFont="1" applyFill="1" applyAlignment="1" applyProtection="1">
      <alignment horizontal="center" vertical="center" wrapText="1"/>
    </xf>
    <xf numFmtId="164" fontId="40" fillId="0" borderId="67" xfId="2" applyNumberFormat="1" applyFont="1" applyFill="1" applyBorder="1" applyAlignment="1" applyProtection="1">
      <alignment vertical="center" wrapText="1"/>
    </xf>
    <xf numFmtId="0" fontId="42" fillId="0" borderId="67" xfId="2" applyFont="1" applyFill="1" applyBorder="1" applyAlignment="1" applyProtection="1">
      <alignment vertical="center"/>
    </xf>
    <xf numFmtId="0" fontId="44" fillId="0" borderId="67" xfId="2" applyFont="1" applyFill="1" applyBorder="1" applyAlignment="1" applyProtection="1">
      <alignment vertical="center"/>
    </xf>
    <xf numFmtId="3" fontId="38" fillId="0" borderId="67" xfId="2" applyNumberFormat="1" applyFont="1" applyFill="1" applyBorder="1" applyAlignment="1" applyProtection="1">
      <alignment horizontal="center" vertical="center" wrapText="1"/>
    </xf>
    <xf numFmtId="0" fontId="38" fillId="0" borderId="67" xfId="2" applyFill="1" applyBorder="1" applyAlignment="1" applyProtection="1">
      <alignment vertical="center" wrapText="1"/>
    </xf>
    <xf numFmtId="164" fontId="47" fillId="3" borderId="40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43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46" xfId="2" applyNumberFormat="1" applyFont="1" applyFill="1" applyBorder="1" applyAlignment="1" applyProtection="1">
      <alignment horizontal="right" vertical="center" wrapText="1" indent="1"/>
      <protection locked="0"/>
    </xf>
    <xf numFmtId="164" fontId="53" fillId="3" borderId="53" xfId="2" applyNumberFormat="1" applyFont="1" applyFill="1" applyBorder="1" applyAlignment="1" applyProtection="1">
      <alignment horizontal="right" vertical="center" wrapText="1" indent="1"/>
      <protection locked="0"/>
    </xf>
    <xf numFmtId="164" fontId="53" fillId="3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53" fillId="3" borderId="26" xfId="2" applyNumberFormat="1" applyFont="1" applyFill="1" applyBorder="1" applyAlignment="1" applyProtection="1">
      <alignment horizontal="right" vertical="center" wrapText="1" indent="1"/>
    </xf>
    <xf numFmtId="164" fontId="45" fillId="3" borderId="26" xfId="2" applyNumberFormat="1" applyFont="1" applyFill="1" applyBorder="1" applyAlignment="1" applyProtection="1">
      <alignment horizontal="right" vertical="center" wrapText="1" indent="1"/>
    </xf>
    <xf numFmtId="164" fontId="47" fillId="3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45" fillId="3" borderId="53" xfId="2" applyNumberFormat="1" applyFont="1" applyFill="1" applyBorder="1" applyAlignment="1" applyProtection="1">
      <alignment horizontal="right" vertical="center" wrapText="1" indent="1"/>
    </xf>
    <xf numFmtId="0" fontId="42" fillId="0" borderId="67" xfId="2" applyFont="1" applyFill="1" applyBorder="1" applyAlignment="1" applyProtection="1">
      <alignment horizontal="center" vertical="center" wrapText="1"/>
    </xf>
    <xf numFmtId="3" fontId="46" fillId="0" borderId="0" xfId="2" applyNumberFormat="1" applyFont="1" applyFill="1" applyAlignment="1" applyProtection="1">
      <alignment horizontal="center" vertical="center" wrapText="1"/>
    </xf>
    <xf numFmtId="3" fontId="64" fillId="0" borderId="0" xfId="2" applyNumberFormat="1" applyFont="1" applyFill="1" applyAlignment="1" applyProtection="1">
      <alignment vertical="center" wrapText="1"/>
    </xf>
    <xf numFmtId="3" fontId="46" fillId="0" borderId="67" xfId="2" applyNumberFormat="1" applyFont="1" applyFill="1" applyBorder="1" applyAlignment="1" applyProtection="1">
      <alignment horizontal="center" vertical="center" wrapText="1"/>
    </xf>
    <xf numFmtId="3" fontId="64" fillId="0" borderId="67" xfId="2" applyNumberFormat="1" applyFont="1" applyFill="1" applyBorder="1" applyAlignment="1" applyProtection="1">
      <alignment vertical="center" wrapText="1"/>
    </xf>
    <xf numFmtId="164" fontId="40" fillId="0" borderId="67" xfId="2" applyNumberFormat="1" applyFont="1" applyFill="1" applyBorder="1" applyAlignment="1">
      <alignment vertical="center" wrapText="1"/>
    </xf>
    <xf numFmtId="0" fontId="42" fillId="0" borderId="67" xfId="2" applyFont="1" applyFill="1" applyBorder="1" applyAlignment="1">
      <alignment vertical="center"/>
    </xf>
    <xf numFmtId="0" fontId="44" fillId="0" borderId="67" xfId="2" applyFont="1" applyFill="1" applyBorder="1" applyAlignment="1">
      <alignment vertical="center"/>
    </xf>
    <xf numFmtId="0" fontId="38" fillId="0" borderId="67" xfId="2" applyFill="1" applyBorder="1" applyAlignment="1">
      <alignment vertical="center" wrapText="1"/>
    </xf>
    <xf numFmtId="0" fontId="42" fillId="0" borderId="67" xfId="2" applyFont="1" applyFill="1" applyBorder="1" applyAlignment="1">
      <alignment horizontal="center" vertical="center" wrapText="1"/>
    </xf>
    <xf numFmtId="49" fontId="42" fillId="0" borderId="67" xfId="2" applyNumberFormat="1" applyFont="1" applyFill="1" applyBorder="1" applyAlignment="1">
      <alignment horizontal="center" vertical="center" wrapText="1"/>
    </xf>
    <xf numFmtId="3" fontId="38" fillId="0" borderId="67" xfId="2" applyNumberFormat="1" applyFont="1" applyFill="1" applyBorder="1" applyAlignment="1">
      <alignment vertical="center" wrapText="1"/>
    </xf>
    <xf numFmtId="3" fontId="61" fillId="0" borderId="67" xfId="2" applyNumberFormat="1" applyFont="1" applyFill="1" applyBorder="1" applyAlignment="1">
      <alignment vertical="center" wrapText="1"/>
    </xf>
    <xf numFmtId="3" fontId="61" fillId="0" borderId="67" xfId="2" applyNumberFormat="1" applyFont="1" applyFill="1" applyBorder="1" applyAlignment="1">
      <alignment horizontal="center" vertical="center" wrapText="1"/>
    </xf>
    <xf numFmtId="3" fontId="40" fillId="0" borderId="67" xfId="2" applyNumberFormat="1" applyFont="1" applyFill="1" applyBorder="1" applyAlignment="1">
      <alignment vertical="center" wrapText="1"/>
    </xf>
    <xf numFmtId="3" fontId="42" fillId="0" borderId="67" xfId="2" applyNumberFormat="1" applyFont="1" applyFill="1" applyBorder="1" applyAlignment="1">
      <alignment vertical="center"/>
    </xf>
    <xf numFmtId="3" fontId="44" fillId="0" borderId="67" xfId="2" applyNumberFormat="1" applyFont="1" applyFill="1" applyBorder="1" applyAlignment="1">
      <alignment vertical="center"/>
    </xf>
    <xf numFmtId="3" fontId="38" fillId="0" borderId="67" xfId="2" applyNumberFormat="1" applyFill="1" applyBorder="1" applyAlignment="1">
      <alignment vertical="center" wrapText="1"/>
    </xf>
    <xf numFmtId="3" fontId="42" fillId="0" borderId="67" xfId="2" applyNumberFormat="1" applyFont="1" applyFill="1" applyBorder="1" applyAlignment="1">
      <alignment horizontal="center" vertical="center" wrapText="1"/>
    </xf>
    <xf numFmtId="3" fontId="62" fillId="0" borderId="67" xfId="2" applyNumberFormat="1" applyFont="1" applyFill="1" applyBorder="1" applyAlignment="1">
      <alignment vertical="center" wrapText="1"/>
    </xf>
    <xf numFmtId="3" fontId="63" fillId="0" borderId="67" xfId="2" applyNumberFormat="1" applyFont="1" applyFill="1" applyBorder="1" applyAlignment="1">
      <alignment vertical="center" wrapText="1"/>
    </xf>
    <xf numFmtId="3" fontId="51" fillId="0" borderId="67" xfId="2" applyNumberFormat="1" applyFont="1" applyFill="1" applyBorder="1" applyAlignment="1">
      <alignment vertical="center" wrapText="1"/>
    </xf>
    <xf numFmtId="164" fontId="49" fillId="3" borderId="14" xfId="3" applyNumberFormat="1" applyFont="1" applyFill="1" applyBorder="1" applyAlignment="1" applyProtection="1">
      <alignment horizontal="right" vertical="center" wrapText="1" indent="1"/>
      <protection locked="0"/>
    </xf>
    <xf numFmtId="164" fontId="49" fillId="3" borderId="4" xfId="3" applyNumberFormat="1" applyFont="1" applyFill="1" applyBorder="1" applyAlignment="1" applyProtection="1">
      <alignment horizontal="right" vertical="center" wrapText="1" indent="1"/>
      <protection locked="0"/>
    </xf>
    <xf numFmtId="164" fontId="47" fillId="22" borderId="65" xfId="3" applyNumberFormat="1" applyFont="1" applyFill="1" applyBorder="1" applyAlignment="1" applyProtection="1">
      <alignment horizontal="right" vertical="center" wrapText="1" indent="1"/>
      <protection locked="0"/>
    </xf>
    <xf numFmtId="0" fontId="48" fillId="3" borderId="3" xfId="2" applyFont="1" applyFill="1" applyBorder="1" applyAlignment="1" applyProtection="1">
      <alignment horizontal="left" wrapText="1" indent="1"/>
    </xf>
    <xf numFmtId="164" fontId="54" fillId="3" borderId="4" xfId="3" applyNumberFormat="1" applyFont="1" applyFill="1" applyBorder="1" applyAlignment="1" applyProtection="1">
      <alignment horizontal="right" vertical="center" wrapText="1" indent="1"/>
      <protection locked="0"/>
    </xf>
    <xf numFmtId="0" fontId="38" fillId="3" borderId="26" xfId="2" applyFont="1" applyFill="1" applyBorder="1" applyAlignment="1" applyProtection="1">
      <alignment horizontal="right" vertical="center" wrapText="1" indent="1"/>
    </xf>
    <xf numFmtId="0" fontId="4" fillId="6" borderId="24" xfId="1" applyFont="1" applyFill="1" applyBorder="1" applyAlignment="1">
      <alignment horizontal="center" vertical="center" wrapText="1"/>
    </xf>
    <xf numFmtId="0" fontId="4" fillId="6" borderId="9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4" fillId="4" borderId="24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8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9" xfId="1" applyNumberFormat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3" fontId="4" fillId="2" borderId="11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3" fontId="4" fillId="2" borderId="12" xfId="1" applyNumberFormat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27" xfId="1" applyNumberFormat="1" applyFont="1" applyFill="1" applyBorder="1" applyAlignment="1">
      <alignment horizontal="center" vertical="center" wrapText="1"/>
    </xf>
    <xf numFmtId="0" fontId="6" fillId="2" borderId="28" xfId="1" applyNumberFormat="1" applyFont="1" applyFill="1" applyBorder="1" applyAlignment="1">
      <alignment horizontal="center" vertical="center" wrapText="1"/>
    </xf>
    <xf numFmtId="0" fontId="6" fillId="2" borderId="29" xfId="1" applyNumberFormat="1" applyFont="1" applyFill="1" applyBorder="1" applyAlignment="1">
      <alignment horizontal="center" vertical="center" wrapText="1"/>
    </xf>
    <xf numFmtId="0" fontId="7" fillId="3" borderId="21" xfId="1" applyNumberFormat="1" applyFont="1" applyFill="1" applyBorder="1" applyAlignment="1">
      <alignment horizontal="center" vertical="center"/>
    </xf>
    <xf numFmtId="0" fontId="7" fillId="3" borderId="15" xfId="1" applyNumberFormat="1" applyFont="1" applyFill="1" applyBorder="1" applyAlignment="1">
      <alignment horizontal="center" vertical="center"/>
    </xf>
    <xf numFmtId="0" fontId="4" fillId="0" borderId="30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3" fillId="0" borderId="34" xfId="0" applyNumberFormat="1" applyFont="1" applyBorder="1" applyAlignment="1">
      <alignment horizontal="center" vertical="center"/>
    </xf>
    <xf numFmtId="3" fontId="13" fillId="0" borderId="26" xfId="0" applyNumberFormat="1" applyFont="1" applyBorder="1" applyAlignment="1">
      <alignment horizontal="center" vertical="center"/>
    </xf>
    <xf numFmtId="3" fontId="13" fillId="0" borderId="35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3" fontId="14" fillId="7" borderId="31" xfId="0" applyNumberFormat="1" applyFont="1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7" borderId="32" xfId="0" applyFill="1" applyBorder="1" applyAlignment="1">
      <alignment horizontal="center" vertical="center" wrapText="1"/>
    </xf>
    <xf numFmtId="3" fontId="14" fillId="8" borderId="0" xfId="0" applyNumberFormat="1" applyFont="1" applyFill="1" applyBorder="1" applyAlignment="1">
      <alignment horizontal="center" vertical="center" wrapText="1"/>
    </xf>
    <xf numFmtId="3" fontId="14" fillId="8" borderId="32" xfId="0" applyNumberFormat="1" applyFont="1" applyFill="1" applyBorder="1" applyAlignment="1">
      <alignment horizontal="center" vertical="center" wrapText="1"/>
    </xf>
    <xf numFmtId="3" fontId="14" fillId="9" borderId="0" xfId="0" applyNumberFormat="1" applyFont="1" applyFill="1" applyBorder="1" applyAlignment="1">
      <alignment horizontal="center" vertical="center" wrapText="1"/>
    </xf>
    <xf numFmtId="3" fontId="14" fillId="9" borderId="32" xfId="0" applyNumberFormat="1" applyFont="1" applyFill="1" applyBorder="1" applyAlignment="1">
      <alignment horizontal="center" vertical="center" wrapText="1"/>
    </xf>
    <xf numFmtId="3" fontId="14" fillId="5" borderId="36" xfId="0" applyNumberFormat="1" applyFont="1" applyFill="1" applyBorder="1" applyAlignment="1">
      <alignment horizontal="center" vertical="center" wrapText="1"/>
    </xf>
    <xf numFmtId="3" fontId="14" fillId="5" borderId="39" xfId="0" applyNumberFormat="1" applyFont="1" applyFill="1" applyBorder="1" applyAlignment="1">
      <alignment horizontal="center" vertical="center" wrapText="1"/>
    </xf>
    <xf numFmtId="3" fontId="14" fillId="10" borderId="0" xfId="0" applyNumberFormat="1" applyFont="1" applyFill="1" applyBorder="1" applyAlignment="1">
      <alignment horizontal="center" vertical="center" wrapText="1"/>
    </xf>
    <xf numFmtId="3" fontId="14" fillId="10" borderId="32" xfId="0" applyNumberFormat="1" applyFont="1" applyFill="1" applyBorder="1" applyAlignment="1">
      <alignment horizontal="center" vertical="center" wrapText="1"/>
    </xf>
    <xf numFmtId="3" fontId="14" fillId="11" borderId="36" xfId="0" applyNumberFormat="1" applyFont="1" applyFill="1" applyBorder="1" applyAlignment="1">
      <alignment horizontal="center" vertical="center" wrapText="1"/>
    </xf>
    <xf numFmtId="3" fontId="14" fillId="11" borderId="38" xfId="0" applyNumberFormat="1" applyFont="1" applyFill="1" applyBorder="1" applyAlignment="1">
      <alignment horizontal="center" vertical="center" wrapText="1"/>
    </xf>
    <xf numFmtId="3" fontId="14" fillId="12" borderId="36" xfId="0" applyNumberFormat="1" applyFont="1" applyFill="1" applyBorder="1" applyAlignment="1">
      <alignment horizontal="center" vertical="center" wrapText="1"/>
    </xf>
    <xf numFmtId="3" fontId="14" fillId="12" borderId="38" xfId="0" applyNumberFormat="1" applyFont="1" applyFill="1" applyBorder="1" applyAlignment="1">
      <alignment horizontal="center" vertical="center" wrapText="1"/>
    </xf>
    <xf numFmtId="3" fontId="14" fillId="3" borderId="37" xfId="0" applyNumberFormat="1" applyFont="1" applyFill="1" applyBorder="1" applyAlignment="1">
      <alignment horizontal="center" vertical="center" wrapText="1"/>
    </xf>
    <xf numFmtId="3" fontId="14" fillId="3" borderId="3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3" fontId="14" fillId="3" borderId="36" xfId="0" applyNumberFormat="1" applyFont="1" applyFill="1" applyBorder="1" applyAlignment="1">
      <alignment horizontal="center" vertical="center"/>
    </xf>
    <xf numFmtId="3" fontId="14" fillId="3" borderId="38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left"/>
    </xf>
    <xf numFmtId="3" fontId="14" fillId="5" borderId="38" xfId="0" applyNumberFormat="1" applyFont="1" applyFill="1" applyBorder="1" applyAlignment="1">
      <alignment horizontal="center" vertical="center" wrapText="1"/>
    </xf>
    <xf numFmtId="3" fontId="14" fillId="9" borderId="36" xfId="0" applyNumberFormat="1" applyFont="1" applyFill="1" applyBorder="1" applyAlignment="1">
      <alignment horizontal="center" vertical="center" wrapText="1"/>
    </xf>
    <xf numFmtId="3" fontId="14" fillId="9" borderId="38" xfId="0" applyNumberFormat="1" applyFont="1" applyFill="1" applyBorder="1" applyAlignment="1">
      <alignment horizontal="center" vertical="center" wrapText="1"/>
    </xf>
    <xf numFmtId="0" fontId="57" fillId="3" borderId="0" xfId="3" applyFont="1" applyFill="1" applyAlignment="1" applyProtection="1">
      <alignment horizontal="center"/>
    </xf>
    <xf numFmtId="164" fontId="58" fillId="3" borderId="1" xfId="3" applyNumberFormat="1" applyFont="1" applyFill="1" applyBorder="1" applyAlignment="1" applyProtection="1">
      <alignment horizontal="left" vertical="center"/>
    </xf>
    <xf numFmtId="0" fontId="59" fillId="3" borderId="1" xfId="0" applyFont="1" applyFill="1" applyBorder="1" applyAlignment="1" applyProtection="1">
      <alignment horizontal="right" vertical="center"/>
    </xf>
    <xf numFmtId="0" fontId="39" fillId="3" borderId="1" xfId="2" applyFont="1" applyFill="1" applyBorder="1" applyAlignment="1" applyProtection="1">
      <alignment horizontal="right" vertical="top"/>
      <protection locked="0"/>
    </xf>
    <xf numFmtId="0" fontId="41" fillId="3" borderId="4" xfId="2" quotePrefix="1" applyFont="1" applyFill="1" applyBorder="1" applyAlignment="1" applyProtection="1">
      <alignment horizontal="center" vertical="center"/>
    </xf>
    <xf numFmtId="0" fontId="41" fillId="3" borderId="29" xfId="2" quotePrefix="1" applyFont="1" applyFill="1" applyBorder="1" applyAlignment="1" applyProtection="1">
      <alignment horizontal="center" vertical="center"/>
    </xf>
    <xf numFmtId="0" fontId="41" fillId="3" borderId="68" xfId="2" applyFont="1" applyFill="1" applyBorder="1" applyAlignment="1" applyProtection="1">
      <alignment horizontal="center" vertical="center"/>
    </xf>
    <xf numFmtId="0" fontId="41" fillId="3" borderId="69" xfId="2" applyFont="1" applyFill="1" applyBorder="1" applyAlignment="1" applyProtection="1">
      <alignment horizontal="center" vertical="center"/>
    </xf>
    <xf numFmtId="0" fontId="43" fillId="3" borderId="26" xfId="2" applyFont="1" applyFill="1" applyBorder="1" applyAlignment="1" applyProtection="1">
      <alignment horizontal="right"/>
    </xf>
    <xf numFmtId="0" fontId="43" fillId="3" borderId="35" xfId="2" applyFont="1" applyFill="1" applyBorder="1" applyAlignment="1" applyProtection="1">
      <alignment horizontal="right"/>
    </xf>
    <xf numFmtId="0" fontId="41" fillId="3" borderId="34" xfId="2" applyFont="1" applyFill="1" applyBorder="1" applyAlignment="1" applyProtection="1">
      <alignment horizontal="center" vertical="center" wrapText="1"/>
    </xf>
    <xf numFmtId="0" fontId="41" fillId="3" borderId="26" xfId="2" applyFont="1" applyFill="1" applyBorder="1" applyAlignment="1" applyProtection="1">
      <alignment horizontal="center" vertical="center" wrapText="1"/>
    </xf>
    <xf numFmtId="0" fontId="41" fillId="3" borderId="35" xfId="2" applyFont="1" applyFill="1" applyBorder="1" applyAlignment="1" applyProtection="1">
      <alignment horizontal="center" vertical="center" wrapText="1"/>
    </xf>
    <xf numFmtId="164" fontId="43" fillId="3" borderId="1" xfId="2" applyNumberFormat="1" applyFont="1" applyFill="1" applyBorder="1" applyAlignment="1" applyProtection="1">
      <alignment horizontal="right" vertical="center"/>
    </xf>
    <xf numFmtId="164" fontId="57" fillId="3" borderId="37" xfId="2" applyNumberFormat="1" applyFont="1" applyFill="1" applyBorder="1" applyAlignment="1" applyProtection="1">
      <alignment horizontal="center" vertical="center" wrapText="1"/>
    </xf>
    <xf numFmtId="164" fontId="57" fillId="3" borderId="38" xfId="2" applyNumberFormat="1" applyFont="1" applyFill="1" applyBorder="1" applyAlignment="1" applyProtection="1">
      <alignment horizontal="center" vertical="center" wrapText="1"/>
    </xf>
    <xf numFmtId="0" fontId="65" fillId="3" borderId="30" xfId="3" applyFont="1" applyFill="1" applyBorder="1" applyAlignment="1" applyProtection="1">
      <alignment horizontal="left"/>
    </xf>
    <xf numFmtId="164" fontId="57" fillId="3" borderId="40" xfId="2" applyNumberFormat="1" applyFont="1" applyFill="1" applyBorder="1" applyAlignment="1" applyProtection="1">
      <alignment horizontal="center" vertical="center" wrapText="1"/>
    </xf>
    <xf numFmtId="164" fontId="57" fillId="3" borderId="46" xfId="2" applyNumberFormat="1" applyFont="1" applyFill="1" applyBorder="1" applyAlignment="1" applyProtection="1">
      <alignment horizontal="center" vertical="center" wrapText="1"/>
    </xf>
    <xf numFmtId="0" fontId="49" fillId="3" borderId="30" xfId="3" applyFont="1" applyFill="1" applyBorder="1" applyAlignment="1">
      <alignment horizontal="left"/>
    </xf>
    <xf numFmtId="164" fontId="71" fillId="3" borderId="0" xfId="3" applyNumberFormat="1" applyFont="1" applyFill="1" applyBorder="1" applyAlignment="1" applyProtection="1">
      <alignment horizontal="center" vertical="center" wrapText="1"/>
    </xf>
    <xf numFmtId="0" fontId="72" fillId="3" borderId="0" xfId="2" applyFont="1" applyFill="1" applyBorder="1" applyAlignment="1" applyProtection="1">
      <alignment horizontal="right"/>
    </xf>
    <xf numFmtId="0" fontId="59" fillId="3" borderId="0" xfId="2" applyFont="1" applyFill="1" applyBorder="1" applyAlignment="1" applyProtection="1">
      <alignment horizontal="right"/>
    </xf>
    <xf numFmtId="0" fontId="61" fillId="3" borderId="13" xfId="3" applyFont="1" applyFill="1" applyBorder="1" applyAlignment="1">
      <alignment horizontal="center" vertical="center" wrapText="1"/>
    </xf>
    <xf numFmtId="0" fontId="61" fillId="3" borderId="21" xfId="3" applyFont="1" applyFill="1" applyBorder="1" applyAlignment="1">
      <alignment horizontal="center" vertical="center" wrapText="1"/>
    </xf>
    <xf numFmtId="0" fontId="61" fillId="3" borderId="3" xfId="3" applyFont="1" applyFill="1" applyBorder="1" applyAlignment="1">
      <alignment horizontal="center" vertical="center" wrapText="1"/>
    </xf>
    <xf numFmtId="0" fontId="61" fillId="3" borderId="22" xfId="3" applyFont="1" applyFill="1" applyBorder="1" applyAlignment="1">
      <alignment horizontal="center" vertical="center" wrapText="1"/>
    </xf>
    <xf numFmtId="0" fontId="61" fillId="3" borderId="14" xfId="3" applyFont="1" applyFill="1" applyBorder="1" applyAlignment="1">
      <alignment horizontal="center" vertical="center" wrapText="1"/>
    </xf>
    <xf numFmtId="0" fontId="61" fillId="3" borderId="23" xfId="3" applyFont="1" applyFill="1" applyBorder="1" applyAlignment="1">
      <alignment horizontal="center" vertical="center" wrapText="1"/>
    </xf>
    <xf numFmtId="0" fontId="75" fillId="3" borderId="0" xfId="2" applyFont="1" applyFill="1" applyBorder="1" applyAlignment="1" applyProtection="1">
      <alignment horizontal="center"/>
    </xf>
    <xf numFmtId="0" fontId="57" fillId="3" borderId="48" xfId="3" applyFont="1" applyFill="1" applyBorder="1" applyAlignment="1" applyProtection="1">
      <alignment horizontal="left"/>
    </xf>
    <xf numFmtId="0" fontId="57" fillId="3" borderId="53" xfId="3" applyFont="1" applyFill="1" applyBorder="1" applyAlignment="1" applyProtection="1">
      <alignment horizontal="left"/>
    </xf>
    <xf numFmtId="0" fontId="47" fillId="3" borderId="30" xfId="3" applyFont="1" applyFill="1" applyBorder="1" applyAlignment="1">
      <alignment horizontal="justify" vertical="center" wrapText="1"/>
    </xf>
    <xf numFmtId="164" fontId="60" fillId="0" borderId="0" xfId="2" applyNumberFormat="1" applyFont="1" applyFill="1" applyAlignment="1">
      <alignment horizontal="center" vertical="center" wrapText="1"/>
    </xf>
    <xf numFmtId="164" fontId="61" fillId="0" borderId="80" xfId="2" applyNumberFormat="1" applyFont="1" applyFill="1" applyBorder="1" applyAlignment="1" applyProtection="1">
      <alignment horizontal="center" vertical="center"/>
      <protection locked="0"/>
    </xf>
    <xf numFmtId="164" fontId="61" fillId="0" borderId="28" xfId="2" applyNumberFormat="1" applyFont="1" applyFill="1" applyBorder="1" applyAlignment="1" applyProtection="1">
      <alignment horizontal="center" vertical="center"/>
      <protection locked="0"/>
    </xf>
    <xf numFmtId="164" fontId="61" fillId="0" borderId="81" xfId="2" applyNumberFormat="1" applyFont="1" applyFill="1" applyBorder="1" applyAlignment="1" applyProtection="1">
      <alignment horizontal="center" vertical="center"/>
      <protection locked="0"/>
    </xf>
    <xf numFmtId="164" fontId="61" fillId="0" borderId="86" xfId="2" applyNumberFormat="1" applyFont="1" applyFill="1" applyBorder="1" applyAlignment="1" applyProtection="1">
      <alignment horizontal="center" vertical="center"/>
      <protection locked="0"/>
    </xf>
    <xf numFmtId="164" fontId="61" fillId="0" borderId="87" xfId="2" applyNumberFormat="1" applyFont="1" applyFill="1" applyBorder="1" applyAlignment="1" applyProtection="1">
      <alignment horizontal="center" vertical="center"/>
      <protection locked="0"/>
    </xf>
    <xf numFmtId="164" fontId="61" fillId="0" borderId="88" xfId="2" applyNumberFormat="1" applyFont="1" applyFill="1" applyBorder="1" applyAlignment="1" applyProtection="1">
      <alignment horizontal="center" vertical="center"/>
      <protection locked="0"/>
    </xf>
    <xf numFmtId="164" fontId="60" fillId="3" borderId="0" xfId="2" applyNumberFormat="1" applyFont="1" applyFill="1" applyAlignment="1">
      <alignment horizontal="center" vertical="center" wrapText="1"/>
    </xf>
    <xf numFmtId="164" fontId="38" fillId="3" borderId="30" xfId="2" applyNumberFormat="1" applyFill="1" applyBorder="1" applyAlignment="1" applyProtection="1">
      <alignment horizontal="left" vertical="center" wrapText="1"/>
    </xf>
    <xf numFmtId="0" fontId="38" fillId="3" borderId="30" xfId="2" applyFill="1" applyBorder="1" applyAlignment="1">
      <alignment horizontal="left" vertical="center" wrapText="1"/>
    </xf>
    <xf numFmtId="0" fontId="41" fillId="3" borderId="6" xfId="2" quotePrefix="1" applyFont="1" applyFill="1" applyBorder="1" applyAlignment="1" applyProtection="1">
      <alignment horizontal="center" vertical="center"/>
    </xf>
    <xf numFmtId="0" fontId="41" fillId="3" borderId="33" xfId="2" quotePrefix="1" applyFont="1" applyFill="1" applyBorder="1" applyAlignment="1" applyProtection="1">
      <alignment horizontal="center" vertical="center"/>
    </xf>
    <xf numFmtId="0" fontId="41" fillId="3" borderId="11" xfId="2" quotePrefix="1" applyFont="1" applyFill="1" applyBorder="1" applyAlignment="1" applyProtection="1">
      <alignment horizontal="center" vertical="center"/>
    </xf>
    <xf numFmtId="0" fontId="41" fillId="3" borderId="72" xfId="2" quotePrefix="1" applyFont="1" applyFill="1" applyBorder="1" applyAlignment="1" applyProtection="1">
      <alignment horizontal="center" vertical="center"/>
    </xf>
    <xf numFmtId="49" fontId="41" fillId="3" borderId="34" xfId="2" applyNumberFormat="1" applyFont="1" applyFill="1" applyBorder="1" applyAlignment="1" applyProtection="1">
      <alignment horizontal="center" vertical="center" wrapText="1"/>
    </xf>
    <xf numFmtId="49" fontId="41" fillId="3" borderId="26" xfId="2" applyNumberFormat="1" applyFont="1" applyFill="1" applyBorder="1" applyAlignment="1" applyProtection="1">
      <alignment horizontal="center" vertical="center" wrapText="1"/>
    </xf>
    <xf numFmtId="49" fontId="41" fillId="3" borderId="35" xfId="2" applyNumberFormat="1" applyFont="1" applyFill="1" applyBorder="1" applyAlignment="1" applyProtection="1">
      <alignment horizontal="center" vertical="center" wrapText="1"/>
    </xf>
    <xf numFmtId="0" fontId="38" fillId="3" borderId="30" xfId="2" applyFill="1" applyBorder="1" applyAlignment="1" applyProtection="1">
      <alignment horizontal="left" vertical="center" wrapText="1"/>
    </xf>
    <xf numFmtId="0" fontId="39" fillId="3" borderId="1" xfId="2" applyFont="1" applyFill="1" applyBorder="1" applyAlignment="1" applyProtection="1">
      <alignment horizontal="right" vertical="top"/>
    </xf>
    <xf numFmtId="49" fontId="41" fillId="3" borderId="6" xfId="2" applyNumberFormat="1" applyFont="1" applyFill="1" applyBorder="1" applyAlignment="1" applyProtection="1">
      <alignment horizontal="center" vertical="center"/>
    </xf>
    <xf numFmtId="49" fontId="41" fillId="3" borderId="33" xfId="2" applyNumberFormat="1" applyFont="1" applyFill="1" applyBorder="1" applyAlignment="1" applyProtection="1">
      <alignment horizontal="center" vertical="center"/>
    </xf>
    <xf numFmtId="49" fontId="41" fillId="3" borderId="11" xfId="2" applyNumberFormat="1" applyFont="1" applyFill="1" applyBorder="1" applyAlignment="1" applyProtection="1">
      <alignment horizontal="center" vertical="center"/>
    </xf>
    <xf numFmtId="49" fontId="41" fillId="3" borderId="72" xfId="2" applyNumberFormat="1" applyFont="1" applyFill="1" applyBorder="1" applyAlignment="1" applyProtection="1">
      <alignment horizontal="center" vertical="center"/>
    </xf>
    <xf numFmtId="0" fontId="39" fillId="3" borderId="0" xfId="2" applyFont="1" applyFill="1" applyAlignment="1" applyProtection="1">
      <alignment horizontal="right" vertical="top"/>
    </xf>
    <xf numFmtId="49" fontId="41" fillId="3" borderId="75" xfId="2" applyNumberFormat="1" applyFont="1" applyFill="1" applyBorder="1" applyAlignment="1" applyProtection="1">
      <alignment horizontal="center" vertical="center"/>
    </xf>
    <xf numFmtId="49" fontId="41" fillId="3" borderId="39" xfId="2" applyNumberFormat="1" applyFont="1" applyFill="1" applyBorder="1" applyAlignment="1" applyProtection="1">
      <alignment horizontal="center" vertical="center"/>
    </xf>
    <xf numFmtId="0" fontId="43" fillId="3" borderId="26" xfId="2" applyFont="1" applyFill="1" applyBorder="1" applyAlignment="1" applyProtection="1">
      <alignment horizontal="center"/>
    </xf>
    <xf numFmtId="0" fontId="43" fillId="3" borderId="35" xfId="2" applyFont="1" applyFill="1" applyBorder="1" applyAlignment="1" applyProtection="1">
      <alignment horizontal="center"/>
    </xf>
    <xf numFmtId="0" fontId="4" fillId="3" borderId="0" xfId="1" applyFont="1" applyFill="1" applyBorder="1" applyAlignment="1">
      <alignment horizontal="center" vertical="center" wrapText="1"/>
    </xf>
    <xf numFmtId="0" fontId="64" fillId="3" borderId="30" xfId="3" applyFont="1" applyFill="1" applyBorder="1" applyAlignment="1" applyProtection="1">
      <alignment horizontal="left" wrapText="1"/>
    </xf>
    <xf numFmtId="0" fontId="77" fillId="0" borderId="0" xfId="13" applyFont="1" applyAlignment="1">
      <alignment horizontal="right"/>
    </xf>
    <xf numFmtId="0" fontId="52" fillId="0" borderId="0" xfId="13" applyFont="1" applyAlignment="1">
      <alignment horizontal="right"/>
    </xf>
    <xf numFmtId="0" fontId="78" fillId="0" borderId="0" xfId="13" applyFont="1" applyAlignment="1">
      <alignment horizontal="center" vertical="center" wrapText="1"/>
    </xf>
    <xf numFmtId="0" fontId="78" fillId="0" borderId="0" xfId="13" applyFont="1" applyAlignment="1">
      <alignment horizontal="center" vertical="center"/>
    </xf>
    <xf numFmtId="0" fontId="80" fillId="3" borderId="1" xfId="13" applyFont="1" applyFill="1" applyBorder="1" applyAlignment="1">
      <alignment horizontal="center" vertical="center"/>
    </xf>
    <xf numFmtId="0" fontId="78" fillId="3" borderId="37" xfId="13" applyFont="1" applyFill="1" applyBorder="1" applyAlignment="1">
      <alignment horizontal="center" vertical="center"/>
    </xf>
    <xf numFmtId="0" fontId="78" fillId="3" borderId="39" xfId="13" applyFont="1" applyFill="1" applyBorder="1" applyAlignment="1">
      <alignment horizontal="center" vertical="center"/>
    </xf>
    <xf numFmtId="0" fontId="79" fillId="3" borderId="28" xfId="13" applyFont="1" applyFill="1" applyBorder="1" applyAlignment="1">
      <alignment horizontal="center"/>
    </xf>
    <xf numFmtId="0" fontId="79" fillId="3" borderId="29" xfId="13" applyFont="1" applyFill="1" applyBorder="1" applyAlignment="1">
      <alignment horizontal="center"/>
    </xf>
    <xf numFmtId="0" fontId="60" fillId="0" borderId="0" xfId="2" applyFont="1" applyFill="1" applyAlignment="1">
      <alignment horizontal="center" vertical="center" wrapText="1"/>
    </xf>
    <xf numFmtId="0" fontId="40" fillId="0" borderId="0" xfId="2" applyFont="1" applyFill="1" applyAlignment="1" applyProtection="1">
      <alignment horizontal="left" vertical="center"/>
      <protection locked="0"/>
    </xf>
    <xf numFmtId="0" fontId="63" fillId="0" borderId="1" xfId="2" applyFont="1" applyFill="1" applyBorder="1" applyAlignment="1" applyProtection="1">
      <alignment horizontal="left" vertical="center" wrapText="1"/>
      <protection locked="0"/>
    </xf>
    <xf numFmtId="0" fontId="38" fillId="0" borderId="89" xfId="2" applyFill="1" applyBorder="1" applyAlignment="1" applyProtection="1">
      <alignment horizontal="center" vertical="center"/>
      <protection locked="0"/>
    </xf>
    <xf numFmtId="166" fontId="64" fillId="0" borderId="0" xfId="2" applyNumberFormat="1" applyFont="1" applyFill="1" applyAlignment="1" applyProtection="1">
      <alignment horizontal="center" vertical="center"/>
      <protection locked="0"/>
    </xf>
    <xf numFmtId="0" fontId="43" fillId="0" borderId="90" xfId="2" applyFont="1" applyFill="1" applyBorder="1" applyAlignment="1" applyProtection="1">
      <alignment horizontal="center" vertical="center"/>
    </xf>
    <xf numFmtId="0" fontId="40" fillId="0" borderId="0" xfId="2" applyFont="1" applyFill="1" applyAlignment="1" applyProtection="1">
      <alignment horizontal="left" vertical="center" wrapText="1"/>
      <protection locked="0"/>
    </xf>
    <xf numFmtId="0" fontId="60" fillId="0" borderId="0" xfId="15" applyFont="1" applyFill="1" applyAlignment="1" applyProtection="1">
      <alignment horizontal="center" wrapText="1"/>
    </xf>
    <xf numFmtId="0" fontId="60" fillId="0" borderId="0" xfId="15" applyFont="1" applyFill="1" applyAlignment="1" applyProtection="1">
      <alignment horizontal="center"/>
    </xf>
    <xf numFmtId="0" fontId="59" fillId="0" borderId="53" xfId="15" applyFont="1" applyFill="1" applyBorder="1" applyAlignment="1" applyProtection="1">
      <alignment horizontal="left" vertical="center" indent="1"/>
    </xf>
    <xf numFmtId="0" fontId="59" fillId="0" borderId="26" xfId="15" applyFont="1" applyFill="1" applyBorder="1" applyAlignment="1" applyProtection="1">
      <alignment horizontal="left" vertical="center" indent="1"/>
    </xf>
    <xf numFmtId="0" fontId="59" fillId="0" borderId="35" xfId="15" applyFont="1" applyFill="1" applyBorder="1" applyAlignment="1" applyProtection="1">
      <alignment horizontal="left" vertical="center" indent="1"/>
    </xf>
    <xf numFmtId="0" fontId="57" fillId="0" borderId="34" xfId="2" applyFont="1" applyBorder="1" applyAlignment="1" applyProtection="1">
      <alignment horizontal="left" vertical="center" indent="2"/>
    </xf>
    <xf numFmtId="0" fontId="57" fillId="0" borderId="64" xfId="2" applyFont="1" applyBorder="1" applyAlignment="1" applyProtection="1">
      <alignment horizontal="left" vertical="center" indent="2"/>
    </xf>
    <xf numFmtId="164" fontId="41" fillId="0" borderId="34" xfId="2" applyNumberFormat="1" applyFont="1" applyFill="1" applyBorder="1" applyAlignment="1" applyProtection="1">
      <alignment horizontal="left" vertical="center" wrapText="1" indent="2"/>
    </xf>
    <xf numFmtId="164" fontId="41" fillId="0" borderId="35" xfId="2" applyNumberFormat="1" applyFont="1" applyFill="1" applyBorder="1" applyAlignment="1" applyProtection="1">
      <alignment horizontal="left" vertical="center" wrapText="1" indent="2"/>
    </xf>
    <xf numFmtId="164" fontId="60" fillId="0" borderId="0" xfId="2" applyNumberFormat="1" applyFont="1" applyFill="1" applyAlignment="1" applyProtection="1">
      <alignment horizontal="center" vertical="center" wrapText="1"/>
    </xf>
    <xf numFmtId="164" fontId="41" fillId="0" borderId="37" xfId="2" applyNumberFormat="1" applyFont="1" applyFill="1" applyBorder="1" applyAlignment="1" applyProtection="1">
      <alignment horizontal="center" vertical="center" wrapText="1"/>
    </xf>
    <xf numFmtId="164" fontId="41" fillId="0" borderId="38" xfId="2" applyNumberFormat="1" applyFont="1" applyFill="1" applyBorder="1" applyAlignment="1" applyProtection="1">
      <alignment horizontal="center" vertical="center" wrapText="1"/>
    </xf>
    <xf numFmtId="164" fontId="41" fillId="0" borderId="37" xfId="2" applyNumberFormat="1" applyFont="1" applyFill="1" applyBorder="1" applyAlignment="1" applyProtection="1">
      <alignment horizontal="center" vertical="center"/>
    </xf>
    <xf numFmtId="164" fontId="41" fillId="0" borderId="38" xfId="2" applyNumberFormat="1" applyFont="1" applyFill="1" applyBorder="1" applyAlignment="1" applyProtection="1">
      <alignment horizontal="center" vertical="center"/>
    </xf>
    <xf numFmtId="164" fontId="41" fillId="0" borderId="27" xfId="2" applyNumberFormat="1" applyFont="1" applyFill="1" applyBorder="1" applyAlignment="1" applyProtection="1">
      <alignment horizontal="center" vertical="center"/>
    </xf>
    <xf numFmtId="164" fontId="41" fillId="0" borderId="28" xfId="2" applyNumberFormat="1" applyFont="1" applyFill="1" applyBorder="1" applyAlignment="1" applyProtection="1">
      <alignment horizontal="center" vertical="center"/>
    </xf>
    <xf numFmtId="164" fontId="41" fillId="0" borderId="29" xfId="2" applyNumberFormat="1" applyFont="1" applyFill="1" applyBorder="1" applyAlignment="1" applyProtection="1">
      <alignment horizontal="center" vertical="center"/>
    </xf>
    <xf numFmtId="0" fontId="4" fillId="0" borderId="0" xfId="2" applyFont="1" applyAlignment="1">
      <alignment horizontal="center" wrapText="1"/>
    </xf>
    <xf numFmtId="0" fontId="54" fillId="0" borderId="30" xfId="2" applyFont="1" applyFill="1" applyBorder="1" applyAlignment="1">
      <alignment horizontal="justify" vertical="center" wrapText="1"/>
    </xf>
    <xf numFmtId="0" fontId="8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0" fillId="0" borderId="0" xfId="15" applyFont="1" applyFill="1" applyAlignment="1" applyProtection="1">
      <alignment horizontal="center" wrapText="1"/>
      <protection locked="0"/>
    </xf>
    <xf numFmtId="0" fontId="60" fillId="0" borderId="0" xfId="15" applyFont="1" applyFill="1" applyAlignment="1" applyProtection="1">
      <alignment horizontal="center"/>
      <protection locked="0"/>
    </xf>
    <xf numFmtId="0" fontId="0" fillId="0" borderId="26" xfId="0" applyBorder="1"/>
    <xf numFmtId="0" fontId="0" fillId="0" borderId="35" xfId="0" applyBorder="1"/>
  </cellXfs>
  <cellStyles count="16">
    <cellStyle name="Ezres 2" xfId="4"/>
    <cellStyle name="Ezres 3" xfId="5"/>
    <cellStyle name="Hiperhivatkozás" xfId="6"/>
    <cellStyle name="Már látott hiperhivatkozás" xfId="7"/>
    <cellStyle name="Normál" xfId="0" builtinId="0"/>
    <cellStyle name="Normál 2" xfId="1"/>
    <cellStyle name="Normál 2 2" xfId="2"/>
    <cellStyle name="Normál 2_2015. évi rend.táblái Bea" xfId="8"/>
    <cellStyle name="Normál 3" xfId="9"/>
    <cellStyle name="Normál 4" xfId="10"/>
    <cellStyle name="Normál_2011.dec.rend.mód." xfId="13"/>
    <cellStyle name="Normal_ered1021" xfId="11"/>
    <cellStyle name="Normál_KVRENMUNKA" xfId="3"/>
    <cellStyle name="Normál_SEGEDLETEK" xfId="15"/>
    <cellStyle name="Normál_Tartalék 2014" xfId="14"/>
    <cellStyle name="Százalék 2" xfId="12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99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7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6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edagogus\kat_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_VALI/Desktop/&#214;ttev&#233;ny/K&#246;lts&#233;gvet&#233;s%202018/20180215/2_2018%202018%20&#233;vi%20k&#246;lts&#233;gvet&#233;si%20rendelet%20t&#225;bla%20v&#233;gleg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edagogus\kat_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panyweb/ulesek/2013/2013_12_16/k&#246;lt.vet%20rendelet%20m&#243;dos&#237;t&#225;s%2012.16/pedagogus/kat_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panyweb/ulesek/2013/2013_12_16/k&#246;lt.vet%20rendelet%20m&#243;dos&#237;t&#225;s%2012.16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orma_2008\Oracle_ba\adat_2008_vesz2fe_u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panyweb/ulesek/2013/2013_12_16/k&#246;lt.vet%20rendelet%20m&#243;dos&#237;t&#225;s%2012.16/norma_2008/Oracle_ba/adat_2008_vesz2fe_u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orma_2008\Oracle_ba\adat_2008_vesz2fe_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Önkormányzat tételes"/>
      <sheetName val="Hivatal tételes"/>
      <sheetName val="Óvoda tételes"/>
      <sheetName val="1.1 Összesítő"/>
      <sheetName val="1.1.1 Kötelező feladatok"/>
      <sheetName val="1.1.2. Államigazgatási feladato"/>
      <sheetName val="1.1.3. Önkéntes feladatok"/>
      <sheetName val="2.1 Működési mérleg"/>
      <sheetName val="2.2 Felhalmozási mérleg  "/>
      <sheetName val="3. Adósság   "/>
      <sheetName val="4. Saját bevétel"/>
      <sheetName val="5. Beruhzások "/>
      <sheetName val="6. Felújítások"/>
      <sheetName val="7.1 Önkormányzat"/>
      <sheetName val="7.1.1 Önkormányzat (KÖT)"/>
      <sheetName val="7.1.2 Önkormányzat (ÁIG)"/>
      <sheetName val="7.1.3 Önkormányzat (ÖNK)"/>
      <sheetName val="7.2 Hivatal"/>
      <sheetName val="7.2.1 Hivatal (ÁIG)"/>
      <sheetName val="7.2.2 Hivatal (KÖT)"/>
      <sheetName val="7.3 Óvoda"/>
      <sheetName val="7.3.1 Óvoda (KÖT)"/>
      <sheetName val="8. Tartalék"/>
      <sheetName val="9. Tartozás állomány"/>
      <sheetName val="1.sz tájékoztató t."/>
      <sheetName val="2.sz. tájékoztató t."/>
      <sheetName val="3. sz tájékoztató t"/>
      <sheetName val="4. sz tájékoztató t."/>
      <sheetName val="5.sz tájékoztató t."/>
    </sheetNames>
    <sheetDataSet>
      <sheetData sheetId="0"/>
      <sheetData sheetId="1"/>
      <sheetData sheetId="2"/>
      <sheetData sheetId="3">
        <row r="21">
          <cell r="C21">
            <v>0</v>
          </cell>
        </row>
        <row r="127">
          <cell r="C127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519"/>
  <sheetViews>
    <sheetView view="pageBreakPreview" topLeftCell="A160" zoomScaleNormal="100" zoomScaleSheetLayoutView="100" workbookViewId="0">
      <selection activeCell="C39" sqref="C39"/>
    </sheetView>
  </sheetViews>
  <sheetFormatPr defaultColWidth="9.140625" defaultRowHeight="24.95" customHeight="1"/>
  <cols>
    <col min="1" max="1" width="14.5703125" style="171" customWidth="1"/>
    <col min="2" max="2" width="51.42578125" style="172" customWidth="1"/>
    <col min="3" max="3" width="19.42578125" style="173" customWidth="1"/>
    <col min="4" max="4" width="18" style="173" customWidth="1"/>
    <col min="5" max="5" width="15.85546875" style="173" bestFit="1" customWidth="1"/>
    <col min="6" max="6" width="17.7109375" style="173" customWidth="1"/>
    <col min="7" max="7" width="14.28515625" style="1" customWidth="1"/>
    <col min="8" max="8" width="13" style="1" customWidth="1"/>
    <col min="9" max="256" width="9.140625" style="1"/>
    <col min="257" max="257" width="14.5703125" style="1" customWidth="1"/>
    <col min="258" max="258" width="51.42578125" style="1" customWidth="1"/>
    <col min="259" max="259" width="19.42578125" style="1" customWidth="1"/>
    <col min="260" max="260" width="18" style="1" customWidth="1"/>
    <col min="261" max="261" width="15.85546875" style="1" bestFit="1" customWidth="1"/>
    <col min="262" max="262" width="17.7109375" style="1" customWidth="1"/>
    <col min="263" max="263" width="14.28515625" style="1" customWidth="1"/>
    <col min="264" max="264" width="13" style="1" customWidth="1"/>
    <col min="265" max="512" width="9.140625" style="1"/>
    <col min="513" max="513" width="14.5703125" style="1" customWidth="1"/>
    <col min="514" max="514" width="51.42578125" style="1" customWidth="1"/>
    <col min="515" max="515" width="19.42578125" style="1" customWidth="1"/>
    <col min="516" max="516" width="18" style="1" customWidth="1"/>
    <col min="517" max="517" width="15.85546875" style="1" bestFit="1" customWidth="1"/>
    <col min="518" max="518" width="17.7109375" style="1" customWidth="1"/>
    <col min="519" max="519" width="14.28515625" style="1" customWidth="1"/>
    <col min="520" max="520" width="13" style="1" customWidth="1"/>
    <col min="521" max="768" width="9.140625" style="1"/>
    <col min="769" max="769" width="14.5703125" style="1" customWidth="1"/>
    <col min="770" max="770" width="51.42578125" style="1" customWidth="1"/>
    <col min="771" max="771" width="19.42578125" style="1" customWidth="1"/>
    <col min="772" max="772" width="18" style="1" customWidth="1"/>
    <col min="773" max="773" width="15.85546875" style="1" bestFit="1" customWidth="1"/>
    <col min="774" max="774" width="17.7109375" style="1" customWidth="1"/>
    <col min="775" max="775" width="14.28515625" style="1" customWidth="1"/>
    <col min="776" max="776" width="13" style="1" customWidth="1"/>
    <col min="777" max="1024" width="9.140625" style="1"/>
    <col min="1025" max="1025" width="14.5703125" style="1" customWidth="1"/>
    <col min="1026" max="1026" width="51.42578125" style="1" customWidth="1"/>
    <col min="1027" max="1027" width="19.42578125" style="1" customWidth="1"/>
    <col min="1028" max="1028" width="18" style="1" customWidth="1"/>
    <col min="1029" max="1029" width="15.85546875" style="1" bestFit="1" customWidth="1"/>
    <col min="1030" max="1030" width="17.7109375" style="1" customWidth="1"/>
    <col min="1031" max="1031" width="14.28515625" style="1" customWidth="1"/>
    <col min="1032" max="1032" width="13" style="1" customWidth="1"/>
    <col min="1033" max="1280" width="9.140625" style="1"/>
    <col min="1281" max="1281" width="14.5703125" style="1" customWidth="1"/>
    <col min="1282" max="1282" width="51.42578125" style="1" customWidth="1"/>
    <col min="1283" max="1283" width="19.42578125" style="1" customWidth="1"/>
    <col min="1284" max="1284" width="18" style="1" customWidth="1"/>
    <col min="1285" max="1285" width="15.85546875" style="1" bestFit="1" customWidth="1"/>
    <col min="1286" max="1286" width="17.7109375" style="1" customWidth="1"/>
    <col min="1287" max="1287" width="14.28515625" style="1" customWidth="1"/>
    <col min="1288" max="1288" width="13" style="1" customWidth="1"/>
    <col min="1289" max="1536" width="9.140625" style="1"/>
    <col min="1537" max="1537" width="14.5703125" style="1" customWidth="1"/>
    <col min="1538" max="1538" width="51.42578125" style="1" customWidth="1"/>
    <col min="1539" max="1539" width="19.42578125" style="1" customWidth="1"/>
    <col min="1540" max="1540" width="18" style="1" customWidth="1"/>
    <col min="1541" max="1541" width="15.85546875" style="1" bestFit="1" customWidth="1"/>
    <col min="1542" max="1542" width="17.7109375" style="1" customWidth="1"/>
    <col min="1543" max="1543" width="14.28515625" style="1" customWidth="1"/>
    <col min="1544" max="1544" width="13" style="1" customWidth="1"/>
    <col min="1545" max="1792" width="9.140625" style="1"/>
    <col min="1793" max="1793" width="14.5703125" style="1" customWidth="1"/>
    <col min="1794" max="1794" width="51.42578125" style="1" customWidth="1"/>
    <col min="1795" max="1795" width="19.42578125" style="1" customWidth="1"/>
    <col min="1796" max="1796" width="18" style="1" customWidth="1"/>
    <col min="1797" max="1797" width="15.85546875" style="1" bestFit="1" customWidth="1"/>
    <col min="1798" max="1798" width="17.7109375" style="1" customWidth="1"/>
    <col min="1799" max="1799" width="14.28515625" style="1" customWidth="1"/>
    <col min="1800" max="1800" width="13" style="1" customWidth="1"/>
    <col min="1801" max="2048" width="9.140625" style="1"/>
    <col min="2049" max="2049" width="14.5703125" style="1" customWidth="1"/>
    <col min="2050" max="2050" width="51.42578125" style="1" customWidth="1"/>
    <col min="2051" max="2051" width="19.42578125" style="1" customWidth="1"/>
    <col min="2052" max="2052" width="18" style="1" customWidth="1"/>
    <col min="2053" max="2053" width="15.85546875" style="1" bestFit="1" customWidth="1"/>
    <col min="2054" max="2054" width="17.7109375" style="1" customWidth="1"/>
    <col min="2055" max="2055" width="14.28515625" style="1" customWidth="1"/>
    <col min="2056" max="2056" width="13" style="1" customWidth="1"/>
    <col min="2057" max="2304" width="9.140625" style="1"/>
    <col min="2305" max="2305" width="14.5703125" style="1" customWidth="1"/>
    <col min="2306" max="2306" width="51.42578125" style="1" customWidth="1"/>
    <col min="2307" max="2307" width="19.42578125" style="1" customWidth="1"/>
    <col min="2308" max="2308" width="18" style="1" customWidth="1"/>
    <col min="2309" max="2309" width="15.85546875" style="1" bestFit="1" customWidth="1"/>
    <col min="2310" max="2310" width="17.7109375" style="1" customWidth="1"/>
    <col min="2311" max="2311" width="14.28515625" style="1" customWidth="1"/>
    <col min="2312" max="2312" width="13" style="1" customWidth="1"/>
    <col min="2313" max="2560" width="9.140625" style="1"/>
    <col min="2561" max="2561" width="14.5703125" style="1" customWidth="1"/>
    <col min="2562" max="2562" width="51.42578125" style="1" customWidth="1"/>
    <col min="2563" max="2563" width="19.42578125" style="1" customWidth="1"/>
    <col min="2564" max="2564" width="18" style="1" customWidth="1"/>
    <col min="2565" max="2565" width="15.85546875" style="1" bestFit="1" customWidth="1"/>
    <col min="2566" max="2566" width="17.7109375" style="1" customWidth="1"/>
    <col min="2567" max="2567" width="14.28515625" style="1" customWidth="1"/>
    <col min="2568" max="2568" width="13" style="1" customWidth="1"/>
    <col min="2569" max="2816" width="9.140625" style="1"/>
    <col min="2817" max="2817" width="14.5703125" style="1" customWidth="1"/>
    <col min="2818" max="2818" width="51.42578125" style="1" customWidth="1"/>
    <col min="2819" max="2819" width="19.42578125" style="1" customWidth="1"/>
    <col min="2820" max="2820" width="18" style="1" customWidth="1"/>
    <col min="2821" max="2821" width="15.85546875" style="1" bestFit="1" customWidth="1"/>
    <col min="2822" max="2822" width="17.7109375" style="1" customWidth="1"/>
    <col min="2823" max="2823" width="14.28515625" style="1" customWidth="1"/>
    <col min="2824" max="2824" width="13" style="1" customWidth="1"/>
    <col min="2825" max="3072" width="9.140625" style="1"/>
    <col min="3073" max="3073" width="14.5703125" style="1" customWidth="1"/>
    <col min="3074" max="3074" width="51.42578125" style="1" customWidth="1"/>
    <col min="3075" max="3075" width="19.42578125" style="1" customWidth="1"/>
    <col min="3076" max="3076" width="18" style="1" customWidth="1"/>
    <col min="3077" max="3077" width="15.85546875" style="1" bestFit="1" customWidth="1"/>
    <col min="3078" max="3078" width="17.7109375" style="1" customWidth="1"/>
    <col min="3079" max="3079" width="14.28515625" style="1" customWidth="1"/>
    <col min="3080" max="3080" width="13" style="1" customWidth="1"/>
    <col min="3081" max="3328" width="9.140625" style="1"/>
    <col min="3329" max="3329" width="14.5703125" style="1" customWidth="1"/>
    <col min="3330" max="3330" width="51.42578125" style="1" customWidth="1"/>
    <col min="3331" max="3331" width="19.42578125" style="1" customWidth="1"/>
    <col min="3332" max="3332" width="18" style="1" customWidth="1"/>
    <col min="3333" max="3333" width="15.85546875" style="1" bestFit="1" customWidth="1"/>
    <col min="3334" max="3334" width="17.7109375" style="1" customWidth="1"/>
    <col min="3335" max="3335" width="14.28515625" style="1" customWidth="1"/>
    <col min="3336" max="3336" width="13" style="1" customWidth="1"/>
    <col min="3337" max="3584" width="9.140625" style="1"/>
    <col min="3585" max="3585" width="14.5703125" style="1" customWidth="1"/>
    <col min="3586" max="3586" width="51.42578125" style="1" customWidth="1"/>
    <col min="3587" max="3587" width="19.42578125" style="1" customWidth="1"/>
    <col min="3588" max="3588" width="18" style="1" customWidth="1"/>
    <col min="3589" max="3589" width="15.85546875" style="1" bestFit="1" customWidth="1"/>
    <col min="3590" max="3590" width="17.7109375" style="1" customWidth="1"/>
    <col min="3591" max="3591" width="14.28515625" style="1" customWidth="1"/>
    <col min="3592" max="3592" width="13" style="1" customWidth="1"/>
    <col min="3593" max="3840" width="9.140625" style="1"/>
    <col min="3841" max="3841" width="14.5703125" style="1" customWidth="1"/>
    <col min="3842" max="3842" width="51.42578125" style="1" customWidth="1"/>
    <col min="3843" max="3843" width="19.42578125" style="1" customWidth="1"/>
    <col min="3844" max="3844" width="18" style="1" customWidth="1"/>
    <col min="3845" max="3845" width="15.85546875" style="1" bestFit="1" customWidth="1"/>
    <col min="3846" max="3846" width="17.7109375" style="1" customWidth="1"/>
    <col min="3847" max="3847" width="14.28515625" style="1" customWidth="1"/>
    <col min="3848" max="3848" width="13" style="1" customWidth="1"/>
    <col min="3849" max="4096" width="9.140625" style="1"/>
    <col min="4097" max="4097" width="14.5703125" style="1" customWidth="1"/>
    <col min="4098" max="4098" width="51.42578125" style="1" customWidth="1"/>
    <col min="4099" max="4099" width="19.42578125" style="1" customWidth="1"/>
    <col min="4100" max="4100" width="18" style="1" customWidth="1"/>
    <col min="4101" max="4101" width="15.85546875" style="1" bestFit="1" customWidth="1"/>
    <col min="4102" max="4102" width="17.7109375" style="1" customWidth="1"/>
    <col min="4103" max="4103" width="14.28515625" style="1" customWidth="1"/>
    <col min="4104" max="4104" width="13" style="1" customWidth="1"/>
    <col min="4105" max="4352" width="9.140625" style="1"/>
    <col min="4353" max="4353" width="14.5703125" style="1" customWidth="1"/>
    <col min="4354" max="4354" width="51.42578125" style="1" customWidth="1"/>
    <col min="4355" max="4355" width="19.42578125" style="1" customWidth="1"/>
    <col min="4356" max="4356" width="18" style="1" customWidth="1"/>
    <col min="4357" max="4357" width="15.85546875" style="1" bestFit="1" customWidth="1"/>
    <col min="4358" max="4358" width="17.7109375" style="1" customWidth="1"/>
    <col min="4359" max="4359" width="14.28515625" style="1" customWidth="1"/>
    <col min="4360" max="4360" width="13" style="1" customWidth="1"/>
    <col min="4361" max="4608" width="9.140625" style="1"/>
    <col min="4609" max="4609" width="14.5703125" style="1" customWidth="1"/>
    <col min="4610" max="4610" width="51.42578125" style="1" customWidth="1"/>
    <col min="4611" max="4611" width="19.42578125" style="1" customWidth="1"/>
    <col min="4612" max="4612" width="18" style="1" customWidth="1"/>
    <col min="4613" max="4613" width="15.85546875" style="1" bestFit="1" customWidth="1"/>
    <col min="4614" max="4614" width="17.7109375" style="1" customWidth="1"/>
    <col min="4615" max="4615" width="14.28515625" style="1" customWidth="1"/>
    <col min="4616" max="4616" width="13" style="1" customWidth="1"/>
    <col min="4617" max="4864" width="9.140625" style="1"/>
    <col min="4865" max="4865" width="14.5703125" style="1" customWidth="1"/>
    <col min="4866" max="4866" width="51.42578125" style="1" customWidth="1"/>
    <col min="4867" max="4867" width="19.42578125" style="1" customWidth="1"/>
    <col min="4868" max="4868" width="18" style="1" customWidth="1"/>
    <col min="4869" max="4869" width="15.85546875" style="1" bestFit="1" customWidth="1"/>
    <col min="4870" max="4870" width="17.7109375" style="1" customWidth="1"/>
    <col min="4871" max="4871" width="14.28515625" style="1" customWidth="1"/>
    <col min="4872" max="4872" width="13" style="1" customWidth="1"/>
    <col min="4873" max="5120" width="9.140625" style="1"/>
    <col min="5121" max="5121" width="14.5703125" style="1" customWidth="1"/>
    <col min="5122" max="5122" width="51.42578125" style="1" customWidth="1"/>
    <col min="5123" max="5123" width="19.42578125" style="1" customWidth="1"/>
    <col min="5124" max="5124" width="18" style="1" customWidth="1"/>
    <col min="5125" max="5125" width="15.85546875" style="1" bestFit="1" customWidth="1"/>
    <col min="5126" max="5126" width="17.7109375" style="1" customWidth="1"/>
    <col min="5127" max="5127" width="14.28515625" style="1" customWidth="1"/>
    <col min="5128" max="5128" width="13" style="1" customWidth="1"/>
    <col min="5129" max="5376" width="9.140625" style="1"/>
    <col min="5377" max="5377" width="14.5703125" style="1" customWidth="1"/>
    <col min="5378" max="5378" width="51.42578125" style="1" customWidth="1"/>
    <col min="5379" max="5379" width="19.42578125" style="1" customWidth="1"/>
    <col min="5380" max="5380" width="18" style="1" customWidth="1"/>
    <col min="5381" max="5381" width="15.85546875" style="1" bestFit="1" customWidth="1"/>
    <col min="5382" max="5382" width="17.7109375" style="1" customWidth="1"/>
    <col min="5383" max="5383" width="14.28515625" style="1" customWidth="1"/>
    <col min="5384" max="5384" width="13" style="1" customWidth="1"/>
    <col min="5385" max="5632" width="9.140625" style="1"/>
    <col min="5633" max="5633" width="14.5703125" style="1" customWidth="1"/>
    <col min="5634" max="5634" width="51.42578125" style="1" customWidth="1"/>
    <col min="5635" max="5635" width="19.42578125" style="1" customWidth="1"/>
    <col min="5636" max="5636" width="18" style="1" customWidth="1"/>
    <col min="5637" max="5637" width="15.85546875" style="1" bestFit="1" customWidth="1"/>
    <col min="5638" max="5638" width="17.7109375" style="1" customWidth="1"/>
    <col min="5639" max="5639" width="14.28515625" style="1" customWidth="1"/>
    <col min="5640" max="5640" width="13" style="1" customWidth="1"/>
    <col min="5641" max="5888" width="9.140625" style="1"/>
    <col min="5889" max="5889" width="14.5703125" style="1" customWidth="1"/>
    <col min="5890" max="5890" width="51.42578125" style="1" customWidth="1"/>
    <col min="5891" max="5891" width="19.42578125" style="1" customWidth="1"/>
    <col min="5892" max="5892" width="18" style="1" customWidth="1"/>
    <col min="5893" max="5893" width="15.85546875" style="1" bestFit="1" customWidth="1"/>
    <col min="5894" max="5894" width="17.7109375" style="1" customWidth="1"/>
    <col min="5895" max="5895" width="14.28515625" style="1" customWidth="1"/>
    <col min="5896" max="5896" width="13" style="1" customWidth="1"/>
    <col min="5897" max="6144" width="9.140625" style="1"/>
    <col min="6145" max="6145" width="14.5703125" style="1" customWidth="1"/>
    <col min="6146" max="6146" width="51.42578125" style="1" customWidth="1"/>
    <col min="6147" max="6147" width="19.42578125" style="1" customWidth="1"/>
    <col min="6148" max="6148" width="18" style="1" customWidth="1"/>
    <col min="6149" max="6149" width="15.85546875" style="1" bestFit="1" customWidth="1"/>
    <col min="6150" max="6150" width="17.7109375" style="1" customWidth="1"/>
    <col min="6151" max="6151" width="14.28515625" style="1" customWidth="1"/>
    <col min="6152" max="6152" width="13" style="1" customWidth="1"/>
    <col min="6153" max="6400" width="9.140625" style="1"/>
    <col min="6401" max="6401" width="14.5703125" style="1" customWidth="1"/>
    <col min="6402" max="6402" width="51.42578125" style="1" customWidth="1"/>
    <col min="6403" max="6403" width="19.42578125" style="1" customWidth="1"/>
    <col min="6404" max="6404" width="18" style="1" customWidth="1"/>
    <col min="6405" max="6405" width="15.85546875" style="1" bestFit="1" customWidth="1"/>
    <col min="6406" max="6406" width="17.7109375" style="1" customWidth="1"/>
    <col min="6407" max="6407" width="14.28515625" style="1" customWidth="1"/>
    <col min="6408" max="6408" width="13" style="1" customWidth="1"/>
    <col min="6409" max="6656" width="9.140625" style="1"/>
    <col min="6657" max="6657" width="14.5703125" style="1" customWidth="1"/>
    <col min="6658" max="6658" width="51.42578125" style="1" customWidth="1"/>
    <col min="6659" max="6659" width="19.42578125" style="1" customWidth="1"/>
    <col min="6660" max="6660" width="18" style="1" customWidth="1"/>
    <col min="6661" max="6661" width="15.85546875" style="1" bestFit="1" customWidth="1"/>
    <col min="6662" max="6662" width="17.7109375" style="1" customWidth="1"/>
    <col min="6663" max="6663" width="14.28515625" style="1" customWidth="1"/>
    <col min="6664" max="6664" width="13" style="1" customWidth="1"/>
    <col min="6665" max="6912" width="9.140625" style="1"/>
    <col min="6913" max="6913" width="14.5703125" style="1" customWidth="1"/>
    <col min="6914" max="6914" width="51.42578125" style="1" customWidth="1"/>
    <col min="6915" max="6915" width="19.42578125" style="1" customWidth="1"/>
    <col min="6916" max="6916" width="18" style="1" customWidth="1"/>
    <col min="6917" max="6917" width="15.85546875" style="1" bestFit="1" customWidth="1"/>
    <col min="6918" max="6918" width="17.7109375" style="1" customWidth="1"/>
    <col min="6919" max="6919" width="14.28515625" style="1" customWidth="1"/>
    <col min="6920" max="6920" width="13" style="1" customWidth="1"/>
    <col min="6921" max="7168" width="9.140625" style="1"/>
    <col min="7169" max="7169" width="14.5703125" style="1" customWidth="1"/>
    <col min="7170" max="7170" width="51.42578125" style="1" customWidth="1"/>
    <col min="7171" max="7171" width="19.42578125" style="1" customWidth="1"/>
    <col min="7172" max="7172" width="18" style="1" customWidth="1"/>
    <col min="7173" max="7173" width="15.85546875" style="1" bestFit="1" customWidth="1"/>
    <col min="7174" max="7174" width="17.7109375" style="1" customWidth="1"/>
    <col min="7175" max="7175" width="14.28515625" style="1" customWidth="1"/>
    <col min="7176" max="7176" width="13" style="1" customWidth="1"/>
    <col min="7177" max="7424" width="9.140625" style="1"/>
    <col min="7425" max="7425" width="14.5703125" style="1" customWidth="1"/>
    <col min="7426" max="7426" width="51.42578125" style="1" customWidth="1"/>
    <col min="7427" max="7427" width="19.42578125" style="1" customWidth="1"/>
    <col min="7428" max="7428" width="18" style="1" customWidth="1"/>
    <col min="7429" max="7429" width="15.85546875" style="1" bestFit="1" customWidth="1"/>
    <col min="7430" max="7430" width="17.7109375" style="1" customWidth="1"/>
    <col min="7431" max="7431" width="14.28515625" style="1" customWidth="1"/>
    <col min="7432" max="7432" width="13" style="1" customWidth="1"/>
    <col min="7433" max="7680" width="9.140625" style="1"/>
    <col min="7681" max="7681" width="14.5703125" style="1" customWidth="1"/>
    <col min="7682" max="7682" width="51.42578125" style="1" customWidth="1"/>
    <col min="7683" max="7683" width="19.42578125" style="1" customWidth="1"/>
    <col min="7684" max="7684" width="18" style="1" customWidth="1"/>
    <col min="7685" max="7685" width="15.85546875" style="1" bestFit="1" customWidth="1"/>
    <col min="7686" max="7686" width="17.7109375" style="1" customWidth="1"/>
    <col min="7687" max="7687" width="14.28515625" style="1" customWidth="1"/>
    <col min="7688" max="7688" width="13" style="1" customWidth="1"/>
    <col min="7689" max="7936" width="9.140625" style="1"/>
    <col min="7937" max="7937" width="14.5703125" style="1" customWidth="1"/>
    <col min="7938" max="7938" width="51.42578125" style="1" customWidth="1"/>
    <col min="7939" max="7939" width="19.42578125" style="1" customWidth="1"/>
    <col min="7940" max="7940" width="18" style="1" customWidth="1"/>
    <col min="7941" max="7941" width="15.85546875" style="1" bestFit="1" customWidth="1"/>
    <col min="7942" max="7942" width="17.7109375" style="1" customWidth="1"/>
    <col min="7943" max="7943" width="14.28515625" style="1" customWidth="1"/>
    <col min="7944" max="7944" width="13" style="1" customWidth="1"/>
    <col min="7945" max="8192" width="9.140625" style="1"/>
    <col min="8193" max="8193" width="14.5703125" style="1" customWidth="1"/>
    <col min="8194" max="8194" width="51.42578125" style="1" customWidth="1"/>
    <col min="8195" max="8195" width="19.42578125" style="1" customWidth="1"/>
    <col min="8196" max="8196" width="18" style="1" customWidth="1"/>
    <col min="8197" max="8197" width="15.85546875" style="1" bestFit="1" customWidth="1"/>
    <col min="8198" max="8198" width="17.7109375" style="1" customWidth="1"/>
    <col min="8199" max="8199" width="14.28515625" style="1" customWidth="1"/>
    <col min="8200" max="8200" width="13" style="1" customWidth="1"/>
    <col min="8201" max="8448" width="9.140625" style="1"/>
    <col min="8449" max="8449" width="14.5703125" style="1" customWidth="1"/>
    <col min="8450" max="8450" width="51.42578125" style="1" customWidth="1"/>
    <col min="8451" max="8451" width="19.42578125" style="1" customWidth="1"/>
    <col min="8452" max="8452" width="18" style="1" customWidth="1"/>
    <col min="8453" max="8453" width="15.85546875" style="1" bestFit="1" customWidth="1"/>
    <col min="8454" max="8454" width="17.7109375" style="1" customWidth="1"/>
    <col min="8455" max="8455" width="14.28515625" style="1" customWidth="1"/>
    <col min="8456" max="8456" width="13" style="1" customWidth="1"/>
    <col min="8457" max="8704" width="9.140625" style="1"/>
    <col min="8705" max="8705" width="14.5703125" style="1" customWidth="1"/>
    <col min="8706" max="8706" width="51.42578125" style="1" customWidth="1"/>
    <col min="8707" max="8707" width="19.42578125" style="1" customWidth="1"/>
    <col min="8708" max="8708" width="18" style="1" customWidth="1"/>
    <col min="8709" max="8709" width="15.85546875" style="1" bestFit="1" customWidth="1"/>
    <col min="8710" max="8710" width="17.7109375" style="1" customWidth="1"/>
    <col min="8711" max="8711" width="14.28515625" style="1" customWidth="1"/>
    <col min="8712" max="8712" width="13" style="1" customWidth="1"/>
    <col min="8713" max="8960" width="9.140625" style="1"/>
    <col min="8961" max="8961" width="14.5703125" style="1" customWidth="1"/>
    <col min="8962" max="8962" width="51.42578125" style="1" customWidth="1"/>
    <col min="8963" max="8963" width="19.42578125" style="1" customWidth="1"/>
    <col min="8964" max="8964" width="18" style="1" customWidth="1"/>
    <col min="8965" max="8965" width="15.85546875" style="1" bestFit="1" customWidth="1"/>
    <col min="8966" max="8966" width="17.7109375" style="1" customWidth="1"/>
    <col min="8967" max="8967" width="14.28515625" style="1" customWidth="1"/>
    <col min="8968" max="8968" width="13" style="1" customWidth="1"/>
    <col min="8969" max="9216" width="9.140625" style="1"/>
    <col min="9217" max="9217" width="14.5703125" style="1" customWidth="1"/>
    <col min="9218" max="9218" width="51.42578125" style="1" customWidth="1"/>
    <col min="9219" max="9219" width="19.42578125" style="1" customWidth="1"/>
    <col min="9220" max="9220" width="18" style="1" customWidth="1"/>
    <col min="9221" max="9221" width="15.85546875" style="1" bestFit="1" customWidth="1"/>
    <col min="9222" max="9222" width="17.7109375" style="1" customWidth="1"/>
    <col min="9223" max="9223" width="14.28515625" style="1" customWidth="1"/>
    <col min="9224" max="9224" width="13" style="1" customWidth="1"/>
    <col min="9225" max="9472" width="9.140625" style="1"/>
    <col min="9473" max="9473" width="14.5703125" style="1" customWidth="1"/>
    <col min="9474" max="9474" width="51.42578125" style="1" customWidth="1"/>
    <col min="9475" max="9475" width="19.42578125" style="1" customWidth="1"/>
    <col min="9476" max="9476" width="18" style="1" customWidth="1"/>
    <col min="9477" max="9477" width="15.85546875" style="1" bestFit="1" customWidth="1"/>
    <col min="9478" max="9478" width="17.7109375" style="1" customWidth="1"/>
    <col min="9479" max="9479" width="14.28515625" style="1" customWidth="1"/>
    <col min="9480" max="9480" width="13" style="1" customWidth="1"/>
    <col min="9481" max="9728" width="9.140625" style="1"/>
    <col min="9729" max="9729" width="14.5703125" style="1" customWidth="1"/>
    <col min="9730" max="9730" width="51.42578125" style="1" customWidth="1"/>
    <col min="9731" max="9731" width="19.42578125" style="1" customWidth="1"/>
    <col min="9732" max="9732" width="18" style="1" customWidth="1"/>
    <col min="9733" max="9733" width="15.85546875" style="1" bestFit="1" customWidth="1"/>
    <col min="9734" max="9734" width="17.7109375" style="1" customWidth="1"/>
    <col min="9735" max="9735" width="14.28515625" style="1" customWidth="1"/>
    <col min="9736" max="9736" width="13" style="1" customWidth="1"/>
    <col min="9737" max="9984" width="9.140625" style="1"/>
    <col min="9985" max="9985" width="14.5703125" style="1" customWidth="1"/>
    <col min="9986" max="9986" width="51.42578125" style="1" customWidth="1"/>
    <col min="9987" max="9987" width="19.42578125" style="1" customWidth="1"/>
    <col min="9988" max="9988" width="18" style="1" customWidth="1"/>
    <col min="9989" max="9989" width="15.85546875" style="1" bestFit="1" customWidth="1"/>
    <col min="9990" max="9990" width="17.7109375" style="1" customWidth="1"/>
    <col min="9991" max="9991" width="14.28515625" style="1" customWidth="1"/>
    <col min="9992" max="9992" width="13" style="1" customWidth="1"/>
    <col min="9993" max="10240" width="9.140625" style="1"/>
    <col min="10241" max="10241" width="14.5703125" style="1" customWidth="1"/>
    <col min="10242" max="10242" width="51.42578125" style="1" customWidth="1"/>
    <col min="10243" max="10243" width="19.42578125" style="1" customWidth="1"/>
    <col min="10244" max="10244" width="18" style="1" customWidth="1"/>
    <col min="10245" max="10245" width="15.85546875" style="1" bestFit="1" customWidth="1"/>
    <col min="10246" max="10246" width="17.7109375" style="1" customWidth="1"/>
    <col min="10247" max="10247" width="14.28515625" style="1" customWidth="1"/>
    <col min="10248" max="10248" width="13" style="1" customWidth="1"/>
    <col min="10249" max="10496" width="9.140625" style="1"/>
    <col min="10497" max="10497" width="14.5703125" style="1" customWidth="1"/>
    <col min="10498" max="10498" width="51.42578125" style="1" customWidth="1"/>
    <col min="10499" max="10499" width="19.42578125" style="1" customWidth="1"/>
    <col min="10500" max="10500" width="18" style="1" customWidth="1"/>
    <col min="10501" max="10501" width="15.85546875" style="1" bestFit="1" customWidth="1"/>
    <col min="10502" max="10502" width="17.7109375" style="1" customWidth="1"/>
    <col min="10503" max="10503" width="14.28515625" style="1" customWidth="1"/>
    <col min="10504" max="10504" width="13" style="1" customWidth="1"/>
    <col min="10505" max="10752" width="9.140625" style="1"/>
    <col min="10753" max="10753" width="14.5703125" style="1" customWidth="1"/>
    <col min="10754" max="10754" width="51.42578125" style="1" customWidth="1"/>
    <col min="10755" max="10755" width="19.42578125" style="1" customWidth="1"/>
    <col min="10756" max="10756" width="18" style="1" customWidth="1"/>
    <col min="10757" max="10757" width="15.85546875" style="1" bestFit="1" customWidth="1"/>
    <col min="10758" max="10758" width="17.7109375" style="1" customWidth="1"/>
    <col min="10759" max="10759" width="14.28515625" style="1" customWidth="1"/>
    <col min="10760" max="10760" width="13" style="1" customWidth="1"/>
    <col min="10761" max="11008" width="9.140625" style="1"/>
    <col min="11009" max="11009" width="14.5703125" style="1" customWidth="1"/>
    <col min="11010" max="11010" width="51.42578125" style="1" customWidth="1"/>
    <col min="11011" max="11011" width="19.42578125" style="1" customWidth="1"/>
    <col min="11012" max="11012" width="18" style="1" customWidth="1"/>
    <col min="11013" max="11013" width="15.85546875" style="1" bestFit="1" customWidth="1"/>
    <col min="11014" max="11014" width="17.7109375" style="1" customWidth="1"/>
    <col min="11015" max="11015" width="14.28515625" style="1" customWidth="1"/>
    <col min="11016" max="11016" width="13" style="1" customWidth="1"/>
    <col min="11017" max="11264" width="9.140625" style="1"/>
    <col min="11265" max="11265" width="14.5703125" style="1" customWidth="1"/>
    <col min="11266" max="11266" width="51.42578125" style="1" customWidth="1"/>
    <col min="11267" max="11267" width="19.42578125" style="1" customWidth="1"/>
    <col min="11268" max="11268" width="18" style="1" customWidth="1"/>
    <col min="11269" max="11269" width="15.85546875" style="1" bestFit="1" customWidth="1"/>
    <col min="11270" max="11270" width="17.7109375" style="1" customWidth="1"/>
    <col min="11271" max="11271" width="14.28515625" style="1" customWidth="1"/>
    <col min="11272" max="11272" width="13" style="1" customWidth="1"/>
    <col min="11273" max="11520" width="9.140625" style="1"/>
    <col min="11521" max="11521" width="14.5703125" style="1" customWidth="1"/>
    <col min="11522" max="11522" width="51.42578125" style="1" customWidth="1"/>
    <col min="11523" max="11523" width="19.42578125" style="1" customWidth="1"/>
    <col min="11524" max="11524" width="18" style="1" customWidth="1"/>
    <col min="11525" max="11525" width="15.85546875" style="1" bestFit="1" customWidth="1"/>
    <col min="11526" max="11526" width="17.7109375" style="1" customWidth="1"/>
    <col min="11527" max="11527" width="14.28515625" style="1" customWidth="1"/>
    <col min="11528" max="11528" width="13" style="1" customWidth="1"/>
    <col min="11529" max="11776" width="9.140625" style="1"/>
    <col min="11777" max="11777" width="14.5703125" style="1" customWidth="1"/>
    <col min="11778" max="11778" width="51.42578125" style="1" customWidth="1"/>
    <col min="11779" max="11779" width="19.42578125" style="1" customWidth="1"/>
    <col min="11780" max="11780" width="18" style="1" customWidth="1"/>
    <col min="11781" max="11781" width="15.85546875" style="1" bestFit="1" customWidth="1"/>
    <col min="11782" max="11782" width="17.7109375" style="1" customWidth="1"/>
    <col min="11783" max="11783" width="14.28515625" style="1" customWidth="1"/>
    <col min="11784" max="11784" width="13" style="1" customWidth="1"/>
    <col min="11785" max="12032" width="9.140625" style="1"/>
    <col min="12033" max="12033" width="14.5703125" style="1" customWidth="1"/>
    <col min="12034" max="12034" width="51.42578125" style="1" customWidth="1"/>
    <col min="12035" max="12035" width="19.42578125" style="1" customWidth="1"/>
    <col min="12036" max="12036" width="18" style="1" customWidth="1"/>
    <col min="12037" max="12037" width="15.85546875" style="1" bestFit="1" customWidth="1"/>
    <col min="12038" max="12038" width="17.7109375" style="1" customWidth="1"/>
    <col min="12039" max="12039" width="14.28515625" style="1" customWidth="1"/>
    <col min="12040" max="12040" width="13" style="1" customWidth="1"/>
    <col min="12041" max="12288" width="9.140625" style="1"/>
    <col min="12289" max="12289" width="14.5703125" style="1" customWidth="1"/>
    <col min="12290" max="12290" width="51.42578125" style="1" customWidth="1"/>
    <col min="12291" max="12291" width="19.42578125" style="1" customWidth="1"/>
    <col min="12292" max="12292" width="18" style="1" customWidth="1"/>
    <col min="12293" max="12293" width="15.85546875" style="1" bestFit="1" customWidth="1"/>
    <col min="12294" max="12294" width="17.7109375" style="1" customWidth="1"/>
    <col min="12295" max="12295" width="14.28515625" style="1" customWidth="1"/>
    <col min="12296" max="12296" width="13" style="1" customWidth="1"/>
    <col min="12297" max="12544" width="9.140625" style="1"/>
    <col min="12545" max="12545" width="14.5703125" style="1" customWidth="1"/>
    <col min="12546" max="12546" width="51.42578125" style="1" customWidth="1"/>
    <col min="12547" max="12547" width="19.42578125" style="1" customWidth="1"/>
    <col min="12548" max="12548" width="18" style="1" customWidth="1"/>
    <col min="12549" max="12549" width="15.85546875" style="1" bestFit="1" customWidth="1"/>
    <col min="12550" max="12550" width="17.7109375" style="1" customWidth="1"/>
    <col min="12551" max="12551" width="14.28515625" style="1" customWidth="1"/>
    <col min="12552" max="12552" width="13" style="1" customWidth="1"/>
    <col min="12553" max="12800" width="9.140625" style="1"/>
    <col min="12801" max="12801" width="14.5703125" style="1" customWidth="1"/>
    <col min="12802" max="12802" width="51.42578125" style="1" customWidth="1"/>
    <col min="12803" max="12803" width="19.42578125" style="1" customWidth="1"/>
    <col min="12804" max="12804" width="18" style="1" customWidth="1"/>
    <col min="12805" max="12805" width="15.85546875" style="1" bestFit="1" customWidth="1"/>
    <col min="12806" max="12806" width="17.7109375" style="1" customWidth="1"/>
    <col min="12807" max="12807" width="14.28515625" style="1" customWidth="1"/>
    <col min="12808" max="12808" width="13" style="1" customWidth="1"/>
    <col min="12809" max="13056" width="9.140625" style="1"/>
    <col min="13057" max="13057" width="14.5703125" style="1" customWidth="1"/>
    <col min="13058" max="13058" width="51.42578125" style="1" customWidth="1"/>
    <col min="13059" max="13059" width="19.42578125" style="1" customWidth="1"/>
    <col min="13060" max="13060" width="18" style="1" customWidth="1"/>
    <col min="13061" max="13061" width="15.85546875" style="1" bestFit="1" customWidth="1"/>
    <col min="13062" max="13062" width="17.7109375" style="1" customWidth="1"/>
    <col min="13063" max="13063" width="14.28515625" style="1" customWidth="1"/>
    <col min="13064" max="13064" width="13" style="1" customWidth="1"/>
    <col min="13065" max="13312" width="9.140625" style="1"/>
    <col min="13313" max="13313" width="14.5703125" style="1" customWidth="1"/>
    <col min="13314" max="13314" width="51.42578125" style="1" customWidth="1"/>
    <col min="13315" max="13315" width="19.42578125" style="1" customWidth="1"/>
    <col min="13316" max="13316" width="18" style="1" customWidth="1"/>
    <col min="13317" max="13317" width="15.85546875" style="1" bestFit="1" customWidth="1"/>
    <col min="13318" max="13318" width="17.7109375" style="1" customWidth="1"/>
    <col min="13319" max="13319" width="14.28515625" style="1" customWidth="1"/>
    <col min="13320" max="13320" width="13" style="1" customWidth="1"/>
    <col min="13321" max="13568" width="9.140625" style="1"/>
    <col min="13569" max="13569" width="14.5703125" style="1" customWidth="1"/>
    <col min="13570" max="13570" width="51.42578125" style="1" customWidth="1"/>
    <col min="13571" max="13571" width="19.42578125" style="1" customWidth="1"/>
    <col min="13572" max="13572" width="18" style="1" customWidth="1"/>
    <col min="13573" max="13573" width="15.85546875" style="1" bestFit="1" customWidth="1"/>
    <col min="13574" max="13574" width="17.7109375" style="1" customWidth="1"/>
    <col min="13575" max="13575" width="14.28515625" style="1" customWidth="1"/>
    <col min="13576" max="13576" width="13" style="1" customWidth="1"/>
    <col min="13577" max="13824" width="9.140625" style="1"/>
    <col min="13825" max="13825" width="14.5703125" style="1" customWidth="1"/>
    <col min="13826" max="13826" width="51.42578125" style="1" customWidth="1"/>
    <col min="13827" max="13827" width="19.42578125" style="1" customWidth="1"/>
    <col min="13828" max="13828" width="18" style="1" customWidth="1"/>
    <col min="13829" max="13829" width="15.85546875" style="1" bestFit="1" customWidth="1"/>
    <col min="13830" max="13830" width="17.7109375" style="1" customWidth="1"/>
    <col min="13831" max="13831" width="14.28515625" style="1" customWidth="1"/>
    <col min="13832" max="13832" width="13" style="1" customWidth="1"/>
    <col min="13833" max="14080" width="9.140625" style="1"/>
    <col min="14081" max="14081" width="14.5703125" style="1" customWidth="1"/>
    <col min="14082" max="14082" width="51.42578125" style="1" customWidth="1"/>
    <col min="14083" max="14083" width="19.42578125" style="1" customWidth="1"/>
    <col min="14084" max="14084" width="18" style="1" customWidth="1"/>
    <col min="14085" max="14085" width="15.85546875" style="1" bestFit="1" customWidth="1"/>
    <col min="14086" max="14086" width="17.7109375" style="1" customWidth="1"/>
    <col min="14087" max="14087" width="14.28515625" style="1" customWidth="1"/>
    <col min="14088" max="14088" width="13" style="1" customWidth="1"/>
    <col min="14089" max="14336" width="9.140625" style="1"/>
    <col min="14337" max="14337" width="14.5703125" style="1" customWidth="1"/>
    <col min="14338" max="14338" width="51.42578125" style="1" customWidth="1"/>
    <col min="14339" max="14339" width="19.42578125" style="1" customWidth="1"/>
    <col min="14340" max="14340" width="18" style="1" customWidth="1"/>
    <col min="14341" max="14341" width="15.85546875" style="1" bestFit="1" customWidth="1"/>
    <col min="14342" max="14342" width="17.7109375" style="1" customWidth="1"/>
    <col min="14343" max="14343" width="14.28515625" style="1" customWidth="1"/>
    <col min="14344" max="14344" width="13" style="1" customWidth="1"/>
    <col min="14345" max="14592" width="9.140625" style="1"/>
    <col min="14593" max="14593" width="14.5703125" style="1" customWidth="1"/>
    <col min="14594" max="14594" width="51.42578125" style="1" customWidth="1"/>
    <col min="14595" max="14595" width="19.42578125" style="1" customWidth="1"/>
    <col min="14596" max="14596" width="18" style="1" customWidth="1"/>
    <col min="14597" max="14597" width="15.85546875" style="1" bestFit="1" customWidth="1"/>
    <col min="14598" max="14598" width="17.7109375" style="1" customWidth="1"/>
    <col min="14599" max="14599" width="14.28515625" style="1" customWidth="1"/>
    <col min="14600" max="14600" width="13" style="1" customWidth="1"/>
    <col min="14601" max="14848" width="9.140625" style="1"/>
    <col min="14849" max="14849" width="14.5703125" style="1" customWidth="1"/>
    <col min="14850" max="14850" width="51.42578125" style="1" customWidth="1"/>
    <col min="14851" max="14851" width="19.42578125" style="1" customWidth="1"/>
    <col min="14852" max="14852" width="18" style="1" customWidth="1"/>
    <col min="14853" max="14853" width="15.85546875" style="1" bestFit="1" customWidth="1"/>
    <col min="14854" max="14854" width="17.7109375" style="1" customWidth="1"/>
    <col min="14855" max="14855" width="14.28515625" style="1" customWidth="1"/>
    <col min="14856" max="14856" width="13" style="1" customWidth="1"/>
    <col min="14857" max="15104" width="9.140625" style="1"/>
    <col min="15105" max="15105" width="14.5703125" style="1" customWidth="1"/>
    <col min="15106" max="15106" width="51.42578125" style="1" customWidth="1"/>
    <col min="15107" max="15107" width="19.42578125" style="1" customWidth="1"/>
    <col min="15108" max="15108" width="18" style="1" customWidth="1"/>
    <col min="15109" max="15109" width="15.85546875" style="1" bestFit="1" customWidth="1"/>
    <col min="15110" max="15110" width="17.7109375" style="1" customWidth="1"/>
    <col min="15111" max="15111" width="14.28515625" style="1" customWidth="1"/>
    <col min="15112" max="15112" width="13" style="1" customWidth="1"/>
    <col min="15113" max="15360" width="9.140625" style="1"/>
    <col min="15361" max="15361" width="14.5703125" style="1" customWidth="1"/>
    <col min="15362" max="15362" width="51.42578125" style="1" customWidth="1"/>
    <col min="15363" max="15363" width="19.42578125" style="1" customWidth="1"/>
    <col min="15364" max="15364" width="18" style="1" customWidth="1"/>
    <col min="15365" max="15365" width="15.85546875" style="1" bestFit="1" customWidth="1"/>
    <col min="15366" max="15366" width="17.7109375" style="1" customWidth="1"/>
    <col min="15367" max="15367" width="14.28515625" style="1" customWidth="1"/>
    <col min="15368" max="15368" width="13" style="1" customWidth="1"/>
    <col min="15369" max="15616" width="9.140625" style="1"/>
    <col min="15617" max="15617" width="14.5703125" style="1" customWidth="1"/>
    <col min="15618" max="15618" width="51.42578125" style="1" customWidth="1"/>
    <col min="15619" max="15619" width="19.42578125" style="1" customWidth="1"/>
    <col min="15620" max="15620" width="18" style="1" customWidth="1"/>
    <col min="15621" max="15621" width="15.85546875" style="1" bestFit="1" customWidth="1"/>
    <col min="15622" max="15622" width="17.7109375" style="1" customWidth="1"/>
    <col min="15623" max="15623" width="14.28515625" style="1" customWidth="1"/>
    <col min="15624" max="15624" width="13" style="1" customWidth="1"/>
    <col min="15625" max="15872" width="9.140625" style="1"/>
    <col min="15873" max="15873" width="14.5703125" style="1" customWidth="1"/>
    <col min="15874" max="15874" width="51.42578125" style="1" customWidth="1"/>
    <col min="15875" max="15875" width="19.42578125" style="1" customWidth="1"/>
    <col min="15876" max="15876" width="18" style="1" customWidth="1"/>
    <col min="15877" max="15877" width="15.85546875" style="1" bestFit="1" customWidth="1"/>
    <col min="15878" max="15878" width="17.7109375" style="1" customWidth="1"/>
    <col min="15879" max="15879" width="14.28515625" style="1" customWidth="1"/>
    <col min="15880" max="15880" width="13" style="1" customWidth="1"/>
    <col min="15881" max="16128" width="9.140625" style="1"/>
    <col min="16129" max="16129" width="14.5703125" style="1" customWidth="1"/>
    <col min="16130" max="16130" width="51.42578125" style="1" customWidth="1"/>
    <col min="16131" max="16131" width="19.42578125" style="1" customWidth="1"/>
    <col min="16132" max="16132" width="18" style="1" customWidth="1"/>
    <col min="16133" max="16133" width="15.85546875" style="1" bestFit="1" customWidth="1"/>
    <col min="16134" max="16134" width="17.7109375" style="1" customWidth="1"/>
    <col min="16135" max="16135" width="14.28515625" style="1" customWidth="1"/>
    <col min="16136" max="16136" width="13" style="1" customWidth="1"/>
    <col min="16137" max="16384" width="9.140625" style="1"/>
  </cols>
  <sheetData>
    <row r="1" spans="1:6" ht="24.95" customHeight="1" thickBot="1">
      <c r="A1" s="1762" t="s">
        <v>0</v>
      </c>
      <c r="B1" s="1762"/>
      <c r="C1" s="1762"/>
      <c r="D1" s="1762"/>
      <c r="E1" s="1762"/>
      <c r="F1" s="1762"/>
    </row>
    <row r="2" spans="1:6" s="2" customFormat="1" ht="24.95" customHeight="1">
      <c r="A2" s="1763" t="s">
        <v>671</v>
      </c>
      <c r="B2" s="1765" t="s">
        <v>1</v>
      </c>
      <c r="C2" s="1767" t="s">
        <v>2</v>
      </c>
      <c r="D2" s="1768"/>
      <c r="E2" s="1769" t="s">
        <v>672</v>
      </c>
      <c r="F2" s="1771" t="s">
        <v>3</v>
      </c>
    </row>
    <row r="3" spans="1:6" ht="24.95" customHeight="1" thickBot="1">
      <c r="A3" s="1764"/>
      <c r="B3" s="1766"/>
      <c r="C3" s="3" t="s">
        <v>4</v>
      </c>
      <c r="D3" s="3" t="s">
        <v>5</v>
      </c>
      <c r="E3" s="1770"/>
      <c r="F3" s="1772"/>
    </row>
    <row r="4" spans="1:6" ht="30" customHeight="1">
      <c r="A4" s="1773" t="s">
        <v>6</v>
      </c>
      <c r="B4" s="1774"/>
      <c r="C4" s="1774"/>
      <c r="D4" s="1774"/>
      <c r="E4" s="1774"/>
      <c r="F4" s="1775"/>
    </row>
    <row r="5" spans="1:6" ht="63">
      <c r="A5" s="4" t="s">
        <v>7</v>
      </c>
      <c r="B5" s="5" t="s">
        <v>592</v>
      </c>
      <c r="C5" s="6">
        <v>889000</v>
      </c>
      <c r="D5" s="7"/>
      <c r="E5" s="7"/>
      <c r="F5" s="8"/>
    </row>
    <row r="6" spans="1:6" ht="31.5">
      <c r="A6" s="4" t="s">
        <v>8</v>
      </c>
      <c r="B6" s="5" t="s">
        <v>669</v>
      </c>
      <c r="C6" s="6">
        <v>1305000</v>
      </c>
      <c r="D6" s="7"/>
      <c r="E6" s="7"/>
      <c r="F6" s="8"/>
    </row>
    <row r="7" spans="1:6" ht="31.5">
      <c r="A7" s="4" t="s">
        <v>9</v>
      </c>
      <c r="B7" s="5" t="s">
        <v>10</v>
      </c>
      <c r="C7" s="6">
        <v>150000</v>
      </c>
      <c r="D7" s="7"/>
      <c r="E7" s="7"/>
      <c r="F7" s="8"/>
    </row>
    <row r="8" spans="1:6" ht="31.5">
      <c r="A8" s="4" t="s">
        <v>11</v>
      </c>
      <c r="B8" s="5" t="s">
        <v>12</v>
      </c>
      <c r="C8" s="6">
        <v>50000</v>
      </c>
      <c r="D8" s="7"/>
      <c r="E8" s="7"/>
      <c r="F8" s="8"/>
    </row>
    <row r="9" spans="1:6" ht="63">
      <c r="A9" s="4" t="s">
        <v>13</v>
      </c>
      <c r="B9" s="5" t="s">
        <v>667</v>
      </c>
      <c r="C9" s="6">
        <v>100000</v>
      </c>
      <c r="D9" s="7"/>
      <c r="E9" s="7"/>
      <c r="F9" s="8"/>
    </row>
    <row r="10" spans="1:6" ht="30" customHeight="1">
      <c r="A10" s="9" t="s">
        <v>14</v>
      </c>
      <c r="B10" s="10" t="s">
        <v>15</v>
      </c>
      <c r="C10" s="11">
        <f>SUM(C5:C9)</f>
        <v>2494000</v>
      </c>
      <c r="D10" s="12"/>
      <c r="E10" s="13">
        <f>C10/1000</f>
        <v>2494</v>
      </c>
      <c r="F10" s="14"/>
    </row>
    <row r="11" spans="1:6" s="2" customFormat="1" ht="173.25">
      <c r="A11" s="15" t="s">
        <v>16</v>
      </c>
      <c r="B11" s="16" t="s">
        <v>668</v>
      </c>
      <c r="C11" s="17">
        <v>11163000</v>
      </c>
      <c r="D11" s="17"/>
      <c r="E11" s="18"/>
      <c r="F11" s="19"/>
    </row>
    <row r="12" spans="1:6" s="2" customFormat="1" ht="31.5">
      <c r="A12" s="15" t="s">
        <v>17</v>
      </c>
      <c r="B12" s="16" t="s">
        <v>666</v>
      </c>
      <c r="C12" s="17">
        <v>60000</v>
      </c>
      <c r="D12" s="17"/>
      <c r="E12" s="18"/>
      <c r="F12" s="19"/>
    </row>
    <row r="13" spans="1:6" ht="31.5">
      <c r="A13" s="15" t="s">
        <v>18</v>
      </c>
      <c r="B13" s="20" t="s">
        <v>19</v>
      </c>
      <c r="C13" s="17">
        <v>20000</v>
      </c>
      <c r="D13" s="17"/>
      <c r="E13" s="18"/>
      <c r="F13" s="21"/>
    </row>
    <row r="14" spans="1:6" ht="24.95" customHeight="1">
      <c r="A14" s="22" t="s">
        <v>20</v>
      </c>
      <c r="B14" s="23" t="s">
        <v>21</v>
      </c>
      <c r="C14" s="24">
        <f>SUM(C11:C13)</f>
        <v>11243000</v>
      </c>
      <c r="D14" s="24"/>
      <c r="E14" s="25">
        <f>C14/1000</f>
        <v>11243</v>
      </c>
      <c r="F14" s="26"/>
    </row>
    <row r="15" spans="1:6" ht="24.95" customHeight="1">
      <c r="A15" s="27" t="s">
        <v>22</v>
      </c>
      <c r="B15" s="28" t="s">
        <v>23</v>
      </c>
      <c r="C15" s="29">
        <f>C14+C10</f>
        <v>13737000</v>
      </c>
      <c r="D15" s="29"/>
      <c r="E15" s="30"/>
      <c r="F15" s="31">
        <f>C15/1000</f>
        <v>13737</v>
      </c>
    </row>
    <row r="16" spans="1:6" s="32" customFormat="1" ht="31.5">
      <c r="A16" s="15" t="s">
        <v>24</v>
      </c>
      <c r="B16" s="16" t="s">
        <v>670</v>
      </c>
      <c r="C16" s="17">
        <v>2607000</v>
      </c>
      <c r="D16" s="17"/>
      <c r="E16" s="18"/>
      <c r="F16" s="19"/>
    </row>
    <row r="17" spans="1:8" ht="94.5">
      <c r="A17" s="15" t="s">
        <v>25</v>
      </c>
      <c r="B17" s="20" t="s">
        <v>26</v>
      </c>
      <c r="C17" s="17">
        <v>104000</v>
      </c>
      <c r="D17" s="17"/>
      <c r="E17" s="18"/>
      <c r="F17" s="19"/>
    </row>
    <row r="18" spans="1:8" ht="94.5">
      <c r="A18" s="15" t="s">
        <v>27</v>
      </c>
      <c r="B18" s="20" t="s">
        <v>28</v>
      </c>
      <c r="C18" s="17">
        <v>84000</v>
      </c>
      <c r="D18" s="17"/>
      <c r="E18" s="18"/>
      <c r="F18" s="19"/>
    </row>
    <row r="19" spans="1:8" ht="30" customHeight="1">
      <c r="A19" s="22" t="s">
        <v>29</v>
      </c>
      <c r="B19" s="23" t="s">
        <v>30</v>
      </c>
      <c r="C19" s="24">
        <f>SUM(C16:C18)</f>
        <v>2795000</v>
      </c>
      <c r="D19" s="24"/>
      <c r="E19" s="25">
        <f>C19/1000</f>
        <v>2795</v>
      </c>
      <c r="F19" s="19"/>
    </row>
    <row r="20" spans="1:8" s="32" customFormat="1" ht="30" customHeight="1">
      <c r="A20" s="27" t="s">
        <v>29</v>
      </c>
      <c r="B20" s="33" t="s">
        <v>30</v>
      </c>
      <c r="C20" s="29">
        <f>C19</f>
        <v>2795000</v>
      </c>
      <c r="D20" s="29"/>
      <c r="E20" s="30"/>
      <c r="F20" s="34">
        <f>C20/1000</f>
        <v>2795</v>
      </c>
    </row>
    <row r="21" spans="1:8" s="32" customFormat="1" ht="30" customHeight="1">
      <c r="A21" s="35" t="s">
        <v>31</v>
      </c>
      <c r="B21" s="36" t="s">
        <v>32</v>
      </c>
      <c r="C21" s="37">
        <v>10000</v>
      </c>
      <c r="D21" s="37"/>
      <c r="E21" s="38"/>
      <c r="F21" s="39"/>
    </row>
    <row r="22" spans="1:8" ht="31.5">
      <c r="A22" s="35" t="s">
        <v>33</v>
      </c>
      <c r="B22" s="36" t="s">
        <v>34</v>
      </c>
      <c r="C22" s="40">
        <v>23000</v>
      </c>
      <c r="D22" s="36"/>
      <c r="E22" s="36"/>
      <c r="F22" s="39"/>
      <c r="H22" s="41"/>
    </row>
    <row r="23" spans="1:8" ht="24.95" customHeight="1">
      <c r="A23" s="42" t="s">
        <v>35</v>
      </c>
      <c r="B23" s="43" t="s">
        <v>36</v>
      </c>
      <c r="C23" s="44">
        <f>SUM(C21:C22)</f>
        <v>33000</v>
      </c>
      <c r="D23" s="43"/>
      <c r="E23" s="43">
        <f>C23/1000</f>
        <v>33</v>
      </c>
      <c r="F23" s="45"/>
      <c r="H23" s="41"/>
    </row>
    <row r="24" spans="1:8" ht="141.75">
      <c r="A24" s="35" t="s">
        <v>37</v>
      </c>
      <c r="B24" s="36" t="s">
        <v>38</v>
      </c>
      <c r="C24" s="40">
        <v>372000</v>
      </c>
      <c r="D24" s="36"/>
      <c r="E24" s="43"/>
      <c r="F24" s="45"/>
      <c r="H24" s="41"/>
    </row>
    <row r="25" spans="1:8" ht="31.5">
      <c r="A25" s="35" t="s">
        <v>39</v>
      </c>
      <c r="B25" s="36" t="s">
        <v>40</v>
      </c>
      <c r="C25" s="40">
        <v>301000</v>
      </c>
      <c r="D25" s="36"/>
      <c r="E25" s="36"/>
      <c r="F25" s="39"/>
      <c r="H25" s="41"/>
    </row>
    <row r="26" spans="1:8" ht="24.95" customHeight="1">
      <c r="A26" s="42" t="s">
        <v>41</v>
      </c>
      <c r="B26" s="43" t="s">
        <v>42</v>
      </c>
      <c r="C26" s="44">
        <f>SUM(C24:C25)</f>
        <v>673000</v>
      </c>
      <c r="D26" s="43"/>
      <c r="E26" s="44">
        <f>C26/1000</f>
        <v>673</v>
      </c>
      <c r="F26" s="39"/>
      <c r="H26" s="41"/>
    </row>
    <row r="27" spans="1:8" s="2" customFormat="1" ht="49.9" customHeight="1">
      <c r="A27" s="35" t="s">
        <v>43</v>
      </c>
      <c r="B27" s="36" t="s">
        <v>44</v>
      </c>
      <c r="C27" s="40">
        <v>240000</v>
      </c>
      <c r="D27" s="36"/>
      <c r="E27" s="40"/>
      <c r="F27" s="39"/>
      <c r="H27" s="46"/>
    </row>
    <row r="28" spans="1:8" ht="31.5">
      <c r="A28" s="35" t="s">
        <v>45</v>
      </c>
      <c r="B28" s="36" t="s">
        <v>46</v>
      </c>
      <c r="C28" s="40">
        <v>250000</v>
      </c>
      <c r="D28" s="36"/>
      <c r="E28" s="36"/>
      <c r="F28" s="39"/>
      <c r="H28" s="41"/>
    </row>
    <row r="29" spans="1:8" ht="78.75">
      <c r="A29" s="35" t="s">
        <v>47</v>
      </c>
      <c r="B29" s="36" t="s">
        <v>665</v>
      </c>
      <c r="C29" s="40">
        <v>2765000</v>
      </c>
      <c r="D29" s="36"/>
      <c r="E29" s="36"/>
      <c r="F29" s="39"/>
      <c r="H29" s="41"/>
    </row>
    <row r="30" spans="1:8" ht="24.95" customHeight="1">
      <c r="A30" s="42" t="s">
        <v>48</v>
      </c>
      <c r="B30" s="43" t="s">
        <v>49</v>
      </c>
      <c r="C30" s="44">
        <f>SUM(C27:C29)</f>
        <v>3255000</v>
      </c>
      <c r="D30" s="43"/>
      <c r="E30" s="44">
        <f>C30/1000</f>
        <v>3255</v>
      </c>
      <c r="F30" s="39"/>
      <c r="H30" s="41"/>
    </row>
    <row r="31" spans="1:8" ht="31.5">
      <c r="A31" s="35" t="s">
        <v>50</v>
      </c>
      <c r="B31" s="36" t="s">
        <v>664</v>
      </c>
      <c r="C31" s="40">
        <v>211000</v>
      </c>
      <c r="D31" s="36"/>
      <c r="E31" s="40"/>
      <c r="F31" s="39"/>
      <c r="H31" s="41"/>
    </row>
    <row r="32" spans="1:8" ht="34.5" customHeight="1">
      <c r="A32" s="42" t="s">
        <v>51</v>
      </c>
      <c r="B32" s="43" t="s">
        <v>52</v>
      </c>
      <c r="C32" s="44">
        <f>C31</f>
        <v>211000</v>
      </c>
      <c r="D32" s="43"/>
      <c r="E32" s="44">
        <f>C32/1000</f>
        <v>211</v>
      </c>
      <c r="F32" s="39"/>
      <c r="H32" s="41"/>
    </row>
    <row r="33" spans="1:8" ht="31.5">
      <c r="A33" s="35" t="s">
        <v>53</v>
      </c>
      <c r="B33" s="36" t="s">
        <v>54</v>
      </c>
      <c r="C33" s="40">
        <v>321000</v>
      </c>
      <c r="D33" s="36"/>
      <c r="E33" s="40"/>
      <c r="F33" s="39"/>
      <c r="H33" s="41"/>
    </row>
    <row r="34" spans="1:8" ht="63">
      <c r="A34" s="35" t="s">
        <v>55</v>
      </c>
      <c r="B34" s="36" t="s">
        <v>663</v>
      </c>
      <c r="C34" s="40">
        <v>112000</v>
      </c>
      <c r="D34" s="36"/>
      <c r="E34" s="40"/>
      <c r="F34" s="39"/>
      <c r="H34" s="41"/>
    </row>
    <row r="35" spans="1:8" ht="30" customHeight="1">
      <c r="A35" s="42" t="s">
        <v>56</v>
      </c>
      <c r="B35" s="43" t="s">
        <v>57</v>
      </c>
      <c r="C35" s="44">
        <f>SUM(C33:C34)</f>
        <v>433000</v>
      </c>
      <c r="D35" s="43"/>
      <c r="E35" s="44">
        <f>C35/1000</f>
        <v>433</v>
      </c>
      <c r="F35" s="39"/>
      <c r="H35" s="41"/>
    </row>
    <row r="36" spans="1:8" ht="30" customHeight="1">
      <c r="A36" s="47" t="s">
        <v>58</v>
      </c>
      <c r="B36" s="28" t="s">
        <v>59</v>
      </c>
      <c r="C36" s="48">
        <f>C23+C26+C30+C35+C32</f>
        <v>4605000</v>
      </c>
      <c r="D36" s="48"/>
      <c r="E36" s="49"/>
      <c r="F36" s="50">
        <f>C36/1000</f>
        <v>4605</v>
      </c>
      <c r="H36" s="41"/>
    </row>
    <row r="37" spans="1:8" s="2" customFormat="1" ht="78" customHeight="1">
      <c r="A37" s="22" t="s">
        <v>60</v>
      </c>
      <c r="B37" s="23" t="s">
        <v>662</v>
      </c>
      <c r="C37" s="24">
        <v>855000</v>
      </c>
      <c r="D37" s="24"/>
      <c r="E37" s="25">
        <f>C37/1000</f>
        <v>855</v>
      </c>
      <c r="F37" s="51"/>
      <c r="H37" s="46"/>
    </row>
    <row r="38" spans="1:8" ht="204.75">
      <c r="A38" s="22" t="s">
        <v>61</v>
      </c>
      <c r="B38" s="23" t="s">
        <v>1143</v>
      </c>
      <c r="C38" s="24">
        <v>70399208</v>
      </c>
      <c r="D38" s="24"/>
      <c r="E38" s="25">
        <f>C38/1000</f>
        <v>70399.207999999999</v>
      </c>
      <c r="F38" s="51"/>
      <c r="H38" s="41"/>
    </row>
    <row r="39" spans="1:8" ht="24.95" customHeight="1">
      <c r="A39" s="47" t="s">
        <v>62</v>
      </c>
      <c r="B39" s="28" t="s">
        <v>63</v>
      </c>
      <c r="C39" s="48">
        <f>C38+C37</f>
        <v>71254208</v>
      </c>
      <c r="D39" s="48"/>
      <c r="E39" s="49"/>
      <c r="F39" s="50">
        <f>C39/1000</f>
        <v>71254.207999999999</v>
      </c>
      <c r="H39" s="41"/>
    </row>
    <row r="40" spans="1:8" ht="31.5">
      <c r="A40" s="22" t="s">
        <v>64</v>
      </c>
      <c r="B40" s="23" t="s">
        <v>634</v>
      </c>
      <c r="C40" s="24">
        <v>300000</v>
      </c>
      <c r="D40" s="24"/>
      <c r="E40" s="25">
        <f>C40/1000</f>
        <v>300</v>
      </c>
      <c r="F40" s="51"/>
      <c r="H40" s="41"/>
    </row>
    <row r="41" spans="1:8" ht="30" customHeight="1">
      <c r="A41" s="22" t="s">
        <v>65</v>
      </c>
      <c r="B41" s="23" t="s">
        <v>66</v>
      </c>
      <c r="C41" s="24">
        <v>0</v>
      </c>
      <c r="D41" s="24"/>
      <c r="E41" s="25">
        <f>C41/1000</f>
        <v>0</v>
      </c>
      <c r="F41" s="19"/>
      <c r="H41" s="41"/>
    </row>
    <row r="42" spans="1:8" ht="30" customHeight="1">
      <c r="A42" s="22" t="s">
        <v>67</v>
      </c>
      <c r="B42" s="23" t="s">
        <v>68</v>
      </c>
      <c r="C42" s="24">
        <v>787000</v>
      </c>
      <c r="D42" s="24"/>
      <c r="E42" s="25">
        <f>C42/1000</f>
        <v>787</v>
      </c>
      <c r="F42" s="19"/>
      <c r="H42" s="41"/>
    </row>
    <row r="43" spans="1:8" ht="30" customHeight="1">
      <c r="A43" s="22" t="s">
        <v>69</v>
      </c>
      <c r="B43" s="23" t="s">
        <v>70</v>
      </c>
      <c r="C43" s="24">
        <v>293490</v>
      </c>
      <c r="D43" s="24"/>
      <c r="E43" s="25">
        <f>C43/1000</f>
        <v>293.49</v>
      </c>
      <c r="F43" s="19"/>
      <c r="H43" s="41"/>
    </row>
    <row r="44" spans="1:8" ht="30" customHeight="1">
      <c r="A44" s="47" t="s">
        <v>71</v>
      </c>
      <c r="B44" s="28" t="s">
        <v>72</v>
      </c>
      <c r="C44" s="48">
        <f>SUM(C40:C43)</f>
        <v>1380490</v>
      </c>
      <c r="D44" s="48"/>
      <c r="E44" s="49"/>
      <c r="F44" s="50">
        <f>C44/1000</f>
        <v>1380.49</v>
      </c>
      <c r="H44" s="41"/>
    </row>
    <row r="45" spans="1:8" ht="24.95" customHeight="1" thickBot="1">
      <c r="A45" s="1760" t="s">
        <v>73</v>
      </c>
      <c r="B45" s="1761"/>
      <c r="C45" s="1761"/>
      <c r="D45" s="1761"/>
      <c r="E45" s="1761"/>
      <c r="F45" s="52">
        <f>SUM(F5:F44)</f>
        <v>93771.698000000004</v>
      </c>
    </row>
    <row r="46" spans="1:8" ht="85.9" customHeight="1">
      <c r="A46" s="53" t="s">
        <v>74</v>
      </c>
      <c r="B46" s="54" t="s">
        <v>75</v>
      </c>
      <c r="C46" s="55"/>
      <c r="D46" s="55">
        <v>140000</v>
      </c>
      <c r="E46" s="56">
        <f>D46/1000</f>
        <v>140</v>
      </c>
      <c r="F46" s="57"/>
    </row>
    <row r="47" spans="1:8" ht="24.95" customHeight="1">
      <c r="A47" s="58" t="s">
        <v>76</v>
      </c>
      <c r="B47" s="59" t="s">
        <v>77</v>
      </c>
      <c r="C47" s="60"/>
      <c r="D47" s="60">
        <f>D46</f>
        <v>140000</v>
      </c>
      <c r="E47" s="61"/>
      <c r="F47" s="62">
        <f>D47/1000</f>
        <v>140</v>
      </c>
    </row>
    <row r="48" spans="1:8" ht="30" customHeight="1">
      <c r="A48" s="53" t="s">
        <v>78</v>
      </c>
      <c r="B48" s="54" t="s">
        <v>661</v>
      </c>
      <c r="C48" s="55"/>
      <c r="D48" s="55"/>
      <c r="E48" s="56">
        <f>D48/1000</f>
        <v>0</v>
      </c>
      <c r="F48" s="57"/>
    </row>
    <row r="49" spans="1:8" ht="30" customHeight="1">
      <c r="A49" s="58" t="s">
        <v>79</v>
      </c>
      <c r="B49" s="59" t="s">
        <v>80</v>
      </c>
      <c r="C49" s="60"/>
      <c r="D49" s="60">
        <f>D48</f>
        <v>0</v>
      </c>
      <c r="E49" s="61"/>
      <c r="F49" s="62">
        <f>D49/1000</f>
        <v>0</v>
      </c>
    </row>
    <row r="50" spans="1:8" s="2" customFormat="1" ht="40.15" customHeight="1">
      <c r="A50" s="53" t="s">
        <v>81</v>
      </c>
      <c r="B50" s="63" t="s">
        <v>82</v>
      </c>
      <c r="C50" s="55"/>
      <c r="D50" s="55">
        <v>240000</v>
      </c>
      <c r="E50" s="64">
        <f>D50/1000</f>
        <v>240</v>
      </c>
      <c r="F50" s="65"/>
    </row>
    <row r="51" spans="1:8" s="2" customFormat="1" ht="40.15" customHeight="1">
      <c r="A51" s="53" t="s">
        <v>83</v>
      </c>
      <c r="B51" s="63" t="s">
        <v>84</v>
      </c>
      <c r="C51" s="55"/>
      <c r="D51" s="55">
        <v>65000</v>
      </c>
      <c r="E51" s="64">
        <f>D51/1000</f>
        <v>65</v>
      </c>
      <c r="F51" s="65"/>
    </row>
    <row r="52" spans="1:8" ht="35.1" customHeight="1">
      <c r="A52" s="53" t="s">
        <v>85</v>
      </c>
      <c r="B52" s="63" t="s">
        <v>86</v>
      </c>
      <c r="C52" s="55"/>
      <c r="D52" s="55">
        <v>5000</v>
      </c>
      <c r="E52" s="64">
        <f>D52/1000</f>
        <v>5</v>
      </c>
      <c r="F52" s="57"/>
    </row>
    <row r="53" spans="1:8" ht="161.25" customHeight="1">
      <c r="A53" s="53" t="s">
        <v>87</v>
      </c>
      <c r="B53" s="63" t="s">
        <v>660</v>
      </c>
      <c r="C53" s="55"/>
      <c r="D53" s="55">
        <v>63150000</v>
      </c>
      <c r="E53" s="64">
        <f>D53/1000</f>
        <v>63150</v>
      </c>
      <c r="F53" s="57"/>
    </row>
    <row r="54" spans="1:8" ht="30" customHeight="1">
      <c r="A54" s="58" t="s">
        <v>88</v>
      </c>
      <c r="B54" s="59" t="s">
        <v>89</v>
      </c>
      <c r="C54" s="60"/>
      <c r="D54" s="60">
        <f>D50+D51+D52+D53</f>
        <v>63460000</v>
      </c>
      <c r="E54" s="61"/>
      <c r="F54" s="66">
        <f>D54/1000</f>
        <v>63460</v>
      </c>
    </row>
    <row r="55" spans="1:8" ht="24.95" customHeight="1" thickBot="1">
      <c r="A55" s="1755" t="s">
        <v>90</v>
      </c>
      <c r="B55" s="1756"/>
      <c r="C55" s="1756"/>
      <c r="D55" s="1756"/>
      <c r="E55" s="1756"/>
      <c r="F55" s="67">
        <f>SUM(F46:F54)</f>
        <v>63600</v>
      </c>
      <c r="H55" s="41"/>
    </row>
    <row r="56" spans="1:8" ht="24.95" customHeight="1" thickBot="1">
      <c r="A56" s="68"/>
      <c r="B56" s="68"/>
      <c r="C56" s="68"/>
      <c r="D56" s="68"/>
      <c r="E56" s="68"/>
      <c r="F56" s="69"/>
      <c r="H56" s="41"/>
    </row>
    <row r="57" spans="1:8" ht="30" customHeight="1">
      <c r="A57" s="1757" t="s">
        <v>91</v>
      </c>
      <c r="B57" s="1758"/>
      <c r="C57" s="1758"/>
      <c r="D57" s="1758"/>
      <c r="E57" s="1758"/>
      <c r="F57" s="1759"/>
      <c r="H57" s="41"/>
    </row>
    <row r="58" spans="1:8" ht="31.5">
      <c r="A58" s="15" t="s">
        <v>7</v>
      </c>
      <c r="B58" s="16" t="s">
        <v>658</v>
      </c>
      <c r="C58" s="17">
        <v>2832000</v>
      </c>
      <c r="D58" s="17"/>
      <c r="E58" s="18"/>
      <c r="F58" s="19"/>
      <c r="H58" s="41"/>
    </row>
    <row r="59" spans="1:8" ht="30" customHeight="1">
      <c r="A59" s="4" t="s">
        <v>8</v>
      </c>
      <c r="B59" s="5" t="s">
        <v>92</v>
      </c>
      <c r="C59" s="6"/>
      <c r="D59" s="7"/>
      <c r="E59" s="7"/>
      <c r="F59" s="8"/>
    </row>
    <row r="60" spans="1:8" ht="31.5">
      <c r="A60" s="4" t="s">
        <v>9</v>
      </c>
      <c r="B60" s="5" t="s">
        <v>10</v>
      </c>
      <c r="C60" s="6">
        <v>150000</v>
      </c>
      <c r="D60" s="7"/>
      <c r="E60" s="7"/>
      <c r="F60" s="8"/>
    </row>
    <row r="61" spans="1:8" ht="24.95" customHeight="1">
      <c r="A61" s="22" t="s">
        <v>14</v>
      </c>
      <c r="B61" s="23" t="s">
        <v>93</v>
      </c>
      <c r="C61" s="24">
        <f>SUM(C58:C60)</f>
        <v>2982000</v>
      </c>
      <c r="D61" s="24"/>
      <c r="E61" s="25">
        <f>C61/1000</f>
        <v>2982</v>
      </c>
      <c r="F61" s="34"/>
      <c r="H61" s="41"/>
    </row>
    <row r="62" spans="1:8" ht="24.95" customHeight="1">
      <c r="A62" s="47" t="s">
        <v>22</v>
      </c>
      <c r="B62" s="28" t="s">
        <v>23</v>
      </c>
      <c r="C62" s="48">
        <f>C61</f>
        <v>2982000</v>
      </c>
      <c r="D62" s="48"/>
      <c r="E62" s="49"/>
      <c r="F62" s="50">
        <f>C62/1000</f>
        <v>2982</v>
      </c>
      <c r="H62" s="41"/>
    </row>
    <row r="63" spans="1:8" s="32" customFormat="1" ht="31.5">
      <c r="A63" s="15" t="s">
        <v>24</v>
      </c>
      <c r="B63" s="16" t="s">
        <v>659</v>
      </c>
      <c r="C63" s="17">
        <v>553000</v>
      </c>
      <c r="D63" s="17"/>
      <c r="E63" s="18"/>
      <c r="F63" s="19"/>
    </row>
    <row r="64" spans="1:8" ht="63">
      <c r="A64" s="15" t="s">
        <v>25</v>
      </c>
      <c r="B64" s="20" t="s">
        <v>94</v>
      </c>
      <c r="C64" s="17">
        <v>28000</v>
      </c>
      <c r="D64" s="17"/>
      <c r="E64" s="18"/>
      <c r="F64" s="19"/>
    </row>
    <row r="65" spans="1:8" ht="63">
      <c r="A65" s="15" t="s">
        <v>27</v>
      </c>
      <c r="B65" s="20" t="s">
        <v>95</v>
      </c>
      <c r="C65" s="17">
        <v>30000</v>
      </c>
      <c r="D65" s="17"/>
      <c r="E65" s="18"/>
      <c r="F65" s="19"/>
    </row>
    <row r="66" spans="1:8" ht="35.1" customHeight="1">
      <c r="A66" s="22" t="s">
        <v>29</v>
      </c>
      <c r="B66" s="23" t="s">
        <v>30</v>
      </c>
      <c r="C66" s="24">
        <f>SUM(C63:C65)</f>
        <v>611000</v>
      </c>
      <c r="D66" s="24"/>
      <c r="E66" s="25">
        <f>C66/1000</f>
        <v>611</v>
      </c>
      <c r="F66" s="19"/>
      <c r="H66" s="41"/>
    </row>
    <row r="67" spans="1:8" ht="24.95" customHeight="1">
      <c r="A67" s="70" t="s">
        <v>29</v>
      </c>
      <c r="B67" s="71" t="s">
        <v>96</v>
      </c>
      <c r="C67" s="72">
        <f>C66</f>
        <v>611000</v>
      </c>
      <c r="D67" s="71"/>
      <c r="E67" s="71"/>
      <c r="F67" s="73">
        <f>C67/1000</f>
        <v>611</v>
      </c>
      <c r="H67" s="41"/>
    </row>
    <row r="68" spans="1:8" ht="63">
      <c r="A68" s="35" t="s">
        <v>33</v>
      </c>
      <c r="B68" s="36" t="s">
        <v>97</v>
      </c>
      <c r="C68" s="40">
        <v>65000</v>
      </c>
      <c r="D68" s="36"/>
      <c r="E68" s="36"/>
      <c r="F68" s="39"/>
      <c r="H68" s="41"/>
    </row>
    <row r="69" spans="1:8" ht="24.95" customHeight="1">
      <c r="A69" s="42" t="s">
        <v>35</v>
      </c>
      <c r="B69" s="43" t="s">
        <v>36</v>
      </c>
      <c r="C69" s="44">
        <f>SUM(C68:C68)</f>
        <v>65000</v>
      </c>
      <c r="D69" s="43"/>
      <c r="E69" s="43">
        <f>C69/1000</f>
        <v>65</v>
      </c>
      <c r="F69" s="45"/>
      <c r="H69" s="41"/>
    </row>
    <row r="70" spans="1:8" ht="31.5">
      <c r="A70" s="35" t="s">
        <v>37</v>
      </c>
      <c r="B70" s="36" t="s">
        <v>98</v>
      </c>
      <c r="C70" s="40">
        <v>11000</v>
      </c>
      <c r="D70" s="36"/>
      <c r="E70" s="36"/>
      <c r="F70" s="39"/>
      <c r="H70" s="41"/>
    </row>
    <row r="71" spans="1:8" ht="63">
      <c r="A71" s="35" t="s">
        <v>39</v>
      </c>
      <c r="B71" s="36" t="s">
        <v>99</v>
      </c>
      <c r="C71" s="40">
        <v>50000</v>
      </c>
      <c r="D71" s="36"/>
      <c r="E71" s="36"/>
      <c r="F71" s="39"/>
      <c r="H71" s="41"/>
    </row>
    <row r="72" spans="1:8" ht="24.95" customHeight="1">
      <c r="A72" s="42" t="s">
        <v>41</v>
      </c>
      <c r="B72" s="43" t="s">
        <v>42</v>
      </c>
      <c r="C72" s="44">
        <f>SUM(C70:C71)</f>
        <v>61000</v>
      </c>
      <c r="D72" s="43"/>
      <c r="E72" s="43">
        <f>C72/1000</f>
        <v>61</v>
      </c>
      <c r="F72" s="39"/>
      <c r="H72" s="41"/>
    </row>
    <row r="73" spans="1:8" ht="63">
      <c r="A73" s="35" t="s">
        <v>100</v>
      </c>
      <c r="B73" s="36" t="s">
        <v>101</v>
      </c>
      <c r="C73" s="40">
        <v>56000</v>
      </c>
      <c r="D73" s="36"/>
      <c r="E73" s="36"/>
      <c r="F73" s="39"/>
      <c r="H73" s="41"/>
    </row>
    <row r="74" spans="1:8" ht="24.95" customHeight="1">
      <c r="A74" s="35" t="s">
        <v>102</v>
      </c>
      <c r="B74" s="36" t="s">
        <v>103</v>
      </c>
      <c r="C74" s="40">
        <v>100000</v>
      </c>
      <c r="D74" s="36"/>
      <c r="E74" s="36"/>
      <c r="F74" s="39"/>
      <c r="H74" s="41"/>
    </row>
    <row r="75" spans="1:8" ht="78.75">
      <c r="A75" s="35" t="s">
        <v>47</v>
      </c>
      <c r="B75" s="36" t="s">
        <v>104</v>
      </c>
      <c r="C75" s="40">
        <v>367000</v>
      </c>
      <c r="D75" s="36"/>
      <c r="E75" s="36"/>
      <c r="F75" s="39"/>
      <c r="H75" s="41"/>
    </row>
    <row r="76" spans="1:8" ht="24.95" customHeight="1">
      <c r="A76" s="42" t="s">
        <v>48</v>
      </c>
      <c r="B76" s="43" t="s">
        <v>49</v>
      </c>
      <c r="C76" s="44">
        <f>SUM(C73:C75)</f>
        <v>523000</v>
      </c>
      <c r="D76" s="43"/>
      <c r="E76" s="44">
        <f>C76/1000</f>
        <v>523</v>
      </c>
      <c r="F76" s="39"/>
      <c r="H76" s="41"/>
    </row>
    <row r="77" spans="1:8" ht="35.1" customHeight="1">
      <c r="A77" s="35" t="s">
        <v>53</v>
      </c>
      <c r="B77" s="36" t="s">
        <v>105</v>
      </c>
      <c r="C77" s="40">
        <v>176000</v>
      </c>
      <c r="D77" s="36"/>
      <c r="E77" s="40"/>
      <c r="F77" s="39"/>
      <c r="H77" s="41"/>
    </row>
    <row r="78" spans="1:8" ht="35.1" customHeight="1">
      <c r="A78" s="42" t="s">
        <v>56</v>
      </c>
      <c r="B78" s="43" t="s">
        <v>57</v>
      </c>
      <c r="C78" s="44">
        <f>C77</f>
        <v>176000</v>
      </c>
      <c r="D78" s="43"/>
      <c r="E78" s="44">
        <f>C78/1000</f>
        <v>176</v>
      </c>
      <c r="F78" s="39"/>
      <c r="H78" s="41"/>
    </row>
    <row r="79" spans="1:8" ht="24.95" customHeight="1">
      <c r="A79" s="47" t="s">
        <v>58</v>
      </c>
      <c r="B79" s="28" t="s">
        <v>59</v>
      </c>
      <c r="C79" s="48">
        <f>C69+C72+C76+C78</f>
        <v>825000</v>
      </c>
      <c r="D79" s="48"/>
      <c r="E79" s="49"/>
      <c r="F79" s="50">
        <f>C79/1000</f>
        <v>825</v>
      </c>
      <c r="H79" s="41"/>
    </row>
    <row r="80" spans="1:8" ht="35.1" customHeight="1">
      <c r="A80" s="22" t="s">
        <v>67</v>
      </c>
      <c r="B80" s="23" t="s">
        <v>106</v>
      </c>
      <c r="C80" s="24"/>
      <c r="D80" s="24"/>
      <c r="E80" s="25">
        <f>C80/1000</f>
        <v>0</v>
      </c>
      <c r="F80" s="19"/>
      <c r="H80" s="41"/>
    </row>
    <row r="81" spans="1:8" ht="24.95" customHeight="1">
      <c r="A81" s="22" t="s">
        <v>69</v>
      </c>
      <c r="B81" s="23" t="s">
        <v>70</v>
      </c>
      <c r="C81" s="24"/>
      <c r="D81" s="24"/>
      <c r="E81" s="25">
        <f>C81/1000</f>
        <v>0</v>
      </c>
      <c r="F81" s="19"/>
      <c r="H81" s="41"/>
    </row>
    <row r="82" spans="1:8" ht="24.95" customHeight="1">
      <c r="A82" s="47" t="s">
        <v>71</v>
      </c>
      <c r="B82" s="28" t="s">
        <v>107</v>
      </c>
      <c r="C82" s="48">
        <f>C80+C81</f>
        <v>0</v>
      </c>
      <c r="D82" s="48"/>
      <c r="E82" s="49"/>
      <c r="F82" s="50">
        <f>C82/1000</f>
        <v>0</v>
      </c>
      <c r="H82" s="41"/>
    </row>
    <row r="83" spans="1:8" ht="24.95" customHeight="1" thickBot="1">
      <c r="A83" s="1760" t="s">
        <v>108</v>
      </c>
      <c r="B83" s="1761"/>
      <c r="C83" s="1761"/>
      <c r="D83" s="1761"/>
      <c r="E83" s="1761"/>
      <c r="F83" s="52">
        <f>SUM(F58:F82)</f>
        <v>4418</v>
      </c>
      <c r="H83" s="41"/>
    </row>
    <row r="84" spans="1:8" ht="31.5">
      <c r="A84" s="53" t="s">
        <v>109</v>
      </c>
      <c r="B84" s="74" t="s">
        <v>656</v>
      </c>
      <c r="C84" s="56"/>
      <c r="D84" s="56">
        <v>423000</v>
      </c>
      <c r="E84" s="56">
        <f>D84/1000</f>
        <v>423</v>
      </c>
      <c r="F84" s="57"/>
      <c r="H84" s="41"/>
    </row>
    <row r="85" spans="1:8" ht="35.1" customHeight="1">
      <c r="A85" s="53" t="s">
        <v>83</v>
      </c>
      <c r="B85" s="74" t="s">
        <v>657</v>
      </c>
      <c r="C85" s="56"/>
      <c r="D85" s="56">
        <v>115000</v>
      </c>
      <c r="E85" s="56">
        <f>D85/1000</f>
        <v>115</v>
      </c>
      <c r="F85" s="57"/>
      <c r="H85" s="41"/>
    </row>
    <row r="86" spans="1:8" ht="24.95" customHeight="1">
      <c r="A86" s="58" t="s">
        <v>88</v>
      </c>
      <c r="B86" s="75" t="s">
        <v>89</v>
      </c>
      <c r="C86" s="76"/>
      <c r="D86" s="76">
        <f>SUM(D83:D85)</f>
        <v>538000</v>
      </c>
      <c r="E86" s="76"/>
      <c r="F86" s="66">
        <f>D86/1000</f>
        <v>538</v>
      </c>
      <c r="H86" s="41"/>
    </row>
    <row r="87" spans="1:8" ht="24.95" customHeight="1" thickBot="1">
      <c r="A87" s="1755" t="s">
        <v>90</v>
      </c>
      <c r="B87" s="1756"/>
      <c r="C87" s="1756"/>
      <c r="D87" s="1756"/>
      <c r="E87" s="1756"/>
      <c r="F87" s="67">
        <f>SUM(F84:F86)</f>
        <v>538</v>
      </c>
      <c r="H87" s="41"/>
    </row>
    <row r="88" spans="1:8" ht="24.95" customHeight="1" thickBot="1">
      <c r="A88" s="68"/>
      <c r="B88" s="68"/>
      <c r="C88" s="68"/>
      <c r="D88" s="68"/>
      <c r="E88" s="68"/>
      <c r="F88" s="69"/>
      <c r="H88" s="41"/>
    </row>
    <row r="89" spans="1:8" ht="30" customHeight="1">
      <c r="A89" s="1757" t="s">
        <v>110</v>
      </c>
      <c r="B89" s="1758"/>
      <c r="C89" s="1758"/>
      <c r="D89" s="1758"/>
      <c r="E89" s="1758"/>
      <c r="F89" s="1759"/>
      <c r="H89" s="41"/>
    </row>
    <row r="90" spans="1:8" ht="30" customHeight="1">
      <c r="A90" s="15" t="s">
        <v>7</v>
      </c>
      <c r="B90" s="20" t="s">
        <v>648</v>
      </c>
      <c r="C90" s="17">
        <v>522000</v>
      </c>
      <c r="D90" s="17"/>
      <c r="E90" s="18"/>
      <c r="F90" s="21"/>
    </row>
    <row r="91" spans="1:8" ht="30" customHeight="1">
      <c r="A91" s="22" t="s">
        <v>14</v>
      </c>
      <c r="B91" s="23" t="s">
        <v>93</v>
      </c>
      <c r="C91" s="24">
        <f>SUM(C90:C90)</f>
        <v>522000</v>
      </c>
      <c r="D91" s="24"/>
      <c r="E91" s="25">
        <f>C91/1000</f>
        <v>522</v>
      </c>
      <c r="F91" s="21"/>
    </row>
    <row r="92" spans="1:8" ht="31.5">
      <c r="A92" s="15" t="s">
        <v>17</v>
      </c>
      <c r="B92" s="20" t="s">
        <v>649</v>
      </c>
      <c r="C92" s="17">
        <v>640000</v>
      </c>
      <c r="D92" s="17"/>
      <c r="E92" s="18"/>
      <c r="F92" s="21"/>
    </row>
    <row r="93" spans="1:8" ht="24.95" customHeight="1">
      <c r="A93" s="22" t="s">
        <v>20</v>
      </c>
      <c r="B93" s="23" t="s">
        <v>21</v>
      </c>
      <c r="C93" s="24">
        <f>SUM(C89:C92)</f>
        <v>1684000</v>
      </c>
      <c r="D93" s="24"/>
      <c r="E93" s="25">
        <f>C93/1000</f>
        <v>1684</v>
      </c>
      <c r="F93" s="26"/>
    </row>
    <row r="94" spans="1:8" ht="24.95" customHeight="1">
      <c r="A94" s="27" t="s">
        <v>22</v>
      </c>
      <c r="B94" s="28" t="s">
        <v>23</v>
      </c>
      <c r="C94" s="29">
        <f>C93+C91</f>
        <v>2206000</v>
      </c>
      <c r="D94" s="29"/>
      <c r="E94" s="30"/>
      <c r="F94" s="31">
        <f>C94/1000</f>
        <v>2206</v>
      </c>
    </row>
    <row r="95" spans="1:8" ht="31.5">
      <c r="A95" s="15" t="s">
        <v>24</v>
      </c>
      <c r="B95" s="16" t="s">
        <v>650</v>
      </c>
      <c r="C95" s="17">
        <v>227000</v>
      </c>
      <c r="D95" s="17"/>
      <c r="E95" s="18"/>
      <c r="F95" s="51"/>
      <c r="H95" s="41"/>
    </row>
    <row r="96" spans="1:8" ht="35.1" customHeight="1">
      <c r="A96" s="22" t="s">
        <v>29</v>
      </c>
      <c r="B96" s="23" t="s">
        <v>30</v>
      </c>
      <c r="C96" s="24">
        <f>SUM(C95:C95)</f>
        <v>227000</v>
      </c>
      <c r="D96" s="24"/>
      <c r="E96" s="25">
        <f>C96/1000</f>
        <v>227</v>
      </c>
      <c r="F96" s="19"/>
      <c r="H96" s="41"/>
    </row>
    <row r="97" spans="1:8" ht="24.95" customHeight="1">
      <c r="A97" s="70" t="s">
        <v>29</v>
      </c>
      <c r="B97" s="71" t="s">
        <v>96</v>
      </c>
      <c r="C97" s="72">
        <f>C96</f>
        <v>227000</v>
      </c>
      <c r="D97" s="71"/>
      <c r="E97" s="71"/>
      <c r="F97" s="73">
        <f>C97/1000</f>
        <v>227</v>
      </c>
      <c r="H97" s="41"/>
    </row>
    <row r="98" spans="1:8" ht="69.95" customHeight="1">
      <c r="A98" s="35" t="s">
        <v>33</v>
      </c>
      <c r="B98" s="36" t="s">
        <v>111</v>
      </c>
      <c r="C98" s="40">
        <v>250000</v>
      </c>
      <c r="D98" s="36"/>
      <c r="E98" s="36"/>
      <c r="F98" s="39"/>
      <c r="H98" s="41"/>
    </row>
    <row r="99" spans="1:8" ht="24.95" customHeight="1">
      <c r="A99" s="77" t="s">
        <v>112</v>
      </c>
      <c r="B99" s="78" t="s">
        <v>113</v>
      </c>
      <c r="C99" s="79">
        <v>1300000</v>
      </c>
      <c r="D99" s="78"/>
      <c r="E99" s="78"/>
      <c r="F99" s="80"/>
      <c r="H99" s="41"/>
    </row>
    <row r="100" spans="1:8" ht="24.95" customHeight="1">
      <c r="A100" s="81" t="s">
        <v>35</v>
      </c>
      <c r="B100" s="82" t="s">
        <v>36</v>
      </c>
      <c r="C100" s="83">
        <f>SUM(C98:C99)</f>
        <v>1550000</v>
      </c>
      <c r="D100" s="82"/>
      <c r="E100" s="82">
        <f>C100/1000</f>
        <v>1550</v>
      </c>
      <c r="F100" s="84"/>
      <c r="H100" s="41"/>
    </row>
    <row r="101" spans="1:8" ht="35.1" customHeight="1">
      <c r="A101" s="77" t="s">
        <v>37</v>
      </c>
      <c r="B101" s="78" t="s">
        <v>114</v>
      </c>
      <c r="C101" s="79">
        <v>18000</v>
      </c>
      <c r="D101" s="78"/>
      <c r="E101" s="78"/>
      <c r="F101" s="80"/>
      <c r="H101" s="41"/>
    </row>
    <row r="102" spans="1:8" ht="30" customHeight="1">
      <c r="A102" s="77" t="s">
        <v>39</v>
      </c>
      <c r="B102" s="78" t="s">
        <v>115</v>
      </c>
      <c r="C102" s="79">
        <v>10000</v>
      </c>
      <c r="D102" s="78"/>
      <c r="E102" s="78"/>
      <c r="F102" s="80"/>
      <c r="H102" s="41"/>
    </row>
    <row r="103" spans="1:8" ht="24.95" customHeight="1">
      <c r="A103" s="81" t="s">
        <v>41</v>
      </c>
      <c r="B103" s="82" t="s">
        <v>42</v>
      </c>
      <c r="C103" s="83">
        <f>SUM(C101:C102)</f>
        <v>28000</v>
      </c>
      <c r="D103" s="82"/>
      <c r="E103" s="82">
        <f>C103/1000</f>
        <v>28</v>
      </c>
      <c r="F103" s="80"/>
      <c r="H103" s="41"/>
    </row>
    <row r="104" spans="1:8" ht="78.75">
      <c r="A104" s="77" t="s">
        <v>100</v>
      </c>
      <c r="B104" s="78" t="s">
        <v>116</v>
      </c>
      <c r="C104" s="79">
        <v>1225000</v>
      </c>
      <c r="D104" s="78"/>
      <c r="E104" s="78"/>
      <c r="F104" s="80"/>
      <c r="H104" s="41"/>
    </row>
    <row r="105" spans="1:8" ht="35.1" customHeight="1">
      <c r="A105" s="77" t="s">
        <v>117</v>
      </c>
      <c r="B105" s="78" t="s">
        <v>118</v>
      </c>
      <c r="C105" s="79">
        <v>1400000</v>
      </c>
      <c r="D105" s="78"/>
      <c r="E105" s="78"/>
      <c r="F105" s="80"/>
      <c r="H105" s="41"/>
    </row>
    <row r="106" spans="1:8" ht="24.95" customHeight="1">
      <c r="A106" s="77" t="s">
        <v>102</v>
      </c>
      <c r="B106" s="78" t="s">
        <v>103</v>
      </c>
      <c r="C106" s="79">
        <v>100000</v>
      </c>
      <c r="D106" s="78"/>
      <c r="E106" s="78"/>
      <c r="F106" s="80"/>
      <c r="H106" s="41"/>
    </row>
    <row r="107" spans="1:8" ht="30" customHeight="1">
      <c r="A107" s="77" t="s">
        <v>43</v>
      </c>
      <c r="B107" s="78" t="s">
        <v>651</v>
      </c>
      <c r="C107" s="79">
        <v>0</v>
      </c>
      <c r="D107" s="78"/>
      <c r="E107" s="78"/>
      <c r="F107" s="80"/>
      <c r="H107" s="41"/>
    </row>
    <row r="108" spans="1:8" ht="110.1" customHeight="1">
      <c r="A108" s="35" t="s">
        <v>47</v>
      </c>
      <c r="B108" s="36" t="s">
        <v>653</v>
      </c>
      <c r="C108" s="40">
        <v>11621000</v>
      </c>
      <c r="D108" s="78"/>
      <c r="E108" s="78"/>
      <c r="F108" s="80"/>
      <c r="H108" s="41"/>
    </row>
    <row r="109" spans="1:8" ht="24.95" customHeight="1">
      <c r="A109" s="81" t="s">
        <v>48</v>
      </c>
      <c r="B109" s="82" t="s">
        <v>49</v>
      </c>
      <c r="C109" s="83">
        <f>SUM(C104:C108)</f>
        <v>14346000</v>
      </c>
      <c r="D109" s="82"/>
      <c r="E109" s="83">
        <f>C109/1000</f>
        <v>14346</v>
      </c>
      <c r="F109" s="80"/>
      <c r="H109" s="41"/>
    </row>
    <row r="110" spans="1:8" ht="35.1" customHeight="1">
      <c r="A110" s="77" t="s">
        <v>53</v>
      </c>
      <c r="B110" s="36" t="s">
        <v>119</v>
      </c>
      <c r="C110" s="40">
        <v>1341000</v>
      </c>
      <c r="D110" s="78"/>
      <c r="E110" s="79"/>
      <c r="F110" s="80"/>
      <c r="H110" s="41"/>
    </row>
    <row r="111" spans="1:8" ht="35.1" customHeight="1">
      <c r="A111" s="81" t="s">
        <v>56</v>
      </c>
      <c r="B111" s="82" t="s">
        <v>57</v>
      </c>
      <c r="C111" s="83">
        <f>C110</f>
        <v>1341000</v>
      </c>
      <c r="D111" s="82"/>
      <c r="E111" s="83">
        <f>C111/1000</f>
        <v>1341</v>
      </c>
      <c r="F111" s="80"/>
      <c r="H111" s="41"/>
    </row>
    <row r="112" spans="1:8" ht="30" customHeight="1">
      <c r="A112" s="85" t="s">
        <v>58</v>
      </c>
      <c r="B112" s="86" t="s">
        <v>59</v>
      </c>
      <c r="C112" s="87">
        <f>C100+C103+C109+C111</f>
        <v>17265000</v>
      </c>
      <c r="D112" s="87"/>
      <c r="E112" s="88"/>
      <c r="F112" s="89">
        <f>C112/1000</f>
        <v>17265</v>
      </c>
      <c r="H112" s="41"/>
    </row>
    <row r="113" spans="1:8" ht="30" customHeight="1">
      <c r="A113" s="90" t="s">
        <v>120</v>
      </c>
      <c r="B113" s="91" t="s">
        <v>652</v>
      </c>
      <c r="C113" s="92">
        <v>20000000</v>
      </c>
      <c r="D113" s="92"/>
      <c r="E113" s="93">
        <f>C113/1000</f>
        <v>20000</v>
      </c>
      <c r="F113" s="94"/>
      <c r="H113" s="41"/>
    </row>
    <row r="114" spans="1:8" ht="30" customHeight="1">
      <c r="A114" s="90" t="s">
        <v>69</v>
      </c>
      <c r="B114" s="91" t="s">
        <v>70</v>
      </c>
      <c r="C114" s="92">
        <v>0</v>
      </c>
      <c r="D114" s="92"/>
      <c r="E114" s="93">
        <f>C114/1000</f>
        <v>0</v>
      </c>
      <c r="F114" s="94"/>
      <c r="H114" s="41"/>
    </row>
    <row r="115" spans="1:8" ht="30" customHeight="1">
      <c r="A115" s="85" t="s">
        <v>71</v>
      </c>
      <c r="B115" s="86" t="s">
        <v>72</v>
      </c>
      <c r="C115" s="87">
        <f>C113+C114</f>
        <v>20000000</v>
      </c>
      <c r="D115" s="87"/>
      <c r="E115" s="88"/>
      <c r="F115" s="89">
        <f>C115/1000</f>
        <v>20000</v>
      </c>
      <c r="H115" s="41"/>
    </row>
    <row r="116" spans="1:8" ht="24.95" customHeight="1" thickBot="1">
      <c r="A116" s="1760" t="s">
        <v>108</v>
      </c>
      <c r="B116" s="1761"/>
      <c r="C116" s="1761"/>
      <c r="D116" s="1761"/>
      <c r="E116" s="1761"/>
      <c r="F116" s="52">
        <f>SUM(F92:F115)</f>
        <v>39698</v>
      </c>
      <c r="H116" s="41"/>
    </row>
    <row r="117" spans="1:8" ht="35.1" customHeight="1">
      <c r="A117" s="53" t="s">
        <v>122</v>
      </c>
      <c r="B117" s="74" t="s">
        <v>123</v>
      </c>
      <c r="C117" s="56"/>
      <c r="D117" s="56">
        <v>1700000</v>
      </c>
      <c r="E117" s="56">
        <f>D117/1000</f>
        <v>1700</v>
      </c>
      <c r="F117" s="57"/>
      <c r="H117" s="41"/>
    </row>
    <row r="118" spans="1:8" ht="126">
      <c r="A118" s="53" t="s">
        <v>109</v>
      </c>
      <c r="B118" s="74" t="s">
        <v>124</v>
      </c>
      <c r="C118" s="56"/>
      <c r="D118" s="56">
        <v>2065000</v>
      </c>
      <c r="E118" s="56">
        <f>D118/1000</f>
        <v>2065</v>
      </c>
      <c r="F118" s="57"/>
      <c r="H118" s="41"/>
    </row>
    <row r="119" spans="1:8" ht="50.1" customHeight="1">
      <c r="A119" s="53" t="s">
        <v>81</v>
      </c>
      <c r="B119" s="74" t="s">
        <v>125</v>
      </c>
      <c r="C119" s="56"/>
      <c r="D119" s="56">
        <v>200000</v>
      </c>
      <c r="E119" s="56">
        <f>D119/1000</f>
        <v>200</v>
      </c>
      <c r="F119" s="57"/>
      <c r="H119" s="41"/>
    </row>
    <row r="120" spans="1:8" ht="63">
      <c r="A120" s="53" t="s">
        <v>83</v>
      </c>
      <c r="B120" s="74" t="s">
        <v>126</v>
      </c>
      <c r="C120" s="56"/>
      <c r="D120" s="56">
        <v>612000</v>
      </c>
      <c r="E120" s="56">
        <f>D120/1000</f>
        <v>612</v>
      </c>
      <c r="F120" s="57"/>
      <c r="H120" s="41"/>
    </row>
    <row r="121" spans="1:8" ht="30" customHeight="1">
      <c r="A121" s="58" t="s">
        <v>88</v>
      </c>
      <c r="B121" s="75" t="s">
        <v>89</v>
      </c>
      <c r="C121" s="76"/>
      <c r="D121" s="76">
        <f>SUM(D117:D120)</f>
        <v>4577000</v>
      </c>
      <c r="E121" s="76"/>
      <c r="F121" s="66">
        <f>D121/1000</f>
        <v>4577</v>
      </c>
      <c r="H121" s="41"/>
    </row>
    <row r="122" spans="1:8" ht="30" customHeight="1">
      <c r="A122" s="53" t="s">
        <v>654</v>
      </c>
      <c r="B122" s="74" t="s">
        <v>655</v>
      </c>
      <c r="C122" s="56"/>
      <c r="D122" s="56">
        <v>35000000</v>
      </c>
      <c r="E122" s="56">
        <f>D122/1000</f>
        <v>35000</v>
      </c>
      <c r="F122" s="57"/>
      <c r="H122" s="41"/>
    </row>
    <row r="123" spans="1:8" ht="30" customHeight="1">
      <c r="A123" s="58" t="s">
        <v>654</v>
      </c>
      <c r="B123" s="75" t="s">
        <v>168</v>
      </c>
      <c r="C123" s="76"/>
      <c r="D123" s="76">
        <f>SUM(D122:D122)</f>
        <v>35000000</v>
      </c>
      <c r="E123" s="76"/>
      <c r="F123" s="66">
        <f>D123/1000</f>
        <v>35000</v>
      </c>
      <c r="H123" s="41"/>
    </row>
    <row r="124" spans="1:8" ht="30" customHeight="1" thickBot="1">
      <c r="A124" s="1755" t="s">
        <v>90</v>
      </c>
      <c r="B124" s="1756"/>
      <c r="C124" s="1756"/>
      <c r="D124" s="1756"/>
      <c r="E124" s="1756"/>
      <c r="F124" s="67">
        <f>SUM(F117:F123)</f>
        <v>39577</v>
      </c>
      <c r="H124" s="41"/>
    </row>
    <row r="125" spans="1:8" ht="25.15" customHeight="1" thickBot="1">
      <c r="A125" s="95"/>
      <c r="B125" s="95"/>
      <c r="C125" s="95"/>
      <c r="D125" s="95"/>
      <c r="E125" s="95"/>
      <c r="F125" s="96"/>
      <c r="H125" s="41"/>
    </row>
    <row r="126" spans="1:8" ht="30" customHeight="1">
      <c r="A126" s="1757" t="s">
        <v>127</v>
      </c>
      <c r="B126" s="1758"/>
      <c r="C126" s="1758"/>
      <c r="D126" s="1758"/>
      <c r="E126" s="1758"/>
      <c r="F126" s="1759"/>
      <c r="H126" s="41"/>
    </row>
    <row r="127" spans="1:8" ht="30" customHeight="1">
      <c r="A127" s="15" t="s">
        <v>18</v>
      </c>
      <c r="B127" s="16" t="s">
        <v>128</v>
      </c>
      <c r="C127" s="17">
        <v>400000</v>
      </c>
      <c r="D127" s="24"/>
      <c r="E127" s="25"/>
      <c r="F127" s="51"/>
      <c r="H127" s="41"/>
    </row>
    <row r="128" spans="1:8" ht="30" customHeight="1">
      <c r="A128" s="22" t="s">
        <v>20</v>
      </c>
      <c r="B128" s="23" t="s">
        <v>21</v>
      </c>
      <c r="C128" s="24">
        <f>C127</f>
        <v>400000</v>
      </c>
      <c r="D128" s="24"/>
      <c r="E128" s="25">
        <f>C128/1000</f>
        <v>400</v>
      </c>
      <c r="F128" s="51"/>
      <c r="H128" s="41"/>
    </row>
    <row r="129" spans="1:8" ht="30" customHeight="1">
      <c r="A129" s="47" t="s">
        <v>22</v>
      </c>
      <c r="B129" s="28" t="s">
        <v>23</v>
      </c>
      <c r="C129" s="48">
        <f>C128</f>
        <v>400000</v>
      </c>
      <c r="D129" s="48"/>
      <c r="E129" s="49"/>
      <c r="F129" s="50">
        <f>C129/1000</f>
        <v>400</v>
      </c>
      <c r="H129" s="41"/>
    </row>
    <row r="130" spans="1:8" ht="31.5">
      <c r="A130" s="15" t="s">
        <v>25</v>
      </c>
      <c r="B130" s="16" t="s">
        <v>129</v>
      </c>
      <c r="C130" s="17">
        <v>129000</v>
      </c>
      <c r="D130" s="17"/>
      <c r="E130" s="18"/>
      <c r="F130" s="19"/>
      <c r="H130" s="41"/>
    </row>
    <row r="131" spans="1:8" ht="30" customHeight="1">
      <c r="A131" s="15" t="s">
        <v>27</v>
      </c>
      <c r="B131" s="16" t="s">
        <v>130</v>
      </c>
      <c r="C131" s="17">
        <v>72000</v>
      </c>
      <c r="D131" s="17"/>
      <c r="E131" s="18"/>
      <c r="F131" s="19"/>
      <c r="H131" s="41"/>
    </row>
    <row r="132" spans="1:8" ht="30" customHeight="1">
      <c r="A132" s="22" t="s">
        <v>29</v>
      </c>
      <c r="B132" s="23" t="s">
        <v>131</v>
      </c>
      <c r="C132" s="24">
        <f>SUM(C130:C131)</f>
        <v>201000</v>
      </c>
      <c r="D132" s="24"/>
      <c r="E132" s="25">
        <f>C132/1000</f>
        <v>201</v>
      </c>
      <c r="F132" s="51"/>
      <c r="H132" s="41"/>
    </row>
    <row r="133" spans="1:8" ht="30" customHeight="1">
      <c r="A133" s="47" t="s">
        <v>29</v>
      </c>
      <c r="B133" s="28" t="s">
        <v>131</v>
      </c>
      <c r="C133" s="48">
        <f>C132</f>
        <v>201000</v>
      </c>
      <c r="D133" s="48"/>
      <c r="E133" s="49"/>
      <c r="F133" s="50">
        <f>C133/1000</f>
        <v>201</v>
      </c>
      <c r="H133" s="41"/>
    </row>
    <row r="134" spans="1:8" ht="54.75" customHeight="1">
      <c r="A134" s="15" t="s">
        <v>33</v>
      </c>
      <c r="B134" s="16" t="s">
        <v>647</v>
      </c>
      <c r="C134" s="17">
        <v>300000</v>
      </c>
      <c r="D134" s="24"/>
      <c r="E134" s="25"/>
      <c r="F134" s="51"/>
      <c r="H134" s="41"/>
    </row>
    <row r="135" spans="1:8" ht="30" customHeight="1">
      <c r="A135" s="22" t="s">
        <v>35</v>
      </c>
      <c r="B135" s="23" t="s">
        <v>36</v>
      </c>
      <c r="C135" s="24">
        <f>C134</f>
        <v>300000</v>
      </c>
      <c r="D135" s="24"/>
      <c r="E135" s="25">
        <f>C135/1000</f>
        <v>300</v>
      </c>
      <c r="F135" s="51"/>
      <c r="H135" s="41"/>
    </row>
    <row r="136" spans="1:8" ht="30" customHeight="1">
      <c r="A136" s="15" t="s">
        <v>117</v>
      </c>
      <c r="B136" s="16" t="s">
        <v>646</v>
      </c>
      <c r="C136" s="17">
        <v>100000</v>
      </c>
      <c r="D136" s="17"/>
      <c r="E136" s="18"/>
      <c r="F136" s="19"/>
      <c r="H136" s="41"/>
    </row>
    <row r="137" spans="1:8" ht="30" customHeight="1">
      <c r="A137" s="35" t="s">
        <v>47</v>
      </c>
      <c r="B137" s="36" t="s">
        <v>626</v>
      </c>
      <c r="C137" s="37">
        <v>100000</v>
      </c>
      <c r="D137" s="37"/>
      <c r="E137" s="38"/>
      <c r="F137" s="39"/>
      <c r="H137" s="41"/>
    </row>
    <row r="138" spans="1:8" ht="30" customHeight="1">
      <c r="A138" s="81" t="s">
        <v>48</v>
      </c>
      <c r="B138" s="82" t="s">
        <v>49</v>
      </c>
      <c r="C138" s="83">
        <f>SUM(C136:C137)</f>
        <v>200000</v>
      </c>
      <c r="D138" s="82"/>
      <c r="E138" s="83">
        <f>C138/1000</f>
        <v>200</v>
      </c>
      <c r="F138" s="80"/>
      <c r="H138" s="41"/>
    </row>
    <row r="139" spans="1:8" ht="30" customHeight="1">
      <c r="A139" s="15" t="s">
        <v>53</v>
      </c>
      <c r="B139" s="16" t="s">
        <v>132</v>
      </c>
      <c r="C139" s="17">
        <v>135000</v>
      </c>
      <c r="D139" s="24"/>
      <c r="E139" s="25"/>
      <c r="F139" s="51"/>
      <c r="H139" s="41"/>
    </row>
    <row r="140" spans="1:8" ht="30" customHeight="1">
      <c r="A140" s="42" t="s">
        <v>56</v>
      </c>
      <c r="B140" s="43" t="s">
        <v>133</v>
      </c>
      <c r="C140" s="98">
        <f>C139</f>
        <v>135000</v>
      </c>
      <c r="D140" s="98"/>
      <c r="E140" s="99">
        <f>C140/1000</f>
        <v>135</v>
      </c>
      <c r="F140" s="45"/>
      <c r="H140" s="41"/>
    </row>
    <row r="141" spans="1:8" ht="30" customHeight="1" thickBot="1">
      <c r="A141" s="100" t="s">
        <v>58</v>
      </c>
      <c r="B141" s="101" t="s">
        <v>59</v>
      </c>
      <c r="C141" s="102">
        <f>C135+C140+C138</f>
        <v>635000</v>
      </c>
      <c r="D141" s="101"/>
      <c r="E141" s="101"/>
      <c r="F141" s="103">
        <f>C141/1000</f>
        <v>635</v>
      </c>
      <c r="H141" s="41"/>
    </row>
    <row r="142" spans="1:8" ht="30" customHeight="1" thickBot="1">
      <c r="A142" s="1760" t="s">
        <v>108</v>
      </c>
      <c r="B142" s="1761"/>
      <c r="C142" s="1761"/>
      <c r="D142" s="1761"/>
      <c r="E142" s="1761"/>
      <c r="F142" s="52">
        <f>SUM(F127:F141)</f>
        <v>1236</v>
      </c>
      <c r="H142" s="41"/>
    </row>
    <row r="143" spans="1:8" ht="30" customHeight="1" thickBot="1">
      <c r="A143" s="68"/>
      <c r="B143" s="68"/>
      <c r="C143" s="68"/>
      <c r="D143" s="68"/>
      <c r="E143" s="68"/>
      <c r="F143" s="69"/>
      <c r="H143" s="41"/>
    </row>
    <row r="144" spans="1:8" ht="30" customHeight="1">
      <c r="A144" s="1776" t="s">
        <v>134</v>
      </c>
      <c r="B144" s="1777"/>
      <c r="C144" s="1777"/>
      <c r="D144" s="1777"/>
      <c r="E144" s="1777"/>
      <c r="F144" s="1778"/>
      <c r="H144" s="41"/>
    </row>
    <row r="145" spans="1:8" ht="30" customHeight="1">
      <c r="A145" s="15" t="s">
        <v>135</v>
      </c>
      <c r="B145" s="16" t="s">
        <v>136</v>
      </c>
      <c r="C145" s="17"/>
      <c r="D145" s="24"/>
      <c r="E145" s="25"/>
      <c r="F145" s="51"/>
      <c r="H145" s="41"/>
    </row>
    <row r="146" spans="1:8" ht="24.95" customHeight="1">
      <c r="A146" s="42" t="s">
        <v>137</v>
      </c>
      <c r="B146" s="43" t="s">
        <v>138</v>
      </c>
      <c r="C146" s="98">
        <f>C145</f>
        <v>0</v>
      </c>
      <c r="D146" s="98"/>
      <c r="E146" s="99">
        <f>C146/1000</f>
        <v>0</v>
      </c>
      <c r="F146" s="45"/>
      <c r="H146" s="41"/>
    </row>
    <row r="147" spans="1:8" ht="24.95" customHeight="1" thickBot="1">
      <c r="A147" s="100" t="s">
        <v>62</v>
      </c>
      <c r="B147" s="101" t="s">
        <v>63</v>
      </c>
      <c r="C147" s="102">
        <f>C144+C146</f>
        <v>0</v>
      </c>
      <c r="D147" s="101"/>
      <c r="E147" s="101"/>
      <c r="F147" s="103">
        <f>C147/1000</f>
        <v>0</v>
      </c>
      <c r="H147" s="41"/>
    </row>
    <row r="148" spans="1:8" ht="30" customHeight="1" thickBot="1">
      <c r="A148" s="1760" t="s">
        <v>108</v>
      </c>
      <c r="B148" s="1761"/>
      <c r="C148" s="1761"/>
      <c r="D148" s="1761"/>
      <c r="E148" s="1761"/>
      <c r="F148" s="52">
        <f>F147</f>
        <v>0</v>
      </c>
      <c r="H148" s="41"/>
    </row>
    <row r="149" spans="1:8" ht="126">
      <c r="A149" s="104" t="s">
        <v>139</v>
      </c>
      <c r="B149" s="105" t="s">
        <v>640</v>
      </c>
      <c r="C149" s="106"/>
      <c r="D149" s="106">
        <v>60698759</v>
      </c>
      <c r="E149" s="107"/>
      <c r="F149" s="108"/>
      <c r="H149" s="41"/>
    </row>
    <row r="150" spans="1:8" ht="94.5">
      <c r="A150" s="104" t="s">
        <v>140</v>
      </c>
      <c r="B150" s="105" t="s">
        <v>641</v>
      </c>
      <c r="C150" s="106"/>
      <c r="D150" s="106">
        <v>59510000</v>
      </c>
      <c r="E150" s="107"/>
      <c r="F150" s="108"/>
      <c r="H150" s="41"/>
    </row>
    <row r="151" spans="1:8" ht="110.25">
      <c r="A151" s="104" t="s">
        <v>141</v>
      </c>
      <c r="B151" s="105" t="s">
        <v>642</v>
      </c>
      <c r="C151" s="106"/>
      <c r="D151" s="106">
        <v>35217604</v>
      </c>
      <c r="E151" s="107"/>
      <c r="F151" s="108"/>
      <c r="H151" s="41"/>
    </row>
    <row r="152" spans="1:8" ht="30" customHeight="1">
      <c r="A152" s="104" t="s">
        <v>142</v>
      </c>
      <c r="B152" s="105" t="s">
        <v>643</v>
      </c>
      <c r="C152" s="106"/>
      <c r="D152" s="106">
        <v>3717120</v>
      </c>
      <c r="E152" s="107"/>
      <c r="F152" s="108"/>
      <c r="H152" s="41"/>
    </row>
    <row r="153" spans="1:8" ht="30" customHeight="1">
      <c r="A153" s="104" t="s">
        <v>644</v>
      </c>
      <c r="B153" s="105" t="s">
        <v>645</v>
      </c>
      <c r="C153" s="106"/>
      <c r="D153" s="106">
        <v>4926000</v>
      </c>
      <c r="E153" s="107"/>
      <c r="F153" s="108"/>
      <c r="H153" s="41"/>
    </row>
    <row r="154" spans="1:8" ht="30" customHeight="1">
      <c r="A154" s="109" t="s">
        <v>143</v>
      </c>
      <c r="B154" s="54" t="s">
        <v>144</v>
      </c>
      <c r="C154" s="55"/>
      <c r="D154" s="55">
        <f>SUM(D149:D153)</f>
        <v>164069483</v>
      </c>
      <c r="E154" s="64">
        <f>D154/1000</f>
        <v>164069.48300000001</v>
      </c>
      <c r="F154" s="108"/>
      <c r="H154" s="41"/>
    </row>
    <row r="155" spans="1:8" ht="30" customHeight="1">
      <c r="A155" s="110" t="s">
        <v>76</v>
      </c>
      <c r="B155" s="111" t="s">
        <v>145</v>
      </c>
      <c r="C155" s="60"/>
      <c r="D155" s="60">
        <f>D154</f>
        <v>164069483</v>
      </c>
      <c r="E155" s="61"/>
      <c r="F155" s="66">
        <f>D155/1000</f>
        <v>164069.48300000001</v>
      </c>
      <c r="H155" s="41"/>
    </row>
    <row r="156" spans="1:8" ht="30" customHeight="1" thickBot="1">
      <c r="A156" s="1755" t="s">
        <v>90</v>
      </c>
      <c r="B156" s="1756"/>
      <c r="C156" s="1756"/>
      <c r="D156" s="1756"/>
      <c r="E156" s="1756"/>
      <c r="F156" s="67">
        <f>F155</f>
        <v>164069.48300000001</v>
      </c>
      <c r="H156" s="41"/>
    </row>
    <row r="157" spans="1:8" ht="30" customHeight="1" thickBot="1">
      <c r="A157" s="112"/>
      <c r="B157" s="113"/>
      <c r="C157" s="114"/>
      <c r="D157" s="114"/>
      <c r="E157" s="115"/>
      <c r="F157" s="115"/>
      <c r="H157" s="41"/>
    </row>
    <row r="158" spans="1:8" ht="30" customHeight="1">
      <c r="A158" s="1776" t="s">
        <v>146</v>
      </c>
      <c r="B158" s="1777"/>
      <c r="C158" s="1777"/>
      <c r="D158" s="1777"/>
      <c r="E158" s="1777"/>
      <c r="F158" s="1778"/>
      <c r="H158" s="41"/>
    </row>
    <row r="159" spans="1:8" ht="158.25" customHeight="1">
      <c r="A159" s="116" t="s">
        <v>147</v>
      </c>
      <c r="B159" s="117" t="s">
        <v>1141</v>
      </c>
      <c r="C159" s="118"/>
      <c r="D159" s="119">
        <v>23805101</v>
      </c>
      <c r="E159" s="119"/>
      <c r="F159" s="120"/>
      <c r="H159" s="41"/>
    </row>
    <row r="160" spans="1:8" ht="24.95" customHeight="1">
      <c r="A160" s="121" t="s">
        <v>148</v>
      </c>
      <c r="B160" s="122" t="s">
        <v>149</v>
      </c>
      <c r="C160" s="123"/>
      <c r="D160" s="124">
        <f>D159</f>
        <v>23805101</v>
      </c>
      <c r="E160" s="124">
        <f>D160/1000</f>
        <v>23805.100999999999</v>
      </c>
      <c r="F160" s="125"/>
      <c r="H160" s="41"/>
    </row>
    <row r="161" spans="1:8" ht="24.95" customHeight="1">
      <c r="A161" s="126" t="s">
        <v>150</v>
      </c>
      <c r="B161" s="127" t="s">
        <v>151</v>
      </c>
      <c r="C161" s="128"/>
      <c r="D161" s="129">
        <f>D159</f>
        <v>23805101</v>
      </c>
      <c r="E161" s="129"/>
      <c r="F161" s="130">
        <f>D161/1000</f>
        <v>23805.100999999999</v>
      </c>
      <c r="H161" s="41"/>
    </row>
    <row r="162" spans="1:8" ht="30" customHeight="1" thickBot="1">
      <c r="A162" s="1755" t="s">
        <v>90</v>
      </c>
      <c r="B162" s="1756"/>
      <c r="C162" s="1756"/>
      <c r="D162" s="1756"/>
      <c r="E162" s="1756"/>
      <c r="F162" s="67">
        <f>F161</f>
        <v>23805.100999999999</v>
      </c>
      <c r="H162" s="41"/>
    </row>
    <row r="163" spans="1:8" ht="76.5" customHeight="1">
      <c r="A163" s="35" t="s">
        <v>636</v>
      </c>
      <c r="B163" s="1076" t="s">
        <v>639</v>
      </c>
      <c r="C163" s="99">
        <v>1700000</v>
      </c>
      <c r="D163" s="1075"/>
      <c r="E163" s="1075"/>
      <c r="F163" s="45"/>
      <c r="H163" s="41"/>
    </row>
    <row r="164" spans="1:8" ht="60.75" customHeight="1">
      <c r="A164" s="42" t="s">
        <v>637</v>
      </c>
      <c r="B164" s="43" t="s">
        <v>638</v>
      </c>
      <c r="C164" s="99">
        <f>C163</f>
        <v>1700000</v>
      </c>
      <c r="D164" s="1075"/>
      <c r="E164" s="1078">
        <f>C164/1000</f>
        <v>1700</v>
      </c>
      <c r="F164" s="45"/>
      <c r="H164" s="41"/>
    </row>
    <row r="165" spans="1:8" ht="30" customHeight="1">
      <c r="A165" s="133" t="s">
        <v>62</v>
      </c>
      <c r="B165" s="134" t="s">
        <v>635</v>
      </c>
      <c r="C165" s="1079">
        <f>C164</f>
        <v>1700000</v>
      </c>
      <c r="D165" s="1077"/>
      <c r="E165" s="1077"/>
      <c r="F165" s="136">
        <f>C165/1000</f>
        <v>1700</v>
      </c>
      <c r="H165" s="41"/>
    </row>
    <row r="166" spans="1:8" ht="74.25" customHeight="1">
      <c r="A166" s="1779" t="s">
        <v>152</v>
      </c>
      <c r="B166" s="16" t="s">
        <v>1142</v>
      </c>
      <c r="C166" s="17">
        <v>68522545</v>
      </c>
      <c r="D166" s="17"/>
      <c r="E166" s="18"/>
      <c r="F166" s="51"/>
      <c r="H166" s="41"/>
    </row>
    <row r="167" spans="1:8" ht="67.5" customHeight="1">
      <c r="A167" s="1780"/>
      <c r="B167" s="16" t="s">
        <v>681</v>
      </c>
      <c r="C167" s="17">
        <v>98121883</v>
      </c>
      <c r="D167" s="17"/>
      <c r="E167" s="18"/>
      <c r="F167" s="51"/>
      <c r="H167" s="41"/>
    </row>
    <row r="168" spans="1:8" ht="24.95" customHeight="1">
      <c r="A168" s="15" t="s">
        <v>153</v>
      </c>
      <c r="B168" s="20" t="s">
        <v>633</v>
      </c>
      <c r="C168" s="17">
        <v>5539458</v>
      </c>
      <c r="D168" s="17"/>
      <c r="E168" s="18"/>
      <c r="F168" s="19"/>
      <c r="H168" s="41"/>
    </row>
    <row r="169" spans="1:8" ht="24.95" customHeight="1">
      <c r="A169" s="131" t="s">
        <v>154</v>
      </c>
      <c r="B169" s="23" t="s">
        <v>155</v>
      </c>
      <c r="C169" s="24">
        <f>C166+C167+C168</f>
        <v>172183886</v>
      </c>
      <c r="D169" s="24"/>
      <c r="E169" s="25">
        <f>C169/1000</f>
        <v>172183.886</v>
      </c>
      <c r="F169" s="51"/>
      <c r="H169" s="41"/>
    </row>
    <row r="170" spans="1:8" ht="24.95" customHeight="1">
      <c r="A170" s="132" t="s">
        <v>156</v>
      </c>
      <c r="B170" s="28" t="s">
        <v>157</v>
      </c>
      <c r="C170" s="48">
        <f>C169</f>
        <v>172183886</v>
      </c>
      <c r="D170" s="48"/>
      <c r="E170" s="49"/>
      <c r="F170" s="50">
        <f>C170/1000</f>
        <v>172183.886</v>
      </c>
      <c r="H170" s="41"/>
    </row>
    <row r="171" spans="1:8" ht="30" customHeight="1" thickBot="1">
      <c r="A171" s="1760" t="s">
        <v>108</v>
      </c>
      <c r="B171" s="1761"/>
      <c r="C171" s="1761"/>
      <c r="D171" s="1761"/>
      <c r="E171" s="1761"/>
      <c r="F171" s="52">
        <f>F170+F165</f>
        <v>173883.886</v>
      </c>
      <c r="H171" s="41"/>
    </row>
    <row r="172" spans="1:8" ht="30" customHeight="1" thickBot="1">
      <c r="A172" s="68"/>
      <c r="B172" s="68"/>
      <c r="C172" s="68"/>
      <c r="D172" s="68"/>
      <c r="E172" s="68"/>
      <c r="F172" s="69"/>
      <c r="H172" s="41"/>
    </row>
    <row r="173" spans="1:8" ht="30" customHeight="1">
      <c r="A173" s="1757" t="s">
        <v>158</v>
      </c>
      <c r="B173" s="1758"/>
      <c r="C173" s="1758"/>
      <c r="D173" s="1758"/>
      <c r="E173" s="1758"/>
      <c r="F173" s="1759"/>
      <c r="H173" s="41"/>
    </row>
    <row r="174" spans="1:8" ht="39.950000000000003" customHeight="1">
      <c r="A174" s="15" t="s">
        <v>7</v>
      </c>
      <c r="B174" s="16" t="s">
        <v>630</v>
      </c>
      <c r="C174" s="17">
        <v>1223000</v>
      </c>
      <c r="D174" s="17"/>
      <c r="E174" s="18"/>
      <c r="F174" s="19"/>
      <c r="H174" s="41"/>
    </row>
    <row r="175" spans="1:8" ht="39.950000000000003" customHeight="1">
      <c r="A175" s="4" t="s">
        <v>13</v>
      </c>
      <c r="B175" s="5" t="s">
        <v>159</v>
      </c>
      <c r="C175" s="6">
        <v>0</v>
      </c>
      <c r="D175" s="7"/>
      <c r="E175" s="7"/>
      <c r="F175" s="8"/>
      <c r="H175" s="41"/>
    </row>
    <row r="176" spans="1:8" ht="30" customHeight="1">
      <c r="A176" s="9" t="s">
        <v>14</v>
      </c>
      <c r="B176" s="10" t="s">
        <v>15</v>
      </c>
      <c r="C176" s="11">
        <f>SUM(C174:C175)</f>
        <v>1223000</v>
      </c>
      <c r="D176" s="12"/>
      <c r="E176" s="13">
        <f>C176/1000</f>
        <v>1223</v>
      </c>
      <c r="F176" s="14"/>
      <c r="H176" s="41"/>
    </row>
    <row r="177" spans="1:8" ht="30" customHeight="1">
      <c r="A177" s="47" t="s">
        <v>22</v>
      </c>
      <c r="B177" s="28" t="s">
        <v>23</v>
      </c>
      <c r="C177" s="48">
        <f>C176</f>
        <v>1223000</v>
      </c>
      <c r="D177" s="48"/>
      <c r="E177" s="49"/>
      <c r="F177" s="50">
        <f>C177/1000</f>
        <v>1223</v>
      </c>
      <c r="H177" s="41"/>
    </row>
    <row r="178" spans="1:8" ht="39.950000000000003" customHeight="1">
      <c r="A178" s="22" t="s">
        <v>24</v>
      </c>
      <c r="B178" s="23" t="s">
        <v>631</v>
      </c>
      <c r="C178" s="24">
        <v>120000</v>
      </c>
      <c r="D178" s="24"/>
      <c r="E178" s="25">
        <f>C178/1000</f>
        <v>120</v>
      </c>
      <c r="F178" s="51"/>
      <c r="H178" s="41"/>
    </row>
    <row r="179" spans="1:8" ht="30" customHeight="1">
      <c r="A179" s="70" t="s">
        <v>29</v>
      </c>
      <c r="B179" s="71" t="s">
        <v>96</v>
      </c>
      <c r="C179" s="72">
        <f>C178</f>
        <v>120000</v>
      </c>
      <c r="D179" s="71"/>
      <c r="E179" s="71"/>
      <c r="F179" s="73">
        <f>C179/1000</f>
        <v>120</v>
      </c>
      <c r="H179" s="41"/>
    </row>
    <row r="180" spans="1:8" ht="30" customHeight="1">
      <c r="A180" s="15" t="s">
        <v>33</v>
      </c>
      <c r="B180" s="16" t="s">
        <v>160</v>
      </c>
      <c r="C180" s="17"/>
      <c r="D180" s="24"/>
      <c r="E180" s="25"/>
      <c r="F180" s="51"/>
      <c r="H180" s="41"/>
    </row>
    <row r="181" spans="1:8" ht="24.95" customHeight="1">
      <c r="A181" s="22" t="s">
        <v>35</v>
      </c>
      <c r="B181" s="23" t="s">
        <v>36</v>
      </c>
      <c r="C181" s="24">
        <f>C180</f>
        <v>0</v>
      </c>
      <c r="D181" s="24"/>
      <c r="E181" s="25">
        <f>C181/1000</f>
        <v>0</v>
      </c>
      <c r="F181" s="51"/>
      <c r="H181" s="41"/>
    </row>
    <row r="182" spans="1:8" ht="35.1" customHeight="1">
      <c r="A182" s="15" t="s">
        <v>53</v>
      </c>
      <c r="B182" s="16" t="s">
        <v>132</v>
      </c>
      <c r="C182" s="17"/>
      <c r="D182" s="24"/>
      <c r="E182" s="25"/>
      <c r="F182" s="51"/>
      <c r="H182" s="41"/>
    </row>
    <row r="183" spans="1:8" ht="35.1" customHeight="1">
      <c r="A183" s="42" t="s">
        <v>56</v>
      </c>
      <c r="B183" s="43" t="s">
        <v>133</v>
      </c>
      <c r="C183" s="98">
        <f>C182</f>
        <v>0</v>
      </c>
      <c r="D183" s="98"/>
      <c r="E183" s="99">
        <f>C183/1000</f>
        <v>0</v>
      </c>
      <c r="F183" s="45"/>
      <c r="H183" s="41"/>
    </row>
    <row r="184" spans="1:8" ht="30" customHeight="1">
      <c r="A184" s="133" t="s">
        <v>58</v>
      </c>
      <c r="B184" s="134" t="s">
        <v>59</v>
      </c>
      <c r="C184" s="135">
        <f>C181+C183</f>
        <v>0</v>
      </c>
      <c r="D184" s="134"/>
      <c r="E184" s="134"/>
      <c r="F184" s="136">
        <f>C184/1000</f>
        <v>0</v>
      </c>
      <c r="H184" s="41"/>
    </row>
    <row r="185" spans="1:8" ht="30" customHeight="1">
      <c r="A185" s="22" t="s">
        <v>120</v>
      </c>
      <c r="B185" s="23" t="s">
        <v>161</v>
      </c>
      <c r="C185" s="24"/>
      <c r="D185" s="24"/>
      <c r="E185" s="25">
        <f>C185/1000</f>
        <v>0</v>
      </c>
      <c r="F185" s="19"/>
      <c r="H185" s="41"/>
    </row>
    <row r="186" spans="1:8" ht="30" customHeight="1">
      <c r="A186" s="22" t="s">
        <v>67</v>
      </c>
      <c r="B186" s="23" t="s">
        <v>162</v>
      </c>
      <c r="C186" s="24"/>
      <c r="D186" s="24"/>
      <c r="E186" s="25">
        <f>C186/1000</f>
        <v>0</v>
      </c>
      <c r="F186" s="19"/>
      <c r="H186" s="41"/>
    </row>
    <row r="187" spans="1:8" ht="30" customHeight="1">
      <c r="A187" s="22" t="s">
        <v>69</v>
      </c>
      <c r="B187" s="23" t="s">
        <v>70</v>
      </c>
      <c r="C187" s="24"/>
      <c r="D187" s="24"/>
      <c r="E187" s="25">
        <f>C187/1000</f>
        <v>0</v>
      </c>
      <c r="F187" s="19"/>
      <c r="H187" s="41"/>
    </row>
    <row r="188" spans="1:8" ht="30" customHeight="1">
      <c r="A188" s="47" t="s">
        <v>71</v>
      </c>
      <c r="B188" s="28" t="s">
        <v>72</v>
      </c>
      <c r="C188" s="48">
        <f>C185+C187+C186</f>
        <v>0</v>
      </c>
      <c r="D188" s="48"/>
      <c r="E188" s="49"/>
      <c r="F188" s="50">
        <f>C188/1000</f>
        <v>0</v>
      </c>
      <c r="H188" s="41"/>
    </row>
    <row r="189" spans="1:8" ht="30" customHeight="1" thickBot="1">
      <c r="A189" s="1760" t="s">
        <v>108</v>
      </c>
      <c r="B189" s="1761"/>
      <c r="C189" s="1761"/>
      <c r="D189" s="1761"/>
      <c r="E189" s="1761"/>
      <c r="F189" s="52">
        <f>SUM(F174:F188)</f>
        <v>1343</v>
      </c>
      <c r="H189" s="41"/>
    </row>
    <row r="190" spans="1:8" ht="54.6" customHeight="1">
      <c r="A190" s="137" t="s">
        <v>163</v>
      </c>
      <c r="B190" s="105" t="s">
        <v>632</v>
      </c>
      <c r="C190" s="138"/>
      <c r="D190" s="138">
        <v>807000</v>
      </c>
      <c r="E190" s="105"/>
      <c r="F190" s="57"/>
      <c r="H190" s="41"/>
    </row>
    <row r="191" spans="1:8" ht="30" customHeight="1">
      <c r="A191" s="53" t="s">
        <v>74</v>
      </c>
      <c r="B191" s="54" t="s">
        <v>164</v>
      </c>
      <c r="C191" s="138"/>
      <c r="D191" s="56">
        <f>D190</f>
        <v>807000</v>
      </c>
      <c r="E191" s="56">
        <f>D191/1000</f>
        <v>807</v>
      </c>
      <c r="F191" s="57"/>
      <c r="H191" s="41"/>
    </row>
    <row r="192" spans="1:8" ht="30" customHeight="1">
      <c r="A192" s="110" t="s">
        <v>76</v>
      </c>
      <c r="B192" s="111" t="s">
        <v>145</v>
      </c>
      <c r="C192" s="60"/>
      <c r="D192" s="60">
        <f>D191</f>
        <v>807000</v>
      </c>
      <c r="E192" s="61"/>
      <c r="F192" s="66">
        <f>D192/1000</f>
        <v>807</v>
      </c>
      <c r="H192" s="41"/>
    </row>
    <row r="193" spans="1:8" ht="30" customHeight="1">
      <c r="A193" s="139" t="s">
        <v>165</v>
      </c>
      <c r="B193" s="74" t="s">
        <v>166</v>
      </c>
      <c r="C193" s="140"/>
      <c r="D193" s="140">
        <v>0</v>
      </c>
      <c r="E193" s="141">
        <f>D193/1000</f>
        <v>0</v>
      </c>
      <c r="F193" s="142"/>
    </row>
    <row r="194" spans="1:8" ht="30" customHeight="1">
      <c r="A194" s="143" t="s">
        <v>167</v>
      </c>
      <c r="B194" s="75" t="s">
        <v>168</v>
      </c>
      <c r="C194" s="144"/>
      <c r="D194" s="144">
        <f>D193</f>
        <v>0</v>
      </c>
      <c r="E194" s="145"/>
      <c r="F194" s="130">
        <f>D194/1000</f>
        <v>0</v>
      </c>
    </row>
    <row r="195" spans="1:8" ht="30" customHeight="1" thickBot="1">
      <c r="A195" s="1755" t="s">
        <v>90</v>
      </c>
      <c r="B195" s="1756"/>
      <c r="C195" s="1756"/>
      <c r="D195" s="1756"/>
      <c r="E195" s="1756"/>
      <c r="F195" s="67">
        <f>F192+F194</f>
        <v>807</v>
      </c>
      <c r="H195" s="41"/>
    </row>
    <row r="196" spans="1:8" ht="24.95" customHeight="1" thickBot="1">
      <c r="A196" s="68"/>
      <c r="B196" s="68"/>
      <c r="C196" s="68"/>
      <c r="D196" s="68"/>
      <c r="E196" s="68"/>
      <c r="F196" s="69"/>
      <c r="H196" s="41"/>
    </row>
    <row r="197" spans="1:8" ht="30" customHeight="1">
      <c r="A197" s="1757" t="s">
        <v>169</v>
      </c>
      <c r="B197" s="1758"/>
      <c r="C197" s="1758"/>
      <c r="D197" s="1758"/>
      <c r="E197" s="1758"/>
      <c r="F197" s="1759"/>
      <c r="H197" s="41"/>
    </row>
    <row r="198" spans="1:8" ht="54" customHeight="1">
      <c r="A198" s="15" t="s">
        <v>45</v>
      </c>
      <c r="B198" s="16" t="s">
        <v>628</v>
      </c>
      <c r="C198" s="17">
        <v>600000</v>
      </c>
      <c r="D198" s="17"/>
      <c r="E198" s="18"/>
      <c r="F198" s="19"/>
      <c r="H198" s="41"/>
    </row>
    <row r="199" spans="1:8" ht="30" customHeight="1">
      <c r="A199" s="22" t="s">
        <v>48</v>
      </c>
      <c r="B199" s="23" t="s">
        <v>49</v>
      </c>
      <c r="C199" s="24">
        <f>C198</f>
        <v>600000</v>
      </c>
      <c r="D199" s="24"/>
      <c r="E199" s="25">
        <f>C199/1000</f>
        <v>600</v>
      </c>
      <c r="F199" s="19"/>
      <c r="H199" s="41"/>
    </row>
    <row r="200" spans="1:8" ht="30" customHeight="1">
      <c r="A200" s="15" t="s">
        <v>53</v>
      </c>
      <c r="B200" s="16" t="s">
        <v>629</v>
      </c>
      <c r="C200" s="17">
        <v>162000</v>
      </c>
      <c r="D200" s="17"/>
      <c r="E200" s="18"/>
      <c r="F200" s="51"/>
      <c r="H200" s="41"/>
    </row>
    <row r="201" spans="1:8" ht="30" customHeight="1">
      <c r="A201" s="42" t="s">
        <v>56</v>
      </c>
      <c r="B201" s="43" t="s">
        <v>170</v>
      </c>
      <c r="C201" s="98">
        <f>C200</f>
        <v>162000</v>
      </c>
      <c r="D201" s="98"/>
      <c r="E201" s="99">
        <f>C201/1000</f>
        <v>162</v>
      </c>
      <c r="F201" s="45"/>
      <c r="H201" s="41"/>
    </row>
    <row r="202" spans="1:8" ht="30" customHeight="1" thickBot="1">
      <c r="A202" s="146" t="s">
        <v>58</v>
      </c>
      <c r="B202" s="147" t="s">
        <v>59</v>
      </c>
      <c r="C202" s="148">
        <f>C199+C201</f>
        <v>762000</v>
      </c>
      <c r="D202" s="147"/>
      <c r="E202" s="147"/>
      <c r="F202" s="149">
        <f>C202/1000</f>
        <v>762</v>
      </c>
      <c r="H202" s="41"/>
    </row>
    <row r="203" spans="1:8" ht="30" customHeight="1" thickBot="1">
      <c r="A203" s="1760" t="s">
        <v>108</v>
      </c>
      <c r="B203" s="1761"/>
      <c r="C203" s="1761"/>
      <c r="D203" s="1761"/>
      <c r="E203" s="1761"/>
      <c r="F203" s="52">
        <f>SUM(F198:F202)</f>
        <v>762</v>
      </c>
      <c r="H203" s="41"/>
    </row>
    <row r="204" spans="1:8" ht="16.5" thickBot="1">
      <c r="A204" s="95"/>
      <c r="B204" s="95"/>
      <c r="C204" s="95"/>
      <c r="D204" s="95"/>
      <c r="E204" s="95"/>
      <c r="F204" s="96"/>
      <c r="H204" s="41"/>
    </row>
    <row r="205" spans="1:8" ht="30" customHeight="1">
      <c r="A205" s="1757" t="s">
        <v>171</v>
      </c>
      <c r="B205" s="1758"/>
      <c r="C205" s="1758"/>
      <c r="D205" s="1758"/>
      <c r="E205" s="1758"/>
      <c r="F205" s="1759"/>
      <c r="H205" s="41"/>
    </row>
    <row r="206" spans="1:8" ht="35.1" customHeight="1">
      <c r="A206" s="15" t="s">
        <v>33</v>
      </c>
      <c r="B206" s="16" t="s">
        <v>627</v>
      </c>
      <c r="C206" s="17">
        <v>1000000</v>
      </c>
      <c r="D206" s="17"/>
      <c r="E206" s="18"/>
      <c r="F206" s="19"/>
      <c r="H206" s="41"/>
    </row>
    <row r="207" spans="1:8" ht="35.1" customHeight="1">
      <c r="A207" s="22" t="s">
        <v>35</v>
      </c>
      <c r="B207" s="23" t="s">
        <v>36</v>
      </c>
      <c r="C207" s="24">
        <f>SUM(C204:C206)</f>
        <v>1000000</v>
      </c>
      <c r="D207" s="24"/>
      <c r="E207" s="25">
        <f>C207/1000</f>
        <v>1000</v>
      </c>
      <c r="F207" s="19"/>
      <c r="H207" s="41"/>
    </row>
    <row r="208" spans="1:8" ht="30" customHeight="1">
      <c r="A208" s="15" t="s">
        <v>47</v>
      </c>
      <c r="B208" s="16" t="s">
        <v>626</v>
      </c>
      <c r="C208" s="17">
        <v>2000000</v>
      </c>
      <c r="D208" s="17"/>
      <c r="E208" s="18"/>
      <c r="F208" s="19"/>
      <c r="H208" s="41"/>
    </row>
    <row r="209" spans="1:8" ht="35.1" customHeight="1">
      <c r="A209" s="22" t="s">
        <v>48</v>
      </c>
      <c r="B209" s="23" t="s">
        <v>49</v>
      </c>
      <c r="C209" s="24">
        <f>C208</f>
        <v>2000000</v>
      </c>
      <c r="D209" s="24"/>
      <c r="E209" s="25">
        <f>C209/1000</f>
        <v>2000</v>
      </c>
      <c r="F209" s="19"/>
      <c r="H209" s="41"/>
    </row>
    <row r="210" spans="1:8" ht="24.95" customHeight="1">
      <c r="A210" s="15" t="s">
        <v>53</v>
      </c>
      <c r="B210" s="16" t="s">
        <v>625</v>
      </c>
      <c r="C210" s="17">
        <v>0</v>
      </c>
      <c r="D210" s="17"/>
      <c r="E210" s="18"/>
      <c r="F210" s="19"/>
      <c r="H210" s="41"/>
    </row>
    <row r="211" spans="1:8" ht="30" customHeight="1">
      <c r="A211" s="22" t="s">
        <v>56</v>
      </c>
      <c r="B211" s="23" t="s">
        <v>133</v>
      </c>
      <c r="C211" s="24">
        <f>C210</f>
        <v>0</v>
      </c>
      <c r="D211" s="24"/>
      <c r="E211" s="25">
        <f>C211/1000</f>
        <v>0</v>
      </c>
      <c r="F211" s="19"/>
      <c r="H211" s="41"/>
    </row>
    <row r="212" spans="1:8" ht="30" customHeight="1">
      <c r="A212" s="47" t="s">
        <v>58</v>
      </c>
      <c r="B212" s="28" t="s">
        <v>59</v>
      </c>
      <c r="C212" s="48">
        <f>C209+C211+C207</f>
        <v>3000000</v>
      </c>
      <c r="D212" s="48"/>
      <c r="E212" s="49"/>
      <c r="F212" s="50">
        <f>C212/1000</f>
        <v>3000</v>
      </c>
      <c r="H212" s="41"/>
    </row>
    <row r="213" spans="1:8" ht="30" customHeight="1">
      <c r="A213" s="22" t="s">
        <v>64</v>
      </c>
      <c r="B213" s="23" t="s">
        <v>624</v>
      </c>
      <c r="C213" s="24">
        <v>0</v>
      </c>
      <c r="D213" s="24"/>
      <c r="E213" s="25">
        <f>C213/1000</f>
        <v>0</v>
      </c>
      <c r="F213" s="19"/>
      <c r="H213" s="41"/>
    </row>
    <row r="214" spans="1:8" ht="30" customHeight="1">
      <c r="A214" s="22" t="s">
        <v>120</v>
      </c>
      <c r="B214" s="23" t="s">
        <v>623</v>
      </c>
      <c r="C214" s="24">
        <v>0</v>
      </c>
      <c r="D214" s="24"/>
      <c r="E214" s="25">
        <f>C214/1000</f>
        <v>0</v>
      </c>
      <c r="F214" s="19"/>
      <c r="H214" s="41"/>
    </row>
    <row r="215" spans="1:8" ht="24.95" customHeight="1">
      <c r="A215" s="22" t="s">
        <v>69</v>
      </c>
      <c r="B215" s="23" t="s">
        <v>622</v>
      </c>
      <c r="C215" s="24">
        <v>0</v>
      </c>
      <c r="D215" s="24"/>
      <c r="E215" s="25">
        <f>C215/1000</f>
        <v>0</v>
      </c>
      <c r="F215" s="19"/>
      <c r="H215" s="41"/>
    </row>
    <row r="216" spans="1:8" ht="35.1" customHeight="1">
      <c r="A216" s="47" t="s">
        <v>71</v>
      </c>
      <c r="B216" s="28" t="s">
        <v>172</v>
      </c>
      <c r="C216" s="48">
        <f>SUM(C213:C215)</f>
        <v>0</v>
      </c>
      <c r="D216" s="48"/>
      <c r="E216" s="49"/>
      <c r="F216" s="50">
        <f>C216/1000</f>
        <v>0</v>
      </c>
      <c r="H216" s="41"/>
    </row>
    <row r="217" spans="1:8" ht="52.9" customHeight="1">
      <c r="A217" s="22" t="s">
        <v>173</v>
      </c>
      <c r="B217" s="23" t="s">
        <v>620</v>
      </c>
      <c r="C217" s="24">
        <v>0</v>
      </c>
      <c r="D217" s="24"/>
      <c r="E217" s="25">
        <f>C217/1000</f>
        <v>0</v>
      </c>
      <c r="F217" s="19"/>
      <c r="H217" s="41"/>
    </row>
    <row r="218" spans="1:8" ht="24.95" customHeight="1">
      <c r="A218" s="22" t="s">
        <v>174</v>
      </c>
      <c r="B218" s="23" t="s">
        <v>621</v>
      </c>
      <c r="C218" s="24">
        <v>0</v>
      </c>
      <c r="D218" s="24"/>
      <c r="E218" s="25">
        <f>C218/1000</f>
        <v>0</v>
      </c>
      <c r="F218" s="19"/>
      <c r="H218" s="41"/>
    </row>
    <row r="219" spans="1:8" ht="35.1" customHeight="1">
      <c r="A219" s="47" t="s">
        <v>175</v>
      </c>
      <c r="B219" s="28" t="s">
        <v>172</v>
      </c>
      <c r="C219" s="48">
        <f>C217+C218</f>
        <v>0</v>
      </c>
      <c r="D219" s="48"/>
      <c r="E219" s="49"/>
      <c r="F219" s="50">
        <f>C219/1000</f>
        <v>0</v>
      </c>
      <c r="H219" s="41"/>
    </row>
    <row r="220" spans="1:8" ht="30" customHeight="1" thickBot="1">
      <c r="A220" s="1760" t="s">
        <v>108</v>
      </c>
      <c r="B220" s="1761"/>
      <c r="C220" s="1761"/>
      <c r="D220" s="1761"/>
      <c r="E220" s="1761"/>
      <c r="F220" s="52">
        <f>SUM(F206:F219)</f>
        <v>3000</v>
      </c>
      <c r="H220" s="41"/>
    </row>
    <row r="221" spans="1:8" ht="24.95" customHeight="1" thickBot="1">
      <c r="A221" s="68"/>
      <c r="B221" s="68"/>
      <c r="C221" s="68"/>
      <c r="D221" s="68"/>
      <c r="E221" s="68"/>
      <c r="F221" s="69"/>
      <c r="H221" s="41"/>
    </row>
    <row r="222" spans="1:8" ht="24.95" customHeight="1">
      <c r="A222" s="1757" t="s">
        <v>176</v>
      </c>
      <c r="B222" s="1758"/>
      <c r="C222" s="1758"/>
      <c r="D222" s="1758"/>
      <c r="E222" s="1758"/>
      <c r="F222" s="1759"/>
      <c r="H222" s="41"/>
    </row>
    <row r="223" spans="1:8" ht="65.45" customHeight="1">
      <c r="A223" s="22" t="s">
        <v>67</v>
      </c>
      <c r="B223" s="23" t="s">
        <v>618</v>
      </c>
      <c r="C223" s="24">
        <v>222000</v>
      </c>
      <c r="D223" s="24"/>
      <c r="E223" s="25"/>
      <c r="F223" s="51"/>
      <c r="H223" s="41"/>
    </row>
    <row r="224" spans="1:8" ht="30" customHeight="1">
      <c r="A224" s="22" t="s">
        <v>69</v>
      </c>
      <c r="B224" s="23" t="s">
        <v>619</v>
      </c>
      <c r="C224" s="24">
        <v>60000</v>
      </c>
      <c r="D224" s="24"/>
      <c r="E224" s="25"/>
      <c r="F224" s="51"/>
      <c r="H224" s="41"/>
    </row>
    <row r="225" spans="1:8" ht="30" customHeight="1">
      <c r="A225" s="47" t="s">
        <v>71</v>
      </c>
      <c r="B225" s="28" t="s">
        <v>107</v>
      </c>
      <c r="C225" s="48">
        <f>C223+C224</f>
        <v>282000</v>
      </c>
      <c r="D225" s="48"/>
      <c r="E225" s="49"/>
      <c r="F225" s="50">
        <f>C225/1000</f>
        <v>282</v>
      </c>
      <c r="H225" s="41"/>
    </row>
    <row r="226" spans="1:8" ht="30" customHeight="1" thickBot="1">
      <c r="A226" s="1760" t="s">
        <v>108</v>
      </c>
      <c r="B226" s="1761"/>
      <c r="C226" s="1761"/>
      <c r="D226" s="1761"/>
      <c r="E226" s="1761"/>
      <c r="F226" s="52">
        <f>SUM(F223:F225)</f>
        <v>282</v>
      </c>
    </row>
    <row r="227" spans="1:8" ht="16.5" thickBot="1">
      <c r="A227" s="68"/>
      <c r="B227" s="68"/>
      <c r="C227" s="68"/>
      <c r="D227" s="68"/>
      <c r="E227" s="68"/>
      <c r="F227" s="69"/>
    </row>
    <row r="228" spans="1:8" ht="24.95" customHeight="1">
      <c r="A228" s="1757" t="s">
        <v>177</v>
      </c>
      <c r="B228" s="1758"/>
      <c r="C228" s="1758"/>
      <c r="D228" s="1758"/>
      <c r="E228" s="1758"/>
      <c r="F228" s="1759"/>
      <c r="H228" s="41"/>
    </row>
    <row r="229" spans="1:8" ht="39.6" customHeight="1">
      <c r="A229" s="77" t="s">
        <v>100</v>
      </c>
      <c r="B229" s="78" t="s">
        <v>178</v>
      </c>
      <c r="C229" s="79">
        <v>118000</v>
      </c>
      <c r="D229" s="150"/>
      <c r="E229" s="151"/>
      <c r="F229" s="94"/>
      <c r="H229" s="41"/>
    </row>
    <row r="230" spans="1:8" s="32" customFormat="1" ht="30" customHeight="1">
      <c r="A230" s="81" t="s">
        <v>48</v>
      </c>
      <c r="B230" s="82" t="s">
        <v>49</v>
      </c>
      <c r="C230" s="83">
        <f>SUM(C227:C229)</f>
        <v>118000</v>
      </c>
      <c r="D230" s="82"/>
      <c r="E230" s="83">
        <f>C230/1000</f>
        <v>118</v>
      </c>
      <c r="F230" s="97"/>
    </row>
    <row r="231" spans="1:8" ht="31.5">
      <c r="A231" s="77" t="s">
        <v>53</v>
      </c>
      <c r="B231" s="78" t="s">
        <v>179</v>
      </c>
      <c r="C231" s="79">
        <v>32000</v>
      </c>
      <c r="D231" s="78"/>
      <c r="E231" s="79"/>
      <c r="F231" s="80"/>
    </row>
    <row r="232" spans="1:8" ht="30" customHeight="1">
      <c r="A232" s="81" t="s">
        <v>56</v>
      </c>
      <c r="B232" s="82" t="s">
        <v>57</v>
      </c>
      <c r="C232" s="83">
        <f>C231</f>
        <v>32000</v>
      </c>
      <c r="D232" s="82"/>
      <c r="E232" s="83">
        <f>C232/1000</f>
        <v>32</v>
      </c>
      <c r="F232" s="80"/>
    </row>
    <row r="233" spans="1:8" ht="30" customHeight="1">
      <c r="A233" s="85" t="s">
        <v>58</v>
      </c>
      <c r="B233" s="86" t="s">
        <v>59</v>
      </c>
      <c r="C233" s="87">
        <f>C230+C232</f>
        <v>150000</v>
      </c>
      <c r="D233" s="87"/>
      <c r="E233" s="88"/>
      <c r="F233" s="89">
        <f>C233/1000</f>
        <v>150</v>
      </c>
      <c r="H233" s="41"/>
    </row>
    <row r="234" spans="1:8" ht="30" customHeight="1" thickBot="1">
      <c r="A234" s="1760" t="s">
        <v>108</v>
      </c>
      <c r="B234" s="1761"/>
      <c r="C234" s="1761"/>
      <c r="D234" s="1761"/>
      <c r="E234" s="1761"/>
      <c r="F234" s="52">
        <f>F233</f>
        <v>150</v>
      </c>
      <c r="H234" s="41"/>
    </row>
    <row r="235" spans="1:8" ht="16.5" thickBot="1">
      <c r="A235" s="68"/>
      <c r="B235" s="68"/>
      <c r="C235" s="68"/>
      <c r="D235" s="68"/>
      <c r="E235" s="68"/>
      <c r="F235" s="69"/>
      <c r="H235" s="41"/>
    </row>
    <row r="236" spans="1:8" ht="24.95" customHeight="1">
      <c r="A236" s="1757" t="s">
        <v>180</v>
      </c>
      <c r="B236" s="1758"/>
      <c r="C236" s="1758"/>
      <c r="D236" s="1758"/>
      <c r="E236" s="1758"/>
      <c r="F236" s="1759"/>
      <c r="H236" s="41"/>
    </row>
    <row r="237" spans="1:8" ht="31.5">
      <c r="A237" s="35" t="s">
        <v>100</v>
      </c>
      <c r="B237" s="36" t="s">
        <v>615</v>
      </c>
      <c r="C237" s="40">
        <v>5652000</v>
      </c>
      <c r="D237" s="17"/>
      <c r="E237" s="18"/>
      <c r="F237" s="19"/>
      <c r="H237" s="41"/>
    </row>
    <row r="238" spans="1:8" ht="31.5">
      <c r="A238" s="35" t="s">
        <v>102</v>
      </c>
      <c r="B238" s="36" t="s">
        <v>616</v>
      </c>
      <c r="C238" s="40">
        <v>1305000</v>
      </c>
      <c r="D238" s="24"/>
      <c r="E238" s="25"/>
      <c r="F238" s="19"/>
      <c r="H238" s="41"/>
    </row>
    <row r="239" spans="1:8" ht="30" customHeight="1">
      <c r="A239" s="42" t="s">
        <v>48</v>
      </c>
      <c r="B239" s="43" t="s">
        <v>49</v>
      </c>
      <c r="C239" s="44">
        <f>SUM(C235:C238)</f>
        <v>6957000</v>
      </c>
      <c r="D239" s="43"/>
      <c r="E239" s="44">
        <f>C239/1000</f>
        <v>6957</v>
      </c>
      <c r="F239" s="51"/>
      <c r="H239" s="41"/>
    </row>
    <row r="240" spans="1:8" ht="31.5">
      <c r="A240" s="35" t="s">
        <v>53</v>
      </c>
      <c r="B240" s="36" t="s">
        <v>617</v>
      </c>
      <c r="C240" s="40">
        <v>1879000</v>
      </c>
      <c r="D240" s="36"/>
      <c r="E240" s="40"/>
      <c r="F240" s="39"/>
      <c r="H240" s="41"/>
    </row>
    <row r="241" spans="1:8" ht="30" customHeight="1">
      <c r="A241" s="42" t="s">
        <v>56</v>
      </c>
      <c r="B241" s="43" t="s">
        <v>57</v>
      </c>
      <c r="C241" s="44">
        <f>C240</f>
        <v>1879000</v>
      </c>
      <c r="D241" s="43"/>
      <c r="E241" s="44">
        <f>C241/1000</f>
        <v>1879</v>
      </c>
      <c r="F241" s="39"/>
      <c r="H241" s="41"/>
    </row>
    <row r="242" spans="1:8" ht="30" customHeight="1">
      <c r="A242" s="47" t="s">
        <v>58</v>
      </c>
      <c r="B242" s="28" t="s">
        <v>59</v>
      </c>
      <c r="C242" s="48">
        <f>C239+C241</f>
        <v>8836000</v>
      </c>
      <c r="D242" s="48"/>
      <c r="E242" s="49"/>
      <c r="F242" s="50">
        <f>C242/1000</f>
        <v>8836</v>
      </c>
      <c r="H242" s="41"/>
    </row>
    <row r="243" spans="1:8" ht="30" customHeight="1" thickBot="1">
      <c r="A243" s="1760" t="s">
        <v>108</v>
      </c>
      <c r="B243" s="1761"/>
      <c r="C243" s="1761"/>
      <c r="D243" s="1761"/>
      <c r="E243" s="1761"/>
      <c r="F243" s="52">
        <f>SUM(F237:F242)</f>
        <v>8836</v>
      </c>
      <c r="H243" s="41"/>
    </row>
    <row r="244" spans="1:8" ht="35.1" customHeight="1" thickBot="1">
      <c r="A244" s="68"/>
      <c r="B244" s="68"/>
      <c r="C244" s="68"/>
      <c r="D244" s="68"/>
      <c r="E244" s="68"/>
      <c r="F244" s="69"/>
      <c r="H244" s="41"/>
    </row>
    <row r="245" spans="1:8" ht="35.1" customHeight="1">
      <c r="A245" s="1757" t="s">
        <v>181</v>
      </c>
      <c r="B245" s="1758"/>
      <c r="C245" s="1758"/>
      <c r="D245" s="1758"/>
      <c r="E245" s="1758"/>
      <c r="F245" s="1759"/>
      <c r="H245" s="41"/>
    </row>
    <row r="246" spans="1:8" ht="83.45" customHeight="1">
      <c r="A246" s="15" t="s">
        <v>7</v>
      </c>
      <c r="B246" s="16" t="s">
        <v>677</v>
      </c>
      <c r="C246" s="17">
        <v>1650000</v>
      </c>
      <c r="D246" s="17"/>
      <c r="E246" s="18"/>
      <c r="F246" s="19"/>
      <c r="H246" s="41"/>
    </row>
    <row r="247" spans="1:8" ht="41.45" customHeight="1">
      <c r="A247" s="15" t="s">
        <v>9</v>
      </c>
      <c r="B247" s="20" t="s">
        <v>182</v>
      </c>
      <c r="C247" s="17">
        <v>150000</v>
      </c>
      <c r="D247" s="17"/>
      <c r="E247" s="18"/>
      <c r="F247" s="19"/>
      <c r="H247" s="41"/>
    </row>
    <row r="248" spans="1:8" ht="24.95" customHeight="1">
      <c r="A248" s="22" t="s">
        <v>14</v>
      </c>
      <c r="B248" s="23" t="s">
        <v>93</v>
      </c>
      <c r="C248" s="24">
        <f>SUM(C246:C247)</f>
        <v>1800000</v>
      </c>
      <c r="D248" s="24"/>
      <c r="E248" s="25">
        <f>C248/1000</f>
        <v>1800</v>
      </c>
      <c r="F248" s="34"/>
      <c r="H248" s="41"/>
    </row>
    <row r="249" spans="1:8" ht="24.95" customHeight="1">
      <c r="A249" s="47" t="s">
        <v>22</v>
      </c>
      <c r="B249" s="28" t="s">
        <v>23</v>
      </c>
      <c r="C249" s="48">
        <f>C248</f>
        <v>1800000</v>
      </c>
      <c r="D249" s="48"/>
      <c r="E249" s="49"/>
      <c r="F249" s="50">
        <f>C249/1000</f>
        <v>1800</v>
      </c>
      <c r="H249" s="41"/>
    </row>
    <row r="250" spans="1:8" ht="39.950000000000003" customHeight="1">
      <c r="A250" s="15" t="s">
        <v>24</v>
      </c>
      <c r="B250" s="16" t="s">
        <v>678</v>
      </c>
      <c r="C250" s="17">
        <v>322000</v>
      </c>
      <c r="D250" s="17"/>
      <c r="E250" s="18"/>
      <c r="F250" s="51"/>
      <c r="H250" s="41"/>
    </row>
    <row r="251" spans="1:8" ht="79.150000000000006" customHeight="1">
      <c r="A251" s="15" t="s">
        <v>25</v>
      </c>
      <c r="B251" s="20" t="s">
        <v>94</v>
      </c>
      <c r="C251" s="17">
        <v>28000</v>
      </c>
      <c r="D251" s="17"/>
      <c r="E251" s="18"/>
      <c r="F251" s="19"/>
      <c r="H251" s="41"/>
    </row>
    <row r="252" spans="1:8" ht="63">
      <c r="A252" s="15" t="s">
        <v>27</v>
      </c>
      <c r="B252" s="20" t="s">
        <v>95</v>
      </c>
      <c r="C252" s="17">
        <v>30000</v>
      </c>
      <c r="D252" s="17"/>
      <c r="E252" s="18"/>
      <c r="F252" s="19"/>
      <c r="H252" s="41"/>
    </row>
    <row r="253" spans="1:8" ht="30" customHeight="1">
      <c r="A253" s="22" t="s">
        <v>29</v>
      </c>
      <c r="B253" s="23" t="s">
        <v>30</v>
      </c>
      <c r="C253" s="24">
        <f>SUM(C250:C252)</f>
        <v>380000</v>
      </c>
      <c r="D253" s="24"/>
      <c r="E253" s="25">
        <f>C253/1000</f>
        <v>380</v>
      </c>
      <c r="F253" s="19"/>
      <c r="H253" s="41"/>
    </row>
    <row r="254" spans="1:8" ht="30" customHeight="1">
      <c r="A254" s="70" t="s">
        <v>29</v>
      </c>
      <c r="B254" s="71" t="s">
        <v>96</v>
      </c>
      <c r="C254" s="72">
        <f>C253</f>
        <v>380000</v>
      </c>
      <c r="D254" s="71"/>
      <c r="E254" s="71"/>
      <c r="F254" s="73">
        <f>C254/1000</f>
        <v>380</v>
      </c>
      <c r="H254" s="41"/>
    </row>
    <row r="255" spans="1:8" ht="90.6" customHeight="1">
      <c r="A255" s="35" t="s">
        <v>33</v>
      </c>
      <c r="B255" s="36" t="s">
        <v>183</v>
      </c>
      <c r="C255" s="40">
        <v>905000</v>
      </c>
      <c r="D255" s="36"/>
      <c r="E255" s="36"/>
      <c r="F255" s="39"/>
      <c r="H255" s="41"/>
    </row>
    <row r="256" spans="1:8" ht="35.1" customHeight="1">
      <c r="A256" s="42" t="s">
        <v>35</v>
      </c>
      <c r="B256" s="43" t="s">
        <v>36</v>
      </c>
      <c r="C256" s="44">
        <f>C255</f>
        <v>905000</v>
      </c>
      <c r="D256" s="43"/>
      <c r="E256" s="43">
        <f>C256/1000</f>
        <v>905</v>
      </c>
      <c r="F256" s="45"/>
      <c r="H256" s="41"/>
    </row>
    <row r="257" spans="1:8" ht="35.1" customHeight="1">
      <c r="A257" s="35" t="s">
        <v>39</v>
      </c>
      <c r="B257" s="36" t="s">
        <v>184</v>
      </c>
      <c r="C257" s="40">
        <v>20000</v>
      </c>
      <c r="D257" s="36"/>
      <c r="E257" s="36"/>
      <c r="F257" s="39"/>
      <c r="H257" s="41"/>
    </row>
    <row r="258" spans="1:8" ht="24.95" customHeight="1">
      <c r="A258" s="42" t="s">
        <v>41</v>
      </c>
      <c r="B258" s="43" t="s">
        <v>42</v>
      </c>
      <c r="C258" s="44">
        <f>C257</f>
        <v>20000</v>
      </c>
      <c r="D258" s="43"/>
      <c r="E258" s="43">
        <f>C258/1000</f>
        <v>20</v>
      </c>
      <c r="F258" s="39"/>
      <c r="H258" s="41"/>
    </row>
    <row r="259" spans="1:8" ht="63.6" customHeight="1">
      <c r="A259" s="35" t="s">
        <v>100</v>
      </c>
      <c r="B259" s="36" t="s">
        <v>185</v>
      </c>
      <c r="C259" s="40">
        <v>21000</v>
      </c>
      <c r="D259" s="36"/>
      <c r="E259" s="36"/>
      <c r="F259" s="39"/>
      <c r="H259" s="41"/>
    </row>
    <row r="260" spans="1:8" ht="37.9" customHeight="1">
      <c r="A260" s="35" t="s">
        <v>117</v>
      </c>
      <c r="B260" s="36" t="s">
        <v>186</v>
      </c>
      <c r="C260" s="40">
        <v>276000</v>
      </c>
      <c r="D260" s="36"/>
      <c r="E260" s="36"/>
      <c r="F260" s="39"/>
      <c r="H260" s="41"/>
    </row>
    <row r="261" spans="1:8" ht="24.95" customHeight="1">
      <c r="A261" s="35" t="s">
        <v>102</v>
      </c>
      <c r="B261" s="36" t="s">
        <v>103</v>
      </c>
      <c r="C261" s="40">
        <v>30000</v>
      </c>
      <c r="D261" s="36"/>
      <c r="E261" s="36"/>
      <c r="F261" s="39"/>
      <c r="H261" s="41"/>
    </row>
    <row r="262" spans="1:8" ht="141.75">
      <c r="A262" s="35" t="s">
        <v>47</v>
      </c>
      <c r="B262" s="36" t="s">
        <v>187</v>
      </c>
      <c r="C262" s="40">
        <v>277000</v>
      </c>
      <c r="D262" s="36"/>
      <c r="E262" s="36"/>
      <c r="F262" s="39"/>
      <c r="H262" s="41"/>
    </row>
    <row r="263" spans="1:8" ht="24.95" customHeight="1">
      <c r="A263" s="81" t="s">
        <v>48</v>
      </c>
      <c r="B263" s="82" t="s">
        <v>49</v>
      </c>
      <c r="C263" s="83">
        <f>SUM(C259:C262)</f>
        <v>604000</v>
      </c>
      <c r="D263" s="82"/>
      <c r="E263" s="83">
        <f>C263/1000</f>
        <v>604</v>
      </c>
      <c r="F263" s="80"/>
      <c r="H263" s="41"/>
    </row>
    <row r="264" spans="1:8" ht="35.1" customHeight="1">
      <c r="A264" s="77" t="s">
        <v>53</v>
      </c>
      <c r="B264" s="78" t="s">
        <v>188</v>
      </c>
      <c r="C264" s="79">
        <v>399000</v>
      </c>
      <c r="D264" s="78"/>
      <c r="E264" s="79"/>
      <c r="F264" s="80"/>
      <c r="H264" s="41"/>
    </row>
    <row r="265" spans="1:8" ht="30" customHeight="1">
      <c r="A265" s="81" t="s">
        <v>56</v>
      </c>
      <c r="B265" s="82" t="s">
        <v>57</v>
      </c>
      <c r="C265" s="83">
        <f>C264</f>
        <v>399000</v>
      </c>
      <c r="D265" s="82"/>
      <c r="E265" s="83">
        <f>C265/1000</f>
        <v>399</v>
      </c>
      <c r="F265" s="80"/>
      <c r="H265" s="41"/>
    </row>
    <row r="266" spans="1:8" ht="30" customHeight="1">
      <c r="A266" s="85" t="s">
        <v>58</v>
      </c>
      <c r="B266" s="86" t="s">
        <v>59</v>
      </c>
      <c r="C266" s="87">
        <f>C256+C258+C263+C265</f>
        <v>1928000</v>
      </c>
      <c r="D266" s="87"/>
      <c r="E266" s="88"/>
      <c r="F266" s="89">
        <f>C266/1000</f>
        <v>1928</v>
      </c>
      <c r="H266" s="41"/>
    </row>
    <row r="267" spans="1:8" ht="35.1" customHeight="1">
      <c r="A267" s="90" t="s">
        <v>120</v>
      </c>
      <c r="B267" s="91" t="s">
        <v>121</v>
      </c>
      <c r="C267" s="92">
        <v>0</v>
      </c>
      <c r="D267" s="92"/>
      <c r="E267" s="93">
        <f>C267/1000</f>
        <v>0</v>
      </c>
      <c r="F267" s="94"/>
      <c r="H267" s="41"/>
    </row>
    <row r="268" spans="1:8" ht="35.1" customHeight="1">
      <c r="A268" s="90" t="s">
        <v>69</v>
      </c>
      <c r="B268" s="91" t="s">
        <v>70</v>
      </c>
      <c r="C268" s="92">
        <v>0</v>
      </c>
      <c r="D268" s="92"/>
      <c r="E268" s="93">
        <f>C268/1000</f>
        <v>0</v>
      </c>
      <c r="F268" s="94"/>
      <c r="H268" s="41"/>
    </row>
    <row r="269" spans="1:8" ht="24.95" customHeight="1">
      <c r="A269" s="85" t="s">
        <v>71</v>
      </c>
      <c r="B269" s="86" t="s">
        <v>72</v>
      </c>
      <c r="C269" s="87">
        <f>C267+C268</f>
        <v>0</v>
      </c>
      <c r="D269" s="87"/>
      <c r="E269" s="88"/>
      <c r="F269" s="89">
        <f>C269/1000</f>
        <v>0</v>
      </c>
      <c r="H269" s="41"/>
    </row>
    <row r="270" spans="1:8" ht="24.95" customHeight="1" thickBot="1">
      <c r="A270" s="1760" t="s">
        <v>108</v>
      </c>
      <c r="B270" s="1761"/>
      <c r="C270" s="1761"/>
      <c r="D270" s="1761"/>
      <c r="E270" s="1761"/>
      <c r="F270" s="52">
        <f>F249+F254+F266+F269</f>
        <v>4108</v>
      </c>
      <c r="H270" s="41"/>
    </row>
    <row r="271" spans="1:8" ht="63" customHeight="1">
      <c r="A271" s="53" t="s">
        <v>109</v>
      </c>
      <c r="B271" s="54" t="s">
        <v>189</v>
      </c>
      <c r="C271" s="56"/>
      <c r="D271" s="56">
        <v>188000</v>
      </c>
      <c r="E271" s="56">
        <f>D271/1000</f>
        <v>188</v>
      </c>
      <c r="F271" s="108"/>
      <c r="H271" s="41"/>
    </row>
    <row r="272" spans="1:8" ht="30" customHeight="1">
      <c r="A272" s="53" t="s">
        <v>83</v>
      </c>
      <c r="B272" s="54" t="s">
        <v>190</v>
      </c>
      <c r="C272" s="138"/>
      <c r="D272" s="56">
        <v>51000</v>
      </c>
      <c r="E272" s="56">
        <f>D272/1000</f>
        <v>51</v>
      </c>
      <c r="F272" s="57"/>
      <c r="H272" s="41"/>
    </row>
    <row r="273" spans="1:8" ht="30" customHeight="1">
      <c r="A273" s="110" t="s">
        <v>88</v>
      </c>
      <c r="B273" s="111" t="s">
        <v>191</v>
      </c>
      <c r="C273" s="60"/>
      <c r="D273" s="60">
        <f>D271+D272</f>
        <v>239000</v>
      </c>
      <c r="E273" s="61"/>
      <c r="F273" s="66">
        <f>D273/1000</f>
        <v>239</v>
      </c>
      <c r="H273" s="41"/>
    </row>
    <row r="274" spans="1:8" ht="30" customHeight="1" thickBot="1">
      <c r="A274" s="1755" t="s">
        <v>90</v>
      </c>
      <c r="B274" s="1756"/>
      <c r="C274" s="1756"/>
      <c r="D274" s="1756"/>
      <c r="E274" s="1756"/>
      <c r="F274" s="67">
        <f>F273</f>
        <v>239</v>
      </c>
      <c r="H274" s="41"/>
    </row>
    <row r="275" spans="1:8" ht="24.95" customHeight="1" thickBot="1">
      <c r="A275" s="68"/>
      <c r="B275" s="68"/>
      <c r="C275" s="68"/>
      <c r="D275" s="68"/>
      <c r="E275" s="68"/>
      <c r="F275" s="69"/>
      <c r="H275" s="41"/>
    </row>
    <row r="276" spans="1:8" ht="24.95" customHeight="1">
      <c r="A276" s="1757" t="s">
        <v>192</v>
      </c>
      <c r="B276" s="1758"/>
      <c r="C276" s="1758"/>
      <c r="D276" s="1758"/>
      <c r="E276" s="1758"/>
      <c r="F276" s="1759"/>
      <c r="H276" s="41"/>
    </row>
    <row r="277" spans="1:8" ht="94.5">
      <c r="A277" s="15" t="s">
        <v>7</v>
      </c>
      <c r="B277" s="16" t="s">
        <v>608</v>
      </c>
      <c r="C277" s="17">
        <v>6260000</v>
      </c>
      <c r="D277" s="17"/>
      <c r="E277" s="18"/>
      <c r="F277" s="19"/>
      <c r="H277" s="41"/>
    </row>
    <row r="278" spans="1:8" ht="30" customHeight="1">
      <c r="A278" s="4" t="s">
        <v>8</v>
      </c>
      <c r="B278" s="5" t="s">
        <v>92</v>
      </c>
      <c r="C278" s="6"/>
      <c r="D278" s="7"/>
      <c r="E278" s="7"/>
      <c r="F278" s="8"/>
      <c r="H278" s="41"/>
    </row>
    <row r="279" spans="1:8" ht="47.25">
      <c r="A279" s="4" t="s">
        <v>9</v>
      </c>
      <c r="B279" s="5" t="s">
        <v>609</v>
      </c>
      <c r="C279" s="6">
        <v>300000</v>
      </c>
      <c r="D279" s="7"/>
      <c r="E279" s="7"/>
      <c r="F279" s="8"/>
      <c r="H279" s="41"/>
    </row>
    <row r="280" spans="1:8" ht="30" customHeight="1">
      <c r="A280" s="22" t="s">
        <v>14</v>
      </c>
      <c r="B280" s="23" t="s">
        <v>93</v>
      </c>
      <c r="C280" s="24">
        <f>SUM(C277:C279)</f>
        <v>6560000</v>
      </c>
      <c r="D280" s="24"/>
      <c r="E280" s="25">
        <f>C280/1000</f>
        <v>6560</v>
      </c>
      <c r="F280" s="34"/>
      <c r="H280" s="41"/>
    </row>
    <row r="281" spans="1:8" ht="30" customHeight="1">
      <c r="A281" s="47" t="s">
        <v>22</v>
      </c>
      <c r="B281" s="28" t="s">
        <v>23</v>
      </c>
      <c r="C281" s="48">
        <f>C280</f>
        <v>6560000</v>
      </c>
      <c r="D281" s="48"/>
      <c r="E281" s="49"/>
      <c r="F281" s="50">
        <f>C281/1000</f>
        <v>6560</v>
      </c>
      <c r="H281" s="41"/>
    </row>
    <row r="282" spans="1:8" ht="58.5" customHeight="1">
      <c r="A282" s="15" t="s">
        <v>24</v>
      </c>
      <c r="B282" s="16" t="s">
        <v>610</v>
      </c>
      <c r="C282" s="17">
        <v>1221000</v>
      </c>
      <c r="D282" s="17"/>
      <c r="E282" s="18"/>
      <c r="F282" s="19"/>
      <c r="H282" s="41"/>
    </row>
    <row r="283" spans="1:8" ht="63">
      <c r="A283" s="15" t="s">
        <v>25</v>
      </c>
      <c r="B283" s="20" t="s">
        <v>611</v>
      </c>
      <c r="C283" s="17">
        <v>59000</v>
      </c>
      <c r="D283" s="17"/>
      <c r="E283" s="18"/>
      <c r="F283" s="19"/>
      <c r="H283" s="41"/>
    </row>
    <row r="284" spans="1:8" ht="63">
      <c r="A284" s="15" t="s">
        <v>27</v>
      </c>
      <c r="B284" s="20" t="s">
        <v>612</v>
      </c>
      <c r="C284" s="17">
        <v>58000</v>
      </c>
      <c r="D284" s="17"/>
      <c r="E284" s="18"/>
      <c r="F284" s="19"/>
      <c r="H284" s="41"/>
    </row>
    <row r="285" spans="1:8" ht="31.5">
      <c r="A285" s="22" t="s">
        <v>29</v>
      </c>
      <c r="B285" s="23" t="s">
        <v>30</v>
      </c>
      <c r="C285" s="24">
        <f>SUM(C282:C284)</f>
        <v>1338000</v>
      </c>
      <c r="D285" s="24"/>
      <c r="E285" s="25">
        <f>C285/1000</f>
        <v>1338</v>
      </c>
      <c r="F285" s="19"/>
      <c r="H285" s="41"/>
    </row>
    <row r="286" spans="1:8" ht="30" customHeight="1">
      <c r="A286" s="70" t="s">
        <v>29</v>
      </c>
      <c r="B286" s="71" t="s">
        <v>96</v>
      </c>
      <c r="C286" s="72">
        <f>C285</f>
        <v>1338000</v>
      </c>
      <c r="D286" s="71"/>
      <c r="E286" s="71"/>
      <c r="F286" s="73">
        <f>C286/1000</f>
        <v>1338</v>
      </c>
      <c r="H286" s="41"/>
    </row>
    <row r="287" spans="1:8" ht="78.75">
      <c r="A287" s="77" t="s">
        <v>33</v>
      </c>
      <c r="B287" s="78" t="s">
        <v>613</v>
      </c>
      <c r="C287" s="79">
        <v>1209000</v>
      </c>
      <c r="D287" s="78"/>
      <c r="E287" s="78"/>
      <c r="F287" s="80"/>
      <c r="H287" s="41"/>
    </row>
    <row r="288" spans="1:8" ht="30" customHeight="1">
      <c r="A288" s="81" t="s">
        <v>35</v>
      </c>
      <c r="B288" s="82" t="s">
        <v>36</v>
      </c>
      <c r="C288" s="83">
        <f>C287</f>
        <v>1209000</v>
      </c>
      <c r="D288" s="82"/>
      <c r="E288" s="82">
        <f>C288/1000</f>
        <v>1209</v>
      </c>
      <c r="F288" s="84"/>
      <c r="H288" s="41"/>
    </row>
    <row r="289" spans="1:8" ht="31.5">
      <c r="A289" s="77" t="s">
        <v>39</v>
      </c>
      <c r="B289" s="78" t="s">
        <v>193</v>
      </c>
      <c r="C289" s="79">
        <v>34000</v>
      </c>
      <c r="D289" s="78"/>
      <c r="E289" s="78"/>
      <c r="F289" s="80"/>
      <c r="H289" s="41"/>
    </row>
    <row r="290" spans="1:8" ht="30" customHeight="1">
      <c r="A290" s="81" t="s">
        <v>41</v>
      </c>
      <c r="B290" s="82" t="s">
        <v>42</v>
      </c>
      <c r="C290" s="83">
        <f>C289</f>
        <v>34000</v>
      </c>
      <c r="D290" s="82"/>
      <c r="E290" s="82">
        <f>C290/1000</f>
        <v>34</v>
      </c>
      <c r="F290" s="80"/>
      <c r="H290" s="41"/>
    </row>
    <row r="291" spans="1:8" ht="31.5">
      <c r="A291" s="77" t="s">
        <v>100</v>
      </c>
      <c r="B291" s="78" t="s">
        <v>194</v>
      </c>
      <c r="C291" s="79">
        <v>67000</v>
      </c>
      <c r="D291" s="78"/>
      <c r="E291" s="78"/>
      <c r="F291" s="80"/>
      <c r="H291" s="41"/>
    </row>
    <row r="292" spans="1:8" ht="31.5">
      <c r="A292" s="77" t="s">
        <v>117</v>
      </c>
      <c r="B292" s="78" t="s">
        <v>195</v>
      </c>
      <c r="C292" s="79">
        <v>150000</v>
      </c>
      <c r="D292" s="78"/>
      <c r="E292" s="78"/>
      <c r="F292" s="80"/>
      <c r="H292" s="41"/>
    </row>
    <row r="293" spans="1:8" ht="30" customHeight="1">
      <c r="A293" s="77" t="s">
        <v>102</v>
      </c>
      <c r="B293" s="78" t="s">
        <v>103</v>
      </c>
      <c r="C293" s="79">
        <v>80000</v>
      </c>
      <c r="D293" s="78"/>
      <c r="E293" s="78"/>
      <c r="F293" s="80"/>
      <c r="H293" s="41"/>
    </row>
    <row r="294" spans="1:8" ht="126">
      <c r="A294" s="77" t="s">
        <v>47</v>
      </c>
      <c r="B294" s="78" t="s">
        <v>196</v>
      </c>
      <c r="C294" s="79">
        <v>485000</v>
      </c>
      <c r="D294" s="78"/>
      <c r="E294" s="78"/>
      <c r="F294" s="80"/>
      <c r="H294" s="41"/>
    </row>
    <row r="295" spans="1:8" ht="30" customHeight="1">
      <c r="A295" s="81" t="s">
        <v>48</v>
      </c>
      <c r="B295" s="82" t="s">
        <v>49</v>
      </c>
      <c r="C295" s="83">
        <f>SUM(C291:C294)</f>
        <v>782000</v>
      </c>
      <c r="D295" s="82"/>
      <c r="E295" s="83">
        <f>C295/1000</f>
        <v>782</v>
      </c>
      <c r="F295" s="80"/>
      <c r="H295" s="41"/>
    </row>
    <row r="296" spans="1:8" ht="31.5">
      <c r="A296" s="77" t="s">
        <v>53</v>
      </c>
      <c r="B296" s="78" t="s">
        <v>614</v>
      </c>
      <c r="C296" s="79">
        <v>505000</v>
      </c>
      <c r="D296" s="78"/>
      <c r="E296" s="79"/>
      <c r="F296" s="80"/>
      <c r="H296" s="41"/>
    </row>
    <row r="297" spans="1:8" ht="30" customHeight="1">
      <c r="A297" s="81" t="s">
        <v>56</v>
      </c>
      <c r="B297" s="82" t="s">
        <v>57</v>
      </c>
      <c r="C297" s="83">
        <f>C296</f>
        <v>505000</v>
      </c>
      <c r="D297" s="82"/>
      <c r="E297" s="83">
        <f>C297/1000</f>
        <v>505</v>
      </c>
      <c r="F297" s="80"/>
      <c r="H297" s="41"/>
    </row>
    <row r="298" spans="1:8" ht="30" customHeight="1">
      <c r="A298" s="85" t="s">
        <v>58</v>
      </c>
      <c r="B298" s="86" t="s">
        <v>59</v>
      </c>
      <c r="C298" s="87">
        <f>C288+C290+C295+C297</f>
        <v>2530000</v>
      </c>
      <c r="D298" s="87"/>
      <c r="E298" s="88"/>
      <c r="F298" s="89">
        <f>C298/1000</f>
        <v>2530</v>
      </c>
      <c r="H298" s="41"/>
    </row>
    <row r="299" spans="1:8" ht="30" customHeight="1" thickBot="1">
      <c r="A299" s="1760" t="s">
        <v>108</v>
      </c>
      <c r="B299" s="1761"/>
      <c r="C299" s="1761"/>
      <c r="D299" s="1761"/>
      <c r="E299" s="1761"/>
      <c r="F299" s="52">
        <f>F286+F298+F281</f>
        <v>10428</v>
      </c>
      <c r="H299" s="41"/>
    </row>
    <row r="300" spans="1:8" ht="16.5" thickBot="1">
      <c r="A300" s="68"/>
      <c r="B300" s="68"/>
      <c r="C300" s="68"/>
      <c r="D300" s="68"/>
      <c r="E300" s="68"/>
      <c r="F300" s="69"/>
      <c r="H300" s="41"/>
    </row>
    <row r="301" spans="1:8" ht="30" customHeight="1">
      <c r="A301" s="1757" t="s">
        <v>197</v>
      </c>
      <c r="B301" s="1758"/>
      <c r="C301" s="1758"/>
      <c r="D301" s="1758"/>
      <c r="E301" s="1758"/>
      <c r="F301" s="1759"/>
      <c r="H301" s="41"/>
    </row>
    <row r="302" spans="1:8" ht="30" customHeight="1">
      <c r="A302" s="152" t="s">
        <v>33</v>
      </c>
      <c r="B302" s="153" t="s">
        <v>198</v>
      </c>
      <c r="C302" s="150">
        <v>10000</v>
      </c>
      <c r="D302" s="150"/>
      <c r="E302" s="151"/>
      <c r="F302" s="94"/>
      <c r="H302" s="41"/>
    </row>
    <row r="303" spans="1:8" ht="30" customHeight="1">
      <c r="A303" s="90" t="s">
        <v>35</v>
      </c>
      <c r="B303" s="91" t="s">
        <v>36</v>
      </c>
      <c r="C303" s="92">
        <f>SUM(C302:C302)</f>
        <v>10000</v>
      </c>
      <c r="D303" s="92"/>
      <c r="E303" s="93">
        <f>C303/1000</f>
        <v>10</v>
      </c>
      <c r="F303" s="94"/>
      <c r="H303" s="41"/>
    </row>
    <row r="304" spans="1:8" ht="78.75">
      <c r="A304" s="77" t="s">
        <v>100</v>
      </c>
      <c r="B304" s="78" t="s">
        <v>199</v>
      </c>
      <c r="C304" s="79">
        <v>255000</v>
      </c>
      <c r="D304" s="78"/>
      <c r="E304" s="78"/>
      <c r="F304" s="80"/>
      <c r="H304" s="41"/>
    </row>
    <row r="305" spans="1:8" ht="24.95" customHeight="1">
      <c r="A305" s="77" t="s">
        <v>102</v>
      </c>
      <c r="B305" s="78" t="s">
        <v>103</v>
      </c>
      <c r="C305" s="79">
        <v>5000</v>
      </c>
      <c r="D305" s="78"/>
      <c r="E305" s="78"/>
      <c r="F305" s="80"/>
      <c r="H305" s="41"/>
    </row>
    <row r="306" spans="1:8" ht="94.5">
      <c r="A306" s="77" t="s">
        <v>47</v>
      </c>
      <c r="B306" s="78" t="s">
        <v>200</v>
      </c>
      <c r="C306" s="79">
        <v>35000</v>
      </c>
      <c r="D306" s="78"/>
      <c r="E306" s="78"/>
      <c r="F306" s="80"/>
      <c r="H306" s="41"/>
    </row>
    <row r="307" spans="1:8" ht="24.95" customHeight="1">
      <c r="A307" s="81" t="s">
        <v>48</v>
      </c>
      <c r="B307" s="82" t="s">
        <v>49</v>
      </c>
      <c r="C307" s="83">
        <f>SUM(C304:C306)</f>
        <v>295000</v>
      </c>
      <c r="D307" s="82"/>
      <c r="E307" s="83">
        <f>C307/1000</f>
        <v>295</v>
      </c>
      <c r="F307" s="80"/>
      <c r="H307" s="41"/>
    </row>
    <row r="308" spans="1:8" ht="31.5">
      <c r="A308" s="77" t="s">
        <v>53</v>
      </c>
      <c r="B308" s="78" t="s">
        <v>201</v>
      </c>
      <c r="C308" s="79">
        <v>82000</v>
      </c>
      <c r="D308" s="78"/>
      <c r="E308" s="78"/>
      <c r="F308" s="80"/>
      <c r="H308" s="41"/>
    </row>
    <row r="309" spans="1:8" ht="15.75">
      <c r="A309" s="81" t="s">
        <v>56</v>
      </c>
      <c r="B309" s="82" t="s">
        <v>57</v>
      </c>
      <c r="C309" s="83">
        <f>C308</f>
        <v>82000</v>
      </c>
      <c r="D309" s="82"/>
      <c r="E309" s="83">
        <f>C309/1000</f>
        <v>82</v>
      </c>
      <c r="F309" s="80"/>
      <c r="H309" s="41"/>
    </row>
    <row r="310" spans="1:8" ht="24.95" customHeight="1">
      <c r="A310" s="85" t="s">
        <v>58</v>
      </c>
      <c r="B310" s="86" t="s">
        <v>59</v>
      </c>
      <c r="C310" s="87">
        <f>C303+C307+C309</f>
        <v>387000</v>
      </c>
      <c r="D310" s="87"/>
      <c r="E310" s="88"/>
      <c r="F310" s="89">
        <f>C310/1000</f>
        <v>387</v>
      </c>
      <c r="H310" s="41"/>
    </row>
    <row r="311" spans="1:8" ht="35.1" customHeight="1" thickBot="1">
      <c r="A311" s="1760" t="s">
        <v>108</v>
      </c>
      <c r="B311" s="1761"/>
      <c r="C311" s="1761"/>
      <c r="D311" s="1761"/>
      <c r="E311" s="1761"/>
      <c r="F311" s="52">
        <f>F310</f>
        <v>387</v>
      </c>
      <c r="H311" s="41"/>
    </row>
    <row r="312" spans="1:8" ht="35.1" customHeight="1" thickBot="1">
      <c r="A312" s="68"/>
      <c r="B312" s="68"/>
      <c r="C312" s="68"/>
      <c r="D312" s="68"/>
      <c r="E312" s="68"/>
      <c r="F312" s="69"/>
      <c r="H312" s="41"/>
    </row>
    <row r="313" spans="1:8" ht="30" customHeight="1">
      <c r="A313" s="1757" t="s">
        <v>202</v>
      </c>
      <c r="B313" s="1758"/>
      <c r="C313" s="1758"/>
      <c r="D313" s="1758"/>
      <c r="E313" s="1758"/>
      <c r="F313" s="1759"/>
      <c r="H313" s="41"/>
    </row>
    <row r="314" spans="1:8" ht="89.45" customHeight="1">
      <c r="A314" s="77" t="s">
        <v>100</v>
      </c>
      <c r="B314" s="78" t="s">
        <v>199</v>
      </c>
      <c r="C314" s="79">
        <v>255000</v>
      </c>
      <c r="D314" s="78"/>
      <c r="E314" s="78"/>
      <c r="F314" s="80"/>
      <c r="H314" s="41"/>
    </row>
    <row r="315" spans="1:8" ht="30" customHeight="1">
      <c r="A315" s="77" t="s">
        <v>102</v>
      </c>
      <c r="B315" s="78" t="s">
        <v>103</v>
      </c>
      <c r="C315" s="79">
        <v>5000</v>
      </c>
      <c r="D315" s="78"/>
      <c r="E315" s="78"/>
      <c r="F315" s="80"/>
      <c r="H315" s="41"/>
    </row>
    <row r="316" spans="1:8" ht="30" customHeight="1">
      <c r="A316" s="35" t="s">
        <v>45</v>
      </c>
      <c r="B316" s="36" t="s">
        <v>203</v>
      </c>
      <c r="C316" s="40">
        <v>188000</v>
      </c>
      <c r="D316" s="36"/>
      <c r="E316" s="36"/>
      <c r="F316" s="39"/>
      <c r="H316" s="41"/>
    </row>
    <row r="317" spans="1:8" ht="95.45" customHeight="1">
      <c r="A317" s="77" t="s">
        <v>47</v>
      </c>
      <c r="B317" s="78" t="s">
        <v>200</v>
      </c>
      <c r="C317" s="79">
        <v>35000</v>
      </c>
      <c r="D317" s="78"/>
      <c r="E317" s="78"/>
      <c r="F317" s="80"/>
      <c r="H317" s="41"/>
    </row>
    <row r="318" spans="1:8" ht="30" customHeight="1">
      <c r="A318" s="81" t="s">
        <v>48</v>
      </c>
      <c r="B318" s="82" t="s">
        <v>49</v>
      </c>
      <c r="C318" s="83">
        <f>SUM(C314:C317)</f>
        <v>483000</v>
      </c>
      <c r="D318" s="82"/>
      <c r="E318" s="83">
        <f>C318/1000</f>
        <v>483</v>
      </c>
      <c r="F318" s="80"/>
      <c r="H318" s="41"/>
    </row>
    <row r="319" spans="1:8" ht="30" customHeight="1">
      <c r="A319" s="77" t="s">
        <v>53</v>
      </c>
      <c r="B319" s="78" t="s">
        <v>204</v>
      </c>
      <c r="C319" s="79">
        <v>118000</v>
      </c>
      <c r="D319" s="78"/>
      <c r="E319" s="78"/>
      <c r="F319" s="80"/>
      <c r="H319" s="41"/>
    </row>
    <row r="320" spans="1:8" ht="30" customHeight="1">
      <c r="A320" s="81" t="s">
        <v>56</v>
      </c>
      <c r="B320" s="82" t="s">
        <v>57</v>
      </c>
      <c r="C320" s="83">
        <f>C319</f>
        <v>118000</v>
      </c>
      <c r="D320" s="82"/>
      <c r="E320" s="83">
        <f>C320/1000</f>
        <v>118</v>
      </c>
      <c r="F320" s="80"/>
      <c r="H320" s="41"/>
    </row>
    <row r="321" spans="1:8" ht="30" customHeight="1">
      <c r="A321" s="85" t="s">
        <v>58</v>
      </c>
      <c r="B321" s="86" t="s">
        <v>59</v>
      </c>
      <c r="C321" s="87">
        <f>C311+C313+C318+C320</f>
        <v>601000</v>
      </c>
      <c r="D321" s="87"/>
      <c r="E321" s="88"/>
      <c r="F321" s="89">
        <f>C321/1000</f>
        <v>601</v>
      </c>
      <c r="H321" s="41"/>
    </row>
    <row r="322" spans="1:8" ht="30" customHeight="1" thickBot="1">
      <c r="A322" s="1760" t="s">
        <v>108</v>
      </c>
      <c r="B322" s="1761"/>
      <c r="C322" s="1761"/>
      <c r="D322" s="1761"/>
      <c r="E322" s="1761"/>
      <c r="F322" s="52">
        <f>F321</f>
        <v>601</v>
      </c>
      <c r="H322" s="41"/>
    </row>
    <row r="323" spans="1:8" ht="24.95" customHeight="1" thickBot="1">
      <c r="A323" s="68"/>
      <c r="B323" s="68"/>
      <c r="C323" s="68"/>
      <c r="D323" s="68"/>
      <c r="E323" s="68"/>
      <c r="F323" s="69"/>
      <c r="H323" s="41"/>
    </row>
    <row r="324" spans="1:8" ht="24.95" customHeight="1">
      <c r="A324" s="1757" t="s">
        <v>205</v>
      </c>
      <c r="B324" s="1758"/>
      <c r="C324" s="1758"/>
      <c r="D324" s="1758"/>
      <c r="E324" s="1758"/>
      <c r="F324" s="1759"/>
      <c r="H324" s="41"/>
    </row>
    <row r="325" spans="1:8" ht="58.9" customHeight="1">
      <c r="A325" s="35" t="s">
        <v>45</v>
      </c>
      <c r="B325" s="36" t="s">
        <v>206</v>
      </c>
      <c r="C325" s="40">
        <v>261000</v>
      </c>
      <c r="D325" s="36"/>
      <c r="E325" s="36"/>
      <c r="F325" s="39"/>
      <c r="H325" s="41"/>
    </row>
    <row r="326" spans="1:8" ht="30" customHeight="1">
      <c r="A326" s="42" t="s">
        <v>48</v>
      </c>
      <c r="B326" s="43" t="s">
        <v>49</v>
      </c>
      <c r="C326" s="44">
        <f>SUM(C323:C325)</f>
        <v>261000</v>
      </c>
      <c r="D326" s="43"/>
      <c r="E326" s="44">
        <f>C326/1000</f>
        <v>261</v>
      </c>
      <c r="F326" s="39"/>
      <c r="H326" s="41"/>
    </row>
    <row r="327" spans="1:8" ht="30" customHeight="1">
      <c r="A327" s="47" t="s">
        <v>58</v>
      </c>
      <c r="B327" s="28" t="s">
        <v>59</v>
      </c>
      <c r="C327" s="48">
        <f>C326</f>
        <v>261000</v>
      </c>
      <c r="D327" s="48"/>
      <c r="E327" s="49"/>
      <c r="F327" s="50">
        <f>C327/1000</f>
        <v>261</v>
      </c>
      <c r="H327" s="41"/>
    </row>
    <row r="328" spans="1:8" ht="30" customHeight="1" thickBot="1">
      <c r="A328" s="1760" t="s">
        <v>108</v>
      </c>
      <c r="B328" s="1761"/>
      <c r="C328" s="1761"/>
      <c r="D328" s="1761"/>
      <c r="E328" s="1761"/>
      <c r="F328" s="52">
        <f>F327</f>
        <v>261</v>
      </c>
      <c r="H328" s="41"/>
    </row>
    <row r="329" spans="1:8" ht="24.95" customHeight="1" thickBot="1">
      <c r="A329" s="68"/>
      <c r="B329" s="68"/>
      <c r="C329" s="68"/>
      <c r="D329" s="68"/>
      <c r="E329" s="68"/>
      <c r="F329" s="69"/>
      <c r="H329" s="41"/>
    </row>
    <row r="330" spans="1:8" ht="24.95" customHeight="1">
      <c r="A330" s="1757" t="s">
        <v>207</v>
      </c>
      <c r="B330" s="1758"/>
      <c r="C330" s="1758"/>
      <c r="D330" s="1758"/>
      <c r="E330" s="1758"/>
      <c r="F330" s="1759"/>
      <c r="H330" s="41"/>
    </row>
    <row r="331" spans="1:8" ht="30" customHeight="1">
      <c r="A331" s="152" t="s">
        <v>31</v>
      </c>
      <c r="B331" s="153" t="s">
        <v>606</v>
      </c>
      <c r="C331" s="150">
        <v>22000</v>
      </c>
      <c r="D331" s="150"/>
      <c r="E331" s="151"/>
      <c r="F331" s="94"/>
      <c r="H331" s="41"/>
    </row>
    <row r="332" spans="1:8" ht="63">
      <c r="A332" s="152" t="s">
        <v>33</v>
      </c>
      <c r="B332" s="153" t="s">
        <v>208</v>
      </c>
      <c r="C332" s="150">
        <v>15000</v>
      </c>
      <c r="D332" s="150"/>
      <c r="E332" s="151"/>
      <c r="F332" s="94"/>
      <c r="H332" s="41"/>
    </row>
    <row r="333" spans="1:8" ht="30" customHeight="1">
      <c r="A333" s="90" t="s">
        <v>35</v>
      </c>
      <c r="B333" s="91" t="s">
        <v>36</v>
      </c>
      <c r="C333" s="92">
        <f>SUM(C331:C332)</f>
        <v>37000</v>
      </c>
      <c r="D333" s="92"/>
      <c r="E333" s="93">
        <f>C333/1000</f>
        <v>37</v>
      </c>
      <c r="F333" s="94"/>
      <c r="H333" s="41"/>
    </row>
    <row r="334" spans="1:8" ht="47.25">
      <c r="A334" s="15" t="s">
        <v>37</v>
      </c>
      <c r="B334" s="16" t="s">
        <v>209</v>
      </c>
      <c r="C334" s="17">
        <v>22000</v>
      </c>
      <c r="D334" s="17"/>
      <c r="E334" s="18"/>
      <c r="F334" s="19"/>
      <c r="H334" s="41"/>
    </row>
    <row r="335" spans="1:8" ht="31.5">
      <c r="A335" s="35" t="s">
        <v>39</v>
      </c>
      <c r="B335" s="36" t="s">
        <v>210</v>
      </c>
      <c r="C335" s="40">
        <v>4000</v>
      </c>
      <c r="D335" s="36"/>
      <c r="E335" s="36"/>
      <c r="F335" s="39"/>
      <c r="H335" s="41"/>
    </row>
    <row r="336" spans="1:8" ht="30" customHeight="1">
      <c r="A336" s="42" t="s">
        <v>41</v>
      </c>
      <c r="B336" s="43" t="s">
        <v>42</v>
      </c>
      <c r="C336" s="44">
        <f>SUM(C334:C335)</f>
        <v>26000</v>
      </c>
      <c r="D336" s="43"/>
      <c r="E336" s="44">
        <f>C336/1000</f>
        <v>26</v>
      </c>
      <c r="F336" s="39"/>
      <c r="H336" s="41"/>
    </row>
    <row r="337" spans="1:8" ht="78.75">
      <c r="A337" s="35" t="s">
        <v>100</v>
      </c>
      <c r="B337" s="36" t="s">
        <v>211</v>
      </c>
      <c r="C337" s="40">
        <v>100000</v>
      </c>
      <c r="D337" s="36"/>
      <c r="E337" s="36"/>
      <c r="F337" s="39"/>
      <c r="H337" s="41"/>
    </row>
    <row r="338" spans="1:8" ht="30" customHeight="1">
      <c r="A338" s="35" t="s">
        <v>102</v>
      </c>
      <c r="B338" s="36" t="s">
        <v>103</v>
      </c>
      <c r="C338" s="40">
        <v>5000</v>
      </c>
      <c r="D338" s="36"/>
      <c r="E338" s="36"/>
      <c r="F338" s="39"/>
      <c r="H338" s="41"/>
    </row>
    <row r="339" spans="1:8" ht="47.25">
      <c r="A339" s="35" t="s">
        <v>45</v>
      </c>
      <c r="B339" s="36" t="s">
        <v>604</v>
      </c>
      <c r="C339" s="40">
        <v>713000</v>
      </c>
      <c r="D339" s="36"/>
      <c r="E339" s="36"/>
      <c r="F339" s="39"/>
      <c r="H339" s="41"/>
    </row>
    <row r="340" spans="1:8" ht="94.5">
      <c r="A340" s="35" t="s">
        <v>47</v>
      </c>
      <c r="B340" s="36" t="s">
        <v>200</v>
      </c>
      <c r="C340" s="40">
        <v>35000</v>
      </c>
      <c r="D340" s="36"/>
      <c r="E340" s="36"/>
      <c r="F340" s="39"/>
      <c r="H340" s="41"/>
    </row>
    <row r="341" spans="1:8" ht="30" customHeight="1">
      <c r="A341" s="81" t="s">
        <v>48</v>
      </c>
      <c r="B341" s="82" t="s">
        <v>49</v>
      </c>
      <c r="C341" s="83">
        <f>SUM(C337:C340)</f>
        <v>853000</v>
      </c>
      <c r="D341" s="82"/>
      <c r="E341" s="83">
        <f>C341/1000</f>
        <v>853</v>
      </c>
      <c r="F341" s="80"/>
      <c r="H341" s="41"/>
    </row>
    <row r="342" spans="1:8" ht="30" customHeight="1">
      <c r="A342" s="77" t="s">
        <v>53</v>
      </c>
      <c r="B342" s="78" t="s">
        <v>212</v>
      </c>
      <c r="C342" s="79">
        <v>215000</v>
      </c>
      <c r="D342" s="78"/>
      <c r="E342" s="78"/>
      <c r="F342" s="80"/>
      <c r="H342" s="41"/>
    </row>
    <row r="343" spans="1:8" ht="30" customHeight="1">
      <c r="A343" s="81" t="s">
        <v>56</v>
      </c>
      <c r="B343" s="82" t="s">
        <v>57</v>
      </c>
      <c r="C343" s="83">
        <f>C342</f>
        <v>215000</v>
      </c>
      <c r="D343" s="82"/>
      <c r="E343" s="83">
        <f>C343/1000</f>
        <v>215</v>
      </c>
      <c r="F343" s="80"/>
      <c r="H343" s="41"/>
    </row>
    <row r="344" spans="1:8" ht="30" customHeight="1">
      <c r="A344" s="85" t="s">
        <v>58</v>
      </c>
      <c r="B344" s="86" t="s">
        <v>59</v>
      </c>
      <c r="C344" s="87">
        <f>C334+C336+C341+C343</f>
        <v>1116000</v>
      </c>
      <c r="D344" s="87"/>
      <c r="E344" s="88"/>
      <c r="F344" s="89">
        <f>C344/1000</f>
        <v>1116</v>
      </c>
      <c r="H344" s="41"/>
    </row>
    <row r="345" spans="1:8" ht="30" customHeight="1" thickBot="1">
      <c r="A345" s="1760" t="s">
        <v>108</v>
      </c>
      <c r="B345" s="1761"/>
      <c r="C345" s="1761"/>
      <c r="D345" s="1761"/>
      <c r="E345" s="1761"/>
      <c r="F345" s="52">
        <f>F344</f>
        <v>1116</v>
      </c>
      <c r="H345" s="41"/>
    </row>
    <row r="346" spans="1:8" ht="71.45" customHeight="1">
      <c r="A346" s="137" t="s">
        <v>213</v>
      </c>
      <c r="B346" s="154" t="s">
        <v>214</v>
      </c>
      <c r="C346" s="138"/>
      <c r="D346" s="138">
        <v>1138000</v>
      </c>
      <c r="E346" s="105"/>
      <c r="F346" s="57"/>
      <c r="H346" s="41"/>
    </row>
    <row r="347" spans="1:8" ht="30" customHeight="1">
      <c r="A347" s="53" t="s">
        <v>74</v>
      </c>
      <c r="B347" s="54" t="s">
        <v>164</v>
      </c>
      <c r="C347" s="138"/>
      <c r="D347" s="56">
        <f>D346</f>
        <v>1138000</v>
      </c>
      <c r="E347" s="56">
        <f>D347/1000</f>
        <v>1138</v>
      </c>
      <c r="F347" s="57"/>
      <c r="H347" s="41"/>
    </row>
    <row r="348" spans="1:8" ht="30" customHeight="1">
      <c r="A348" s="110" t="s">
        <v>76</v>
      </c>
      <c r="B348" s="111" t="s">
        <v>145</v>
      </c>
      <c r="C348" s="60"/>
      <c r="D348" s="60">
        <f>D347</f>
        <v>1138000</v>
      </c>
      <c r="E348" s="61"/>
      <c r="F348" s="66">
        <f>D348/1000</f>
        <v>1138</v>
      </c>
    </row>
    <row r="349" spans="1:8" ht="30" customHeight="1" thickBot="1">
      <c r="A349" s="1755" t="s">
        <v>90</v>
      </c>
      <c r="B349" s="1756"/>
      <c r="C349" s="1756"/>
      <c r="D349" s="1756"/>
      <c r="E349" s="1756"/>
      <c r="F349" s="67">
        <f>F348</f>
        <v>1138</v>
      </c>
      <c r="H349" s="41"/>
    </row>
    <row r="350" spans="1:8" ht="24.95" customHeight="1" thickBot="1">
      <c r="A350" s="68"/>
      <c r="B350" s="68"/>
      <c r="C350" s="68"/>
      <c r="D350" s="68"/>
      <c r="E350" s="68"/>
      <c r="F350" s="69"/>
      <c r="H350" s="41"/>
    </row>
    <row r="351" spans="1:8" s="155" customFormat="1" ht="30" customHeight="1">
      <c r="A351" s="1757" t="s">
        <v>215</v>
      </c>
      <c r="B351" s="1758"/>
      <c r="C351" s="1758"/>
      <c r="D351" s="1758"/>
      <c r="E351" s="1758"/>
      <c r="F351" s="1759"/>
      <c r="H351" s="156"/>
    </row>
    <row r="352" spans="1:8" s="155" customFormat="1" ht="30" customHeight="1">
      <c r="A352" s="152" t="s">
        <v>31</v>
      </c>
      <c r="B352" s="153" t="s">
        <v>32</v>
      </c>
      <c r="C352" s="150">
        <v>11000</v>
      </c>
      <c r="D352" s="150"/>
      <c r="E352" s="151"/>
      <c r="F352" s="94"/>
    </row>
    <row r="353" spans="1:8" s="155" customFormat="1" ht="63">
      <c r="A353" s="152" t="s">
        <v>33</v>
      </c>
      <c r="B353" s="153" t="s">
        <v>216</v>
      </c>
      <c r="C353" s="150">
        <v>49000</v>
      </c>
      <c r="D353" s="150"/>
      <c r="E353" s="151"/>
      <c r="F353" s="94"/>
    </row>
    <row r="354" spans="1:8" ht="35.1" customHeight="1">
      <c r="A354" s="90" t="s">
        <v>35</v>
      </c>
      <c r="B354" s="91" t="s">
        <v>36</v>
      </c>
      <c r="C354" s="92">
        <f>SUM(C352:C353)</f>
        <v>60000</v>
      </c>
      <c r="D354" s="92"/>
      <c r="E354" s="93">
        <f>C354/1000</f>
        <v>60</v>
      </c>
      <c r="F354" s="94"/>
      <c r="H354" s="41"/>
    </row>
    <row r="355" spans="1:8" ht="56.45" customHeight="1">
      <c r="A355" s="15" t="s">
        <v>37</v>
      </c>
      <c r="B355" s="16" t="s">
        <v>217</v>
      </c>
      <c r="C355" s="17">
        <v>59000</v>
      </c>
      <c r="D355" s="17"/>
      <c r="E355" s="18"/>
      <c r="F355" s="19"/>
      <c r="H355" s="41"/>
    </row>
    <row r="356" spans="1:8" ht="31.5">
      <c r="A356" s="77" t="s">
        <v>39</v>
      </c>
      <c r="B356" s="36" t="s">
        <v>218</v>
      </c>
      <c r="C356" s="79">
        <v>23000</v>
      </c>
      <c r="D356" s="78"/>
      <c r="E356" s="78"/>
      <c r="F356" s="80"/>
      <c r="H356" s="41"/>
    </row>
    <row r="357" spans="1:8" ht="30" customHeight="1">
      <c r="A357" s="81" t="s">
        <v>41</v>
      </c>
      <c r="B357" s="82" t="s">
        <v>42</v>
      </c>
      <c r="C357" s="83">
        <f>SUM(C355:C356)</f>
        <v>82000</v>
      </c>
      <c r="D357" s="82"/>
      <c r="E357" s="83">
        <f>C357/1000</f>
        <v>82</v>
      </c>
      <c r="F357" s="80"/>
      <c r="H357" s="41"/>
    </row>
    <row r="358" spans="1:8" ht="78.75">
      <c r="A358" s="77" t="s">
        <v>100</v>
      </c>
      <c r="B358" s="78" t="s">
        <v>219</v>
      </c>
      <c r="C358" s="79">
        <v>320000</v>
      </c>
      <c r="D358" s="78"/>
      <c r="E358" s="78"/>
      <c r="F358" s="80"/>
      <c r="H358" s="41"/>
    </row>
    <row r="359" spans="1:8" ht="24.95" customHeight="1">
      <c r="A359" s="77" t="s">
        <v>102</v>
      </c>
      <c r="B359" s="78" t="s">
        <v>103</v>
      </c>
      <c r="C359" s="79">
        <v>5000</v>
      </c>
      <c r="D359" s="78"/>
      <c r="E359" s="78"/>
      <c r="F359" s="80"/>
      <c r="H359" s="41"/>
    </row>
    <row r="360" spans="1:8" ht="78.75">
      <c r="A360" s="35" t="s">
        <v>45</v>
      </c>
      <c r="B360" s="36" t="s">
        <v>605</v>
      </c>
      <c r="C360" s="40">
        <v>2685000</v>
      </c>
      <c r="D360" s="36"/>
      <c r="E360" s="36"/>
      <c r="F360" s="39"/>
      <c r="H360" s="41"/>
    </row>
    <row r="361" spans="1:8" ht="94.9" customHeight="1">
      <c r="A361" s="77" t="s">
        <v>47</v>
      </c>
      <c r="B361" s="36" t="s">
        <v>200</v>
      </c>
      <c r="C361" s="79">
        <v>35000</v>
      </c>
      <c r="D361" s="78"/>
      <c r="E361" s="78"/>
      <c r="F361" s="80"/>
      <c r="H361" s="41"/>
    </row>
    <row r="362" spans="1:8" ht="30" customHeight="1">
      <c r="A362" s="81" t="s">
        <v>48</v>
      </c>
      <c r="B362" s="82" t="s">
        <v>49</v>
      </c>
      <c r="C362" s="83">
        <f>SUM(C358:C361)</f>
        <v>3045000</v>
      </c>
      <c r="D362" s="82"/>
      <c r="E362" s="83">
        <f>C362/1000</f>
        <v>3045</v>
      </c>
      <c r="F362" s="80"/>
      <c r="H362" s="41"/>
    </row>
    <row r="363" spans="1:8" ht="30" customHeight="1">
      <c r="A363" s="77" t="s">
        <v>53</v>
      </c>
      <c r="B363" s="78" t="s">
        <v>220</v>
      </c>
      <c r="C363" s="79">
        <v>916000</v>
      </c>
      <c r="D363" s="78"/>
      <c r="E363" s="78"/>
      <c r="F363" s="80"/>
      <c r="H363" s="41"/>
    </row>
    <row r="364" spans="1:8" ht="30" customHeight="1">
      <c r="A364" s="81" t="s">
        <v>56</v>
      </c>
      <c r="B364" s="82" t="s">
        <v>57</v>
      </c>
      <c r="C364" s="83">
        <f>C363</f>
        <v>916000</v>
      </c>
      <c r="D364" s="82"/>
      <c r="E364" s="83">
        <f>C364/1000</f>
        <v>916</v>
      </c>
      <c r="F364" s="80"/>
      <c r="H364" s="41"/>
    </row>
    <row r="365" spans="1:8" ht="30" customHeight="1">
      <c r="A365" s="85" t="s">
        <v>58</v>
      </c>
      <c r="B365" s="86" t="s">
        <v>59</v>
      </c>
      <c r="C365" s="87">
        <f>C355+C357+C362+C364</f>
        <v>4102000</v>
      </c>
      <c r="D365" s="87"/>
      <c r="E365" s="88"/>
      <c r="F365" s="89">
        <f>C365/1000</f>
        <v>4102</v>
      </c>
      <c r="H365" s="41"/>
    </row>
    <row r="366" spans="1:8" ht="30" customHeight="1" thickBot="1">
      <c r="A366" s="1760" t="s">
        <v>108</v>
      </c>
      <c r="B366" s="1761"/>
      <c r="C366" s="1761"/>
      <c r="D366" s="1761"/>
      <c r="E366" s="1761"/>
      <c r="F366" s="52">
        <f>SUM(F352:F365)</f>
        <v>4102</v>
      </c>
      <c r="H366" s="41"/>
    </row>
    <row r="367" spans="1:8" ht="94.5">
      <c r="A367" s="137" t="s">
        <v>213</v>
      </c>
      <c r="B367" s="154" t="s">
        <v>676</v>
      </c>
      <c r="C367" s="138"/>
      <c r="D367" s="138">
        <v>4030000</v>
      </c>
      <c r="E367" s="105"/>
      <c r="F367" s="57"/>
      <c r="H367" s="41"/>
    </row>
    <row r="368" spans="1:8" ht="30" customHeight="1">
      <c r="A368" s="53" t="s">
        <v>74</v>
      </c>
      <c r="B368" s="54" t="s">
        <v>164</v>
      </c>
      <c r="C368" s="138"/>
      <c r="D368" s="56">
        <f>D367</f>
        <v>4030000</v>
      </c>
      <c r="E368" s="56">
        <f>D368/1000</f>
        <v>4030</v>
      </c>
      <c r="F368" s="57"/>
      <c r="H368" s="41"/>
    </row>
    <row r="369" spans="1:8" ht="30" customHeight="1">
      <c r="A369" s="110" t="s">
        <v>76</v>
      </c>
      <c r="B369" s="111" t="s">
        <v>145</v>
      </c>
      <c r="C369" s="60"/>
      <c r="D369" s="60">
        <f>D368</f>
        <v>4030000</v>
      </c>
      <c r="E369" s="61"/>
      <c r="F369" s="66">
        <f>D369/1000</f>
        <v>4030</v>
      </c>
      <c r="H369" s="41"/>
    </row>
    <row r="370" spans="1:8" ht="30" customHeight="1" thickBot="1">
      <c r="A370" s="1755" t="s">
        <v>90</v>
      </c>
      <c r="B370" s="1756"/>
      <c r="C370" s="1756"/>
      <c r="D370" s="1756"/>
      <c r="E370" s="1756"/>
      <c r="F370" s="67">
        <f>F369</f>
        <v>4030</v>
      </c>
      <c r="H370" s="41"/>
    </row>
    <row r="371" spans="1:8" ht="30" customHeight="1" thickBot="1">
      <c r="A371" s="68"/>
      <c r="B371" s="68"/>
      <c r="C371" s="68"/>
      <c r="D371" s="68"/>
      <c r="E371" s="68"/>
      <c r="F371" s="69"/>
      <c r="H371" s="41"/>
    </row>
    <row r="372" spans="1:8" ht="30" customHeight="1">
      <c r="A372" s="1757" t="s">
        <v>221</v>
      </c>
      <c r="B372" s="1758"/>
      <c r="C372" s="1758"/>
      <c r="D372" s="1758"/>
      <c r="E372" s="1758"/>
      <c r="F372" s="1759"/>
      <c r="H372" s="41"/>
    </row>
    <row r="373" spans="1:8" ht="30" customHeight="1">
      <c r="A373" s="152" t="s">
        <v>222</v>
      </c>
      <c r="B373" s="16" t="s">
        <v>223</v>
      </c>
      <c r="C373" s="17">
        <v>1850000</v>
      </c>
      <c r="D373" s="17"/>
      <c r="E373" s="18"/>
      <c r="F373" s="19"/>
      <c r="H373" s="41"/>
    </row>
    <row r="374" spans="1:8" ht="30" customHeight="1">
      <c r="A374" s="90" t="s">
        <v>224</v>
      </c>
      <c r="B374" s="23" t="s">
        <v>225</v>
      </c>
      <c r="C374" s="24">
        <f>C373</f>
        <v>1850000</v>
      </c>
      <c r="D374" s="24"/>
      <c r="E374" s="25">
        <f>C374/1000</f>
        <v>1850</v>
      </c>
      <c r="F374" s="51"/>
      <c r="H374" s="41"/>
    </row>
    <row r="375" spans="1:8" ht="30" customHeight="1">
      <c r="A375" s="85" t="s">
        <v>62</v>
      </c>
      <c r="B375" s="28" t="s">
        <v>63</v>
      </c>
      <c r="C375" s="48">
        <f>C374</f>
        <v>1850000</v>
      </c>
      <c r="D375" s="48"/>
      <c r="E375" s="49"/>
      <c r="F375" s="50">
        <f>C375/1000</f>
        <v>1850</v>
      </c>
    </row>
    <row r="376" spans="1:8" ht="30" customHeight="1" thickBot="1">
      <c r="A376" s="1760" t="s">
        <v>108</v>
      </c>
      <c r="B376" s="1761"/>
      <c r="C376" s="1761"/>
      <c r="D376" s="1761"/>
      <c r="E376" s="1761"/>
      <c r="F376" s="52">
        <f>SUM(F373:F375)</f>
        <v>1850</v>
      </c>
      <c r="H376" s="41"/>
    </row>
    <row r="377" spans="1:8" ht="24.95" customHeight="1" thickBot="1">
      <c r="A377" s="68"/>
      <c r="B377" s="68"/>
      <c r="C377" s="68"/>
      <c r="D377" s="68"/>
      <c r="E377" s="68"/>
      <c r="F377" s="69"/>
      <c r="H377" s="41"/>
    </row>
    <row r="378" spans="1:8" ht="30" customHeight="1">
      <c r="A378" s="1757" t="s">
        <v>226</v>
      </c>
      <c r="B378" s="1758"/>
      <c r="C378" s="1758"/>
      <c r="D378" s="1758"/>
      <c r="E378" s="1758"/>
      <c r="F378" s="1759"/>
      <c r="H378" s="41"/>
    </row>
    <row r="379" spans="1:8" ht="30" customHeight="1">
      <c r="A379" s="152" t="s">
        <v>222</v>
      </c>
      <c r="B379" s="16" t="s">
        <v>227</v>
      </c>
      <c r="C379" s="17">
        <v>450000</v>
      </c>
      <c r="D379" s="17"/>
      <c r="E379" s="18"/>
      <c r="F379" s="19"/>
      <c r="H379" s="41"/>
    </row>
    <row r="380" spans="1:8" ht="30" customHeight="1">
      <c r="A380" s="90" t="s">
        <v>224</v>
      </c>
      <c r="B380" s="23" t="s">
        <v>225</v>
      </c>
      <c r="C380" s="24">
        <f>C379</f>
        <v>450000</v>
      </c>
      <c r="D380" s="24"/>
      <c r="E380" s="25">
        <f>C380/1000</f>
        <v>450</v>
      </c>
      <c r="F380" s="51"/>
      <c r="H380" s="41"/>
    </row>
    <row r="381" spans="1:8" ht="30" customHeight="1">
      <c r="A381" s="85" t="s">
        <v>62</v>
      </c>
      <c r="B381" s="28" t="s">
        <v>63</v>
      </c>
      <c r="C381" s="48">
        <f>C380</f>
        <v>450000</v>
      </c>
      <c r="D381" s="48"/>
      <c r="E381" s="49"/>
      <c r="F381" s="50">
        <f>C381/1000</f>
        <v>450</v>
      </c>
      <c r="G381" s="41"/>
    </row>
    <row r="382" spans="1:8" ht="30" customHeight="1" thickBot="1">
      <c r="A382" s="1760" t="s">
        <v>108</v>
      </c>
      <c r="B382" s="1761"/>
      <c r="C382" s="1761"/>
      <c r="D382" s="1761"/>
      <c r="E382" s="1761"/>
      <c r="F382" s="52">
        <f>SUM(F379:F381)</f>
        <v>450</v>
      </c>
    </row>
    <row r="383" spans="1:8" ht="24.95" customHeight="1" thickBot="1">
      <c r="A383" s="68"/>
      <c r="B383" s="68"/>
      <c r="C383" s="68"/>
      <c r="D383" s="68"/>
      <c r="E383" s="68"/>
      <c r="F383" s="69"/>
      <c r="H383" s="41"/>
    </row>
    <row r="384" spans="1:8" ht="30" customHeight="1">
      <c r="A384" s="1757" t="s">
        <v>228</v>
      </c>
      <c r="B384" s="1758"/>
      <c r="C384" s="1758"/>
      <c r="D384" s="1758"/>
      <c r="E384" s="1758"/>
      <c r="F384" s="1759"/>
    </row>
    <row r="385" spans="1:8" ht="67.900000000000006" customHeight="1">
      <c r="A385" s="15" t="s">
        <v>17</v>
      </c>
      <c r="B385" s="16" t="s">
        <v>229</v>
      </c>
      <c r="C385" s="17">
        <v>480000</v>
      </c>
      <c r="D385" s="17"/>
      <c r="E385" s="18"/>
      <c r="F385" s="19"/>
      <c r="G385" s="41"/>
    </row>
    <row r="386" spans="1:8" ht="30" customHeight="1">
      <c r="A386" s="22" t="s">
        <v>17</v>
      </c>
      <c r="B386" s="23" t="s">
        <v>21</v>
      </c>
      <c r="C386" s="24">
        <f>SUM(C384:C385)</f>
        <v>480000</v>
      </c>
      <c r="D386" s="24"/>
      <c r="E386" s="25">
        <f>C386/1000</f>
        <v>480</v>
      </c>
      <c r="F386" s="34"/>
      <c r="G386" s="41"/>
    </row>
    <row r="387" spans="1:8" ht="30" customHeight="1">
      <c r="A387" s="47" t="s">
        <v>22</v>
      </c>
      <c r="B387" s="28" t="s">
        <v>23</v>
      </c>
      <c r="C387" s="48">
        <f>C386</f>
        <v>480000</v>
      </c>
      <c r="D387" s="48"/>
      <c r="E387" s="49"/>
      <c r="F387" s="50">
        <f>C387/1000</f>
        <v>480</v>
      </c>
      <c r="G387" s="41"/>
    </row>
    <row r="388" spans="1:8" ht="39.950000000000003" customHeight="1">
      <c r="A388" s="15" t="s">
        <v>24</v>
      </c>
      <c r="B388" s="16" t="s">
        <v>603</v>
      </c>
      <c r="C388" s="17">
        <v>95000</v>
      </c>
      <c r="D388" s="17"/>
      <c r="E388" s="18"/>
      <c r="F388" s="51"/>
      <c r="H388" s="41"/>
    </row>
    <row r="389" spans="1:8" ht="30" customHeight="1">
      <c r="A389" s="22" t="s">
        <v>29</v>
      </c>
      <c r="B389" s="23" t="s">
        <v>30</v>
      </c>
      <c r="C389" s="24">
        <f>C388</f>
        <v>95000</v>
      </c>
      <c r="D389" s="24"/>
      <c r="E389" s="25">
        <f>C389/1000</f>
        <v>95</v>
      </c>
      <c r="F389" s="19"/>
    </row>
    <row r="390" spans="1:8" ht="30" customHeight="1">
      <c r="A390" s="70" t="s">
        <v>29</v>
      </c>
      <c r="B390" s="71" t="s">
        <v>96</v>
      </c>
      <c r="C390" s="72">
        <f>C389</f>
        <v>95000</v>
      </c>
      <c r="D390" s="71"/>
      <c r="E390" s="71"/>
      <c r="F390" s="73">
        <f>C390/1000</f>
        <v>95</v>
      </c>
      <c r="H390" s="41"/>
    </row>
    <row r="391" spans="1:8" s="157" customFormat="1" ht="30" customHeight="1">
      <c r="A391" s="77" t="s">
        <v>39</v>
      </c>
      <c r="B391" s="78" t="s">
        <v>115</v>
      </c>
      <c r="C391" s="79">
        <v>3000</v>
      </c>
      <c r="D391" s="78"/>
      <c r="E391" s="78"/>
      <c r="F391" s="80"/>
      <c r="H391" s="158"/>
    </row>
    <row r="392" spans="1:8" ht="30" customHeight="1">
      <c r="A392" s="81" t="s">
        <v>41</v>
      </c>
      <c r="B392" s="82" t="s">
        <v>42</v>
      </c>
      <c r="C392" s="83">
        <f>C391</f>
        <v>3000</v>
      </c>
      <c r="D392" s="82"/>
      <c r="E392" s="82">
        <f>C392/1000</f>
        <v>3</v>
      </c>
      <c r="F392" s="80"/>
      <c r="H392" s="41"/>
    </row>
    <row r="393" spans="1:8" ht="30" customHeight="1">
      <c r="A393" s="77" t="s">
        <v>53</v>
      </c>
      <c r="B393" s="78" t="s">
        <v>230</v>
      </c>
      <c r="C393" s="79">
        <v>1000</v>
      </c>
      <c r="D393" s="78"/>
      <c r="E393" s="78"/>
      <c r="F393" s="80"/>
      <c r="G393" s="41"/>
    </row>
    <row r="394" spans="1:8" ht="30" customHeight="1">
      <c r="A394" s="81" t="s">
        <v>56</v>
      </c>
      <c r="B394" s="82" t="s">
        <v>57</v>
      </c>
      <c r="C394" s="83">
        <f>C393</f>
        <v>1000</v>
      </c>
      <c r="D394" s="82"/>
      <c r="E394" s="83">
        <f>C394/1000</f>
        <v>1</v>
      </c>
      <c r="F394" s="80"/>
      <c r="G394" s="41"/>
    </row>
    <row r="395" spans="1:8" ht="30" customHeight="1">
      <c r="A395" s="85" t="s">
        <v>58</v>
      </c>
      <c r="B395" s="86" t="s">
        <v>59</v>
      </c>
      <c r="C395" s="87">
        <f>C392+C394</f>
        <v>4000</v>
      </c>
      <c r="D395" s="87"/>
      <c r="E395" s="88"/>
      <c r="F395" s="89">
        <f>C395/1000</f>
        <v>4</v>
      </c>
      <c r="H395" s="41"/>
    </row>
    <row r="396" spans="1:8" ht="30" customHeight="1" thickBot="1">
      <c r="A396" s="1760" t="s">
        <v>108</v>
      </c>
      <c r="B396" s="1761"/>
      <c r="C396" s="1761"/>
      <c r="D396" s="1761"/>
      <c r="E396" s="1761"/>
      <c r="F396" s="52">
        <f>SUM(F385:F395)</f>
        <v>579</v>
      </c>
      <c r="H396" s="41"/>
    </row>
    <row r="397" spans="1:8" ht="24.95" customHeight="1" thickBot="1">
      <c r="A397" s="68"/>
      <c r="B397" s="68"/>
      <c r="C397" s="68"/>
      <c r="D397" s="68"/>
      <c r="E397" s="68"/>
      <c r="F397" s="69"/>
    </row>
    <row r="398" spans="1:8" ht="30" customHeight="1">
      <c r="A398" s="1757" t="s">
        <v>231</v>
      </c>
      <c r="B398" s="1758"/>
      <c r="C398" s="1758"/>
      <c r="D398" s="1758"/>
      <c r="E398" s="1758"/>
      <c r="F398" s="1759"/>
      <c r="G398" s="41"/>
    </row>
    <row r="399" spans="1:8" ht="31.5">
      <c r="A399" s="15" t="s">
        <v>7</v>
      </c>
      <c r="B399" s="16" t="s">
        <v>679</v>
      </c>
      <c r="C399" s="17">
        <v>550000</v>
      </c>
      <c r="D399" s="17"/>
      <c r="E399" s="18"/>
      <c r="F399" s="19"/>
      <c r="G399" s="41"/>
    </row>
    <row r="400" spans="1:8" ht="30" customHeight="1">
      <c r="A400" s="4" t="s">
        <v>8</v>
      </c>
      <c r="B400" s="5" t="s">
        <v>92</v>
      </c>
      <c r="C400" s="6">
        <v>0</v>
      </c>
      <c r="D400" s="7"/>
      <c r="E400" s="7"/>
      <c r="F400" s="8"/>
      <c r="G400" s="41"/>
    </row>
    <row r="401" spans="1:8" ht="30" customHeight="1">
      <c r="A401" s="22" t="s">
        <v>14</v>
      </c>
      <c r="B401" s="23" t="s">
        <v>93</v>
      </c>
      <c r="C401" s="24">
        <f>SUM(C399:C400)</f>
        <v>550000</v>
      </c>
      <c r="D401" s="24"/>
      <c r="E401" s="25">
        <f>C401/1000</f>
        <v>550</v>
      </c>
      <c r="F401" s="34"/>
      <c r="H401" s="41"/>
    </row>
    <row r="402" spans="1:8" ht="30" customHeight="1">
      <c r="A402" s="47" t="s">
        <v>22</v>
      </c>
      <c r="B402" s="28" t="s">
        <v>23</v>
      </c>
      <c r="C402" s="48">
        <f>C401</f>
        <v>550000</v>
      </c>
      <c r="D402" s="48"/>
      <c r="E402" s="49"/>
      <c r="F402" s="50">
        <f>C402/1000</f>
        <v>550</v>
      </c>
      <c r="H402" s="41"/>
    </row>
    <row r="403" spans="1:8" ht="31.5">
      <c r="A403" s="15" t="s">
        <v>24</v>
      </c>
      <c r="B403" s="16" t="s">
        <v>680</v>
      </c>
      <c r="C403" s="17">
        <v>108000</v>
      </c>
      <c r="D403" s="17"/>
      <c r="E403" s="18"/>
      <c r="F403" s="51"/>
    </row>
    <row r="404" spans="1:8" ht="47.25">
      <c r="A404" s="15" t="s">
        <v>25</v>
      </c>
      <c r="B404" s="20" t="s">
        <v>600</v>
      </c>
      <c r="C404" s="17">
        <v>1000</v>
      </c>
      <c r="D404" s="17"/>
      <c r="E404" s="18"/>
      <c r="F404" s="19"/>
      <c r="G404" s="41"/>
    </row>
    <row r="405" spans="1:8" ht="47.25">
      <c r="A405" s="15" t="s">
        <v>27</v>
      </c>
      <c r="B405" s="20" t="s">
        <v>601</v>
      </c>
      <c r="C405" s="17">
        <v>1000</v>
      </c>
      <c r="D405" s="17"/>
      <c r="E405" s="18"/>
      <c r="F405" s="19"/>
      <c r="G405" s="41"/>
    </row>
    <row r="406" spans="1:8" ht="30" customHeight="1">
      <c r="A406" s="22" t="s">
        <v>29</v>
      </c>
      <c r="B406" s="23" t="s">
        <v>30</v>
      </c>
      <c r="C406" s="24">
        <f>SUM(C403:C405)</f>
        <v>110000</v>
      </c>
      <c r="D406" s="24"/>
      <c r="E406" s="25">
        <f>C406/1000</f>
        <v>110</v>
      </c>
      <c r="F406" s="19"/>
      <c r="G406" s="41"/>
    </row>
    <row r="407" spans="1:8" ht="30" customHeight="1">
      <c r="A407" s="70" t="s">
        <v>29</v>
      </c>
      <c r="B407" s="71" t="s">
        <v>96</v>
      </c>
      <c r="C407" s="72">
        <f>C406</f>
        <v>110000</v>
      </c>
      <c r="D407" s="71"/>
      <c r="E407" s="71"/>
      <c r="F407" s="73">
        <f>C407/1000</f>
        <v>110</v>
      </c>
      <c r="H407" s="41"/>
    </row>
    <row r="408" spans="1:8" ht="63">
      <c r="A408" s="77" t="s">
        <v>33</v>
      </c>
      <c r="B408" s="78" t="s">
        <v>232</v>
      </c>
      <c r="C408" s="79">
        <v>25000</v>
      </c>
      <c r="D408" s="78"/>
      <c r="E408" s="78"/>
      <c r="F408" s="80"/>
      <c r="H408" s="41"/>
    </row>
    <row r="409" spans="1:8" ht="30" customHeight="1">
      <c r="A409" s="81" t="s">
        <v>35</v>
      </c>
      <c r="B409" s="82" t="s">
        <v>36</v>
      </c>
      <c r="C409" s="83">
        <f>C408</f>
        <v>25000</v>
      </c>
      <c r="D409" s="82"/>
      <c r="E409" s="82">
        <f>C409/1000</f>
        <v>25</v>
      </c>
      <c r="F409" s="84"/>
    </row>
    <row r="410" spans="1:8" ht="63">
      <c r="A410" s="35" t="s">
        <v>39</v>
      </c>
      <c r="B410" s="36" t="s">
        <v>602</v>
      </c>
      <c r="C410" s="40">
        <v>140000</v>
      </c>
      <c r="D410" s="36"/>
      <c r="E410" s="36"/>
      <c r="F410" s="39"/>
      <c r="G410" s="41"/>
    </row>
    <row r="411" spans="1:8" ht="30" customHeight="1">
      <c r="A411" s="81" t="s">
        <v>41</v>
      </c>
      <c r="B411" s="82" t="s">
        <v>42</v>
      </c>
      <c r="C411" s="83">
        <f>C410</f>
        <v>140000</v>
      </c>
      <c r="D411" s="82"/>
      <c r="E411" s="82">
        <f>C411/1000</f>
        <v>140</v>
      </c>
      <c r="F411" s="80"/>
      <c r="G411" s="41"/>
    </row>
    <row r="412" spans="1:8" ht="78.75">
      <c r="A412" s="77" t="s">
        <v>100</v>
      </c>
      <c r="B412" s="78" t="s">
        <v>233</v>
      </c>
      <c r="C412" s="79">
        <v>1328000</v>
      </c>
      <c r="D412" s="78"/>
      <c r="E412" s="78"/>
      <c r="F412" s="80"/>
      <c r="G412" s="41"/>
    </row>
    <row r="413" spans="1:8" ht="30" customHeight="1">
      <c r="A413" s="77" t="s">
        <v>102</v>
      </c>
      <c r="B413" s="78" t="s">
        <v>103</v>
      </c>
      <c r="C413" s="79">
        <v>10000</v>
      </c>
      <c r="D413" s="78"/>
      <c r="E413" s="78"/>
      <c r="F413" s="80"/>
      <c r="H413" s="41"/>
    </row>
    <row r="414" spans="1:8" ht="46.9" customHeight="1">
      <c r="A414" s="35" t="s">
        <v>47</v>
      </c>
      <c r="B414" s="36" t="s">
        <v>234</v>
      </c>
      <c r="C414" s="40">
        <v>48000</v>
      </c>
      <c r="D414" s="36"/>
      <c r="E414" s="36"/>
      <c r="F414" s="39"/>
      <c r="H414" s="41"/>
    </row>
    <row r="415" spans="1:8" ht="30" customHeight="1">
      <c r="A415" s="81" t="s">
        <v>48</v>
      </c>
      <c r="B415" s="82" t="s">
        <v>49</v>
      </c>
      <c r="C415" s="83">
        <f>SUM(C412:C414)</f>
        <v>1386000</v>
      </c>
      <c r="D415" s="82"/>
      <c r="E415" s="82">
        <f>C415/1000</f>
        <v>1386</v>
      </c>
      <c r="F415" s="80"/>
    </row>
    <row r="416" spans="1:8" ht="31.5">
      <c r="A416" s="77" t="s">
        <v>53</v>
      </c>
      <c r="B416" s="78" t="s">
        <v>235</v>
      </c>
      <c r="C416" s="79">
        <v>419000</v>
      </c>
      <c r="D416" s="78"/>
      <c r="E416" s="78"/>
      <c r="F416" s="80"/>
      <c r="G416" s="41"/>
    </row>
    <row r="417" spans="1:8" ht="30" customHeight="1">
      <c r="A417" s="81" t="s">
        <v>56</v>
      </c>
      <c r="B417" s="82" t="s">
        <v>57</v>
      </c>
      <c r="C417" s="83">
        <f>C416</f>
        <v>419000</v>
      </c>
      <c r="D417" s="82"/>
      <c r="E417" s="82">
        <f>C417/1000</f>
        <v>419</v>
      </c>
      <c r="F417" s="80"/>
      <c r="G417" s="41"/>
    </row>
    <row r="418" spans="1:8" ht="30" customHeight="1">
      <c r="A418" s="85" t="s">
        <v>58</v>
      </c>
      <c r="B418" s="86" t="s">
        <v>59</v>
      </c>
      <c r="C418" s="87">
        <f>C409+C411+C415+C417</f>
        <v>1970000</v>
      </c>
      <c r="D418" s="87"/>
      <c r="E418" s="88"/>
      <c r="F418" s="89">
        <f>C418/1000</f>
        <v>1970</v>
      </c>
      <c r="G418" s="41"/>
    </row>
    <row r="419" spans="1:8" ht="78.75">
      <c r="A419" s="15" t="s">
        <v>222</v>
      </c>
      <c r="B419" s="16" t="s">
        <v>607</v>
      </c>
      <c r="C419" s="17">
        <v>6120000</v>
      </c>
      <c r="D419" s="17"/>
      <c r="E419" s="18"/>
      <c r="F419" s="19"/>
      <c r="G419" s="41"/>
    </row>
    <row r="420" spans="1:8" ht="30" customHeight="1">
      <c r="A420" s="22" t="s">
        <v>224</v>
      </c>
      <c r="B420" s="23" t="s">
        <v>225</v>
      </c>
      <c r="C420" s="24">
        <f>C419</f>
        <v>6120000</v>
      </c>
      <c r="D420" s="24"/>
      <c r="E420" s="25">
        <f>C420/1000</f>
        <v>6120</v>
      </c>
      <c r="F420" s="51"/>
      <c r="G420" s="41"/>
    </row>
    <row r="421" spans="1:8" ht="30" customHeight="1">
      <c r="A421" s="47" t="s">
        <v>62</v>
      </c>
      <c r="B421" s="28" t="s">
        <v>63</v>
      </c>
      <c r="C421" s="48">
        <f>C420</f>
        <v>6120000</v>
      </c>
      <c r="D421" s="48"/>
      <c r="E421" s="49"/>
      <c r="F421" s="50">
        <f>C421/1000</f>
        <v>6120</v>
      </c>
      <c r="H421" s="41"/>
    </row>
    <row r="422" spans="1:8" ht="30" customHeight="1">
      <c r="A422" s="90" t="s">
        <v>236</v>
      </c>
      <c r="B422" s="23" t="s">
        <v>237</v>
      </c>
      <c r="C422" s="24"/>
      <c r="D422" s="24"/>
      <c r="E422" s="25">
        <f>C422/1000</f>
        <v>0</v>
      </c>
      <c r="F422" s="19"/>
      <c r="H422" s="41"/>
    </row>
    <row r="423" spans="1:8" ht="30" customHeight="1">
      <c r="A423" s="90" t="s">
        <v>174</v>
      </c>
      <c r="B423" s="23" t="s">
        <v>238</v>
      </c>
      <c r="C423" s="24"/>
      <c r="D423" s="24"/>
      <c r="E423" s="25">
        <f>C423/1000</f>
        <v>0</v>
      </c>
      <c r="F423" s="19"/>
      <c r="H423" s="41"/>
    </row>
    <row r="424" spans="1:8" s="157" customFormat="1" ht="30" customHeight="1">
      <c r="A424" s="85" t="s">
        <v>71</v>
      </c>
      <c r="B424" s="86" t="s">
        <v>72</v>
      </c>
      <c r="C424" s="87">
        <f>C422+C423</f>
        <v>0</v>
      </c>
      <c r="D424" s="87"/>
      <c r="E424" s="88"/>
      <c r="F424" s="89">
        <f>C424/1000</f>
        <v>0</v>
      </c>
      <c r="H424" s="158"/>
    </row>
    <row r="425" spans="1:8" s="157" customFormat="1" ht="30" customHeight="1" thickBot="1">
      <c r="A425" s="1760" t="s">
        <v>108</v>
      </c>
      <c r="B425" s="1761"/>
      <c r="C425" s="1761"/>
      <c r="D425" s="1761"/>
      <c r="E425" s="1761"/>
      <c r="F425" s="52">
        <f>SUM(F399:F424)</f>
        <v>8750</v>
      </c>
      <c r="H425" s="158"/>
    </row>
    <row r="426" spans="1:8" s="157" customFormat="1" ht="24.95" customHeight="1" thickBot="1">
      <c r="A426" s="159"/>
      <c r="B426" s="160"/>
      <c r="C426" s="160"/>
      <c r="D426" s="160"/>
      <c r="E426" s="160"/>
      <c r="F426" s="161"/>
      <c r="H426" s="158"/>
    </row>
    <row r="427" spans="1:8" s="157" customFormat="1" ht="30" customHeight="1">
      <c r="A427" s="1757" t="s">
        <v>239</v>
      </c>
      <c r="B427" s="1758"/>
      <c r="C427" s="1758"/>
      <c r="D427" s="1758"/>
      <c r="E427" s="1758"/>
      <c r="F427" s="1759"/>
      <c r="H427" s="158"/>
    </row>
    <row r="428" spans="1:8" s="157" customFormat="1" ht="30" customHeight="1">
      <c r="A428" s="15" t="s">
        <v>47</v>
      </c>
      <c r="B428" s="16" t="s">
        <v>240</v>
      </c>
      <c r="C428" s="17">
        <v>900000</v>
      </c>
      <c r="D428" s="17"/>
      <c r="E428" s="18"/>
      <c r="F428" s="19"/>
      <c r="H428" s="158"/>
    </row>
    <row r="429" spans="1:8" s="157" customFormat="1" ht="30" customHeight="1">
      <c r="A429" s="22" t="s">
        <v>48</v>
      </c>
      <c r="B429" s="23" t="s">
        <v>49</v>
      </c>
      <c r="C429" s="24">
        <f>C428</f>
        <v>900000</v>
      </c>
      <c r="D429" s="24"/>
      <c r="E429" s="25">
        <f>C429/1000</f>
        <v>900</v>
      </c>
      <c r="F429" s="51"/>
      <c r="H429" s="158"/>
    </row>
    <row r="430" spans="1:8" s="157" customFormat="1" ht="30" customHeight="1">
      <c r="A430" s="15" t="s">
        <v>53</v>
      </c>
      <c r="B430" s="16" t="s">
        <v>132</v>
      </c>
      <c r="C430" s="17">
        <v>243000</v>
      </c>
      <c r="D430" s="17"/>
      <c r="E430" s="18"/>
      <c r="F430" s="19"/>
      <c r="H430" s="158"/>
    </row>
    <row r="431" spans="1:8" s="157" customFormat="1" ht="30" customHeight="1">
      <c r="A431" s="22" t="s">
        <v>56</v>
      </c>
      <c r="B431" s="23" t="s">
        <v>57</v>
      </c>
      <c r="C431" s="24">
        <f>C430</f>
        <v>243000</v>
      </c>
      <c r="D431" s="24"/>
      <c r="E431" s="25">
        <f>C431/1000</f>
        <v>243</v>
      </c>
      <c r="F431" s="51"/>
      <c r="H431" s="158"/>
    </row>
    <row r="432" spans="1:8" s="157" customFormat="1" ht="30" customHeight="1" thickBot="1">
      <c r="A432" s="146" t="s">
        <v>58</v>
      </c>
      <c r="B432" s="147" t="s">
        <v>59</v>
      </c>
      <c r="C432" s="148">
        <f>C429+C431</f>
        <v>1143000</v>
      </c>
      <c r="D432" s="147"/>
      <c r="E432" s="147"/>
      <c r="F432" s="149">
        <f>C432/1000</f>
        <v>1143</v>
      </c>
      <c r="H432" s="158"/>
    </row>
    <row r="433" spans="1:8" ht="30" customHeight="1" thickBot="1">
      <c r="A433" s="1760" t="s">
        <v>108</v>
      </c>
      <c r="B433" s="1761"/>
      <c r="C433" s="1761"/>
      <c r="D433" s="1761"/>
      <c r="E433" s="1761"/>
      <c r="F433" s="52">
        <f>SUM(F430:F432)</f>
        <v>1143</v>
      </c>
    </row>
    <row r="434" spans="1:8" ht="30" customHeight="1" thickBot="1">
      <c r="A434" s="1017"/>
      <c r="B434" s="1017"/>
      <c r="C434" s="1017"/>
      <c r="D434" s="1017"/>
      <c r="E434" s="1017"/>
      <c r="F434" s="69"/>
    </row>
    <row r="435" spans="1:8" ht="30" customHeight="1">
      <c r="A435" s="1757" t="s">
        <v>598</v>
      </c>
      <c r="B435" s="1758"/>
      <c r="C435" s="1758"/>
      <c r="D435" s="1758"/>
      <c r="E435" s="1758"/>
      <c r="F435" s="1759"/>
    </row>
    <row r="436" spans="1:8" ht="63">
      <c r="A436" s="152" t="s">
        <v>222</v>
      </c>
      <c r="B436" s="16" t="s">
        <v>599</v>
      </c>
      <c r="C436" s="17">
        <v>1020000</v>
      </c>
      <c r="D436" s="17"/>
      <c r="E436" s="18"/>
      <c r="F436" s="19"/>
    </row>
    <row r="437" spans="1:8" s="32" customFormat="1" ht="30" customHeight="1">
      <c r="A437" s="90" t="s">
        <v>224</v>
      </c>
      <c r="B437" s="91" t="s">
        <v>225</v>
      </c>
      <c r="C437" s="92">
        <f>C436</f>
        <v>1020000</v>
      </c>
      <c r="D437" s="92"/>
      <c r="E437" s="93">
        <f>C437/1000</f>
        <v>1020</v>
      </c>
      <c r="F437" s="97"/>
    </row>
    <row r="438" spans="1:8" ht="30" customHeight="1">
      <c r="A438" s="85" t="s">
        <v>62</v>
      </c>
      <c r="B438" s="86" t="s">
        <v>63</v>
      </c>
      <c r="C438" s="87">
        <f>C437</f>
        <v>1020000</v>
      </c>
      <c r="D438" s="87"/>
      <c r="E438" s="88"/>
      <c r="F438" s="89">
        <f>C438/1000</f>
        <v>1020</v>
      </c>
    </row>
    <row r="439" spans="1:8" s="32" customFormat="1" ht="30" customHeight="1" thickBot="1">
      <c r="A439" s="1760" t="s">
        <v>108</v>
      </c>
      <c r="B439" s="1761"/>
      <c r="C439" s="1761"/>
      <c r="D439" s="1761"/>
      <c r="E439" s="1761"/>
      <c r="F439" s="52">
        <f>SUM(F436:F438)</f>
        <v>1020</v>
      </c>
    </row>
    <row r="440" spans="1:8" ht="16.5" thickBot="1">
      <c r="A440" s="68"/>
      <c r="B440" s="68"/>
      <c r="C440" s="68"/>
      <c r="D440" s="68"/>
      <c r="E440" s="68"/>
      <c r="F440" s="69"/>
    </row>
    <row r="441" spans="1:8" ht="30" customHeight="1">
      <c r="A441" s="1757" t="s">
        <v>241</v>
      </c>
      <c r="B441" s="1758"/>
      <c r="C441" s="1758"/>
      <c r="D441" s="1758"/>
      <c r="E441" s="1758"/>
      <c r="F441" s="1759"/>
    </row>
    <row r="442" spans="1:8" ht="138.6" customHeight="1">
      <c r="A442" s="152" t="s">
        <v>222</v>
      </c>
      <c r="B442" s="16" t="s">
        <v>597</v>
      </c>
      <c r="C442" s="17">
        <v>4800000</v>
      </c>
      <c r="D442" s="17"/>
      <c r="E442" s="18"/>
      <c r="F442" s="19"/>
    </row>
    <row r="443" spans="1:8" s="32" customFormat="1" ht="30" customHeight="1">
      <c r="A443" s="90" t="s">
        <v>224</v>
      </c>
      <c r="B443" s="91" t="s">
        <v>225</v>
      </c>
      <c r="C443" s="92">
        <f>C442</f>
        <v>4800000</v>
      </c>
      <c r="D443" s="92"/>
      <c r="E443" s="93">
        <f>C443/1000</f>
        <v>4800</v>
      </c>
      <c r="F443" s="97"/>
    </row>
    <row r="444" spans="1:8" ht="30" customHeight="1">
      <c r="A444" s="85" t="s">
        <v>62</v>
      </c>
      <c r="B444" s="86" t="s">
        <v>63</v>
      </c>
      <c r="C444" s="87">
        <f>C443</f>
        <v>4800000</v>
      </c>
      <c r="D444" s="87"/>
      <c r="E444" s="88"/>
      <c r="F444" s="89">
        <f>C444/1000</f>
        <v>4800</v>
      </c>
    </row>
    <row r="445" spans="1:8" s="32" customFormat="1" ht="30" customHeight="1" thickBot="1">
      <c r="A445" s="1760" t="s">
        <v>108</v>
      </c>
      <c r="B445" s="1761"/>
      <c r="C445" s="1761"/>
      <c r="D445" s="1761"/>
      <c r="E445" s="1761"/>
      <c r="F445" s="52">
        <f>SUM(F442:F444)</f>
        <v>4800</v>
      </c>
    </row>
    <row r="446" spans="1:8" s="32" customFormat="1" ht="30" customHeight="1" thickBot="1">
      <c r="A446" s="95"/>
      <c r="B446" s="95"/>
      <c r="C446" s="95"/>
      <c r="D446" s="95"/>
      <c r="E446" s="95"/>
      <c r="F446" s="96"/>
    </row>
    <row r="447" spans="1:8" ht="30" customHeight="1">
      <c r="A447" s="1757" t="s">
        <v>242</v>
      </c>
      <c r="B447" s="1758"/>
      <c r="C447" s="1758"/>
      <c r="D447" s="1758"/>
      <c r="E447" s="1758"/>
      <c r="F447" s="1759"/>
      <c r="H447" s="41"/>
    </row>
    <row r="448" spans="1:8" ht="51.6" customHeight="1">
      <c r="A448" s="15" t="s">
        <v>60</v>
      </c>
      <c r="B448" s="16" t="s">
        <v>596</v>
      </c>
      <c r="C448" s="17">
        <v>400000</v>
      </c>
      <c r="D448" s="17"/>
      <c r="E448" s="18"/>
      <c r="F448" s="19"/>
      <c r="H448" s="41"/>
    </row>
    <row r="449" spans="1:8" ht="30" customHeight="1">
      <c r="A449" s="85" t="s">
        <v>62</v>
      </c>
      <c r="B449" s="86" t="s">
        <v>63</v>
      </c>
      <c r="C449" s="87">
        <f>C448</f>
        <v>400000</v>
      </c>
      <c r="D449" s="87"/>
      <c r="E449" s="88"/>
      <c r="F449" s="89">
        <f>C449/1000</f>
        <v>400</v>
      </c>
      <c r="H449" s="41"/>
    </row>
    <row r="450" spans="1:8" s="157" customFormat="1" ht="24.95" customHeight="1" thickBot="1">
      <c r="A450" s="1760" t="s">
        <v>108</v>
      </c>
      <c r="B450" s="1761"/>
      <c r="C450" s="1761"/>
      <c r="D450" s="1761"/>
      <c r="E450" s="1761"/>
      <c r="F450" s="52">
        <f>SUM(F448:F449)</f>
        <v>400</v>
      </c>
      <c r="H450" s="158"/>
    </row>
    <row r="451" spans="1:8" ht="30" customHeight="1" thickBot="1">
      <c r="A451" s="1782"/>
      <c r="B451" s="1783"/>
      <c r="C451" s="1783"/>
      <c r="D451" s="1783"/>
      <c r="E451" s="1783"/>
      <c r="F451" s="1784"/>
      <c r="H451" s="41"/>
    </row>
    <row r="452" spans="1:8" ht="30" customHeight="1">
      <c r="A452" s="1757" t="s">
        <v>245</v>
      </c>
      <c r="B452" s="1758"/>
      <c r="C452" s="1758"/>
      <c r="D452" s="1758"/>
      <c r="E452" s="1758"/>
      <c r="F452" s="1759"/>
    </row>
    <row r="453" spans="1:8" ht="30" customHeight="1">
      <c r="A453" s="15" t="s">
        <v>246</v>
      </c>
      <c r="B453" s="20" t="s">
        <v>595</v>
      </c>
      <c r="C453" s="17">
        <v>128000</v>
      </c>
      <c r="D453" s="17"/>
      <c r="E453" s="18"/>
      <c r="F453" s="19"/>
    </row>
    <row r="454" spans="1:8" ht="30" customHeight="1">
      <c r="A454" s="22" t="s">
        <v>247</v>
      </c>
      <c r="B454" s="162" t="s">
        <v>248</v>
      </c>
      <c r="C454" s="24">
        <f>SUM(C453:C453)</f>
        <v>128000</v>
      </c>
      <c r="D454" s="24"/>
      <c r="E454" s="25">
        <f>C454/1000</f>
        <v>128</v>
      </c>
      <c r="F454" s="19"/>
    </row>
    <row r="455" spans="1:8" ht="30" customHeight="1" thickBot="1">
      <c r="A455" s="146" t="s">
        <v>243</v>
      </c>
      <c r="B455" s="147" t="s">
        <v>244</v>
      </c>
      <c r="C455" s="163">
        <f>C454</f>
        <v>128000</v>
      </c>
      <c r="D455" s="163"/>
      <c r="E455" s="164"/>
      <c r="F455" s="149">
        <f>C455/1000</f>
        <v>128</v>
      </c>
    </row>
    <row r="456" spans="1:8" ht="30" customHeight="1" thickBot="1">
      <c r="A456" s="1760" t="s">
        <v>108</v>
      </c>
      <c r="B456" s="1761"/>
      <c r="C456" s="1761"/>
      <c r="D456" s="1761"/>
      <c r="E456" s="1761"/>
      <c r="F456" s="52">
        <f>F455</f>
        <v>128</v>
      </c>
    </row>
    <row r="457" spans="1:8" ht="30" customHeight="1" thickBot="1">
      <c r="A457" s="1781"/>
      <c r="B457" s="1781"/>
      <c r="C457" s="1781"/>
      <c r="D457" s="1781"/>
      <c r="E457" s="1781"/>
      <c r="F457" s="1781"/>
    </row>
    <row r="458" spans="1:8" ht="30" customHeight="1">
      <c r="A458" s="1776" t="s">
        <v>249</v>
      </c>
      <c r="B458" s="1777"/>
      <c r="C458" s="1777"/>
      <c r="D458" s="1777"/>
      <c r="E458" s="1777"/>
      <c r="F458" s="1778"/>
    </row>
    <row r="459" spans="1:8" ht="51" customHeight="1">
      <c r="A459" s="137" t="s">
        <v>250</v>
      </c>
      <c r="B459" s="105" t="s">
        <v>251</v>
      </c>
      <c r="C459" s="106"/>
      <c r="D459" s="106">
        <v>120000</v>
      </c>
      <c r="E459" s="107"/>
      <c r="F459" s="57"/>
    </row>
    <row r="460" spans="1:8" ht="24.95" customHeight="1">
      <c r="A460" s="53" t="s">
        <v>74</v>
      </c>
      <c r="B460" s="54" t="s">
        <v>164</v>
      </c>
      <c r="C460" s="138"/>
      <c r="D460" s="56">
        <f>D459</f>
        <v>120000</v>
      </c>
      <c r="E460" s="56">
        <f>D460/1000</f>
        <v>120</v>
      </c>
      <c r="F460" s="57"/>
    </row>
    <row r="461" spans="1:8" ht="24.95" customHeight="1">
      <c r="A461" s="110" t="s">
        <v>76</v>
      </c>
      <c r="B461" s="111" t="s">
        <v>145</v>
      </c>
      <c r="C461" s="60"/>
      <c r="D461" s="60">
        <f>D460</f>
        <v>120000</v>
      </c>
      <c r="E461" s="61"/>
      <c r="F461" s="66">
        <f>D461/1000</f>
        <v>120</v>
      </c>
    </row>
    <row r="462" spans="1:8" ht="24.95" customHeight="1" thickBot="1">
      <c r="A462" s="1755" t="s">
        <v>90</v>
      </c>
      <c r="B462" s="1756"/>
      <c r="C462" s="1756"/>
      <c r="D462" s="1756"/>
      <c r="E462" s="1756"/>
      <c r="F462" s="67">
        <f>F461</f>
        <v>120</v>
      </c>
    </row>
    <row r="463" spans="1:8" ht="24.95" customHeight="1" thickBot="1">
      <c r="A463" s="68"/>
      <c r="B463" s="68"/>
      <c r="C463" s="68"/>
      <c r="D463" s="68"/>
      <c r="E463" s="68"/>
      <c r="F463" s="69"/>
    </row>
    <row r="464" spans="1:8" ht="30" customHeight="1">
      <c r="A464" s="1757" t="s">
        <v>252</v>
      </c>
      <c r="B464" s="1758"/>
      <c r="C464" s="1758"/>
      <c r="D464" s="1758"/>
      <c r="E464" s="1758"/>
      <c r="F464" s="1759"/>
    </row>
    <row r="465" spans="1:6" ht="51.6" customHeight="1">
      <c r="A465" s="15" t="s">
        <v>253</v>
      </c>
      <c r="B465" s="20" t="s">
        <v>594</v>
      </c>
      <c r="C465" s="17">
        <v>150000</v>
      </c>
      <c r="D465" s="17"/>
      <c r="E465" s="18"/>
      <c r="F465" s="19"/>
    </row>
    <row r="466" spans="1:6" ht="24.95" customHeight="1">
      <c r="A466" s="22" t="s">
        <v>247</v>
      </c>
      <c r="B466" s="162" t="s">
        <v>248</v>
      </c>
      <c r="C466" s="24">
        <f>SUM(C465:C465)</f>
        <v>150000</v>
      </c>
      <c r="D466" s="24"/>
      <c r="E466" s="25">
        <f>C466/1000</f>
        <v>150</v>
      </c>
      <c r="F466" s="19"/>
    </row>
    <row r="467" spans="1:6" ht="24.95" customHeight="1" thickBot="1">
      <c r="A467" s="146" t="s">
        <v>243</v>
      </c>
      <c r="B467" s="147" t="s">
        <v>244</v>
      </c>
      <c r="C467" s="163">
        <f>C466</f>
        <v>150000</v>
      </c>
      <c r="D467" s="163"/>
      <c r="E467" s="164"/>
      <c r="F467" s="149">
        <f>C467/1000</f>
        <v>150</v>
      </c>
    </row>
    <row r="468" spans="1:6" ht="24.95" customHeight="1" thickBot="1">
      <c r="A468" s="1760" t="s">
        <v>108</v>
      </c>
      <c r="B468" s="1761"/>
      <c r="C468" s="1761"/>
      <c r="D468" s="1761"/>
      <c r="E468" s="1761"/>
      <c r="F468" s="52">
        <f>F467</f>
        <v>150</v>
      </c>
    </row>
    <row r="469" spans="1:6" ht="24.95" customHeight="1" thickBot="1">
      <c r="A469" s="68"/>
      <c r="B469" s="68"/>
      <c r="C469" s="68"/>
      <c r="D469" s="68"/>
      <c r="E469" s="68"/>
      <c r="F469" s="69"/>
    </row>
    <row r="470" spans="1:6" ht="30" customHeight="1">
      <c r="A470" s="1757" t="s">
        <v>254</v>
      </c>
      <c r="B470" s="1758"/>
      <c r="C470" s="1758"/>
      <c r="D470" s="1758"/>
      <c r="E470" s="1758"/>
      <c r="F470" s="1759"/>
    </row>
    <row r="471" spans="1:6" ht="70.900000000000006" customHeight="1">
      <c r="A471" s="4" t="s">
        <v>7</v>
      </c>
      <c r="B471" s="5" t="s">
        <v>592</v>
      </c>
      <c r="C471" s="6">
        <v>889000</v>
      </c>
      <c r="D471" s="7"/>
      <c r="E471" s="7"/>
      <c r="F471" s="8"/>
    </row>
    <row r="472" spans="1:6" ht="39.950000000000003" customHeight="1">
      <c r="A472" s="4" t="s">
        <v>11</v>
      </c>
      <c r="B472" s="5" t="s">
        <v>12</v>
      </c>
      <c r="C472" s="6">
        <v>50000</v>
      </c>
      <c r="D472" s="7"/>
      <c r="E472" s="7"/>
      <c r="F472" s="8"/>
    </row>
    <row r="473" spans="1:6" ht="24.95" customHeight="1">
      <c r="A473" s="9" t="s">
        <v>14</v>
      </c>
      <c r="B473" s="10" t="s">
        <v>15</v>
      </c>
      <c r="C473" s="11">
        <f>SUM(C471:C472)</f>
        <v>939000</v>
      </c>
      <c r="D473" s="12"/>
      <c r="E473" s="13">
        <f>C473/1000</f>
        <v>939</v>
      </c>
      <c r="F473" s="14"/>
    </row>
    <row r="474" spans="1:6" ht="24.95" customHeight="1">
      <c r="A474" s="27" t="s">
        <v>22</v>
      </c>
      <c r="B474" s="28" t="s">
        <v>23</v>
      </c>
      <c r="C474" s="29">
        <f>C473+C470</f>
        <v>939000</v>
      </c>
      <c r="D474" s="29"/>
      <c r="E474" s="30"/>
      <c r="F474" s="31">
        <f>C474/1000</f>
        <v>939</v>
      </c>
    </row>
    <row r="475" spans="1:6" ht="39.950000000000003" customHeight="1">
      <c r="A475" s="15" t="s">
        <v>24</v>
      </c>
      <c r="B475" s="16" t="s">
        <v>593</v>
      </c>
      <c r="C475" s="17">
        <v>174000</v>
      </c>
      <c r="D475" s="17"/>
      <c r="E475" s="18"/>
      <c r="F475" s="19"/>
    </row>
    <row r="476" spans="1:6" ht="30" customHeight="1">
      <c r="A476" s="22" t="s">
        <v>29</v>
      </c>
      <c r="B476" s="23" t="s">
        <v>30</v>
      </c>
      <c r="C476" s="24">
        <f>SUM(C475:C475)</f>
        <v>174000</v>
      </c>
      <c r="D476" s="24"/>
      <c r="E476" s="25">
        <f>C476/1000</f>
        <v>174</v>
      </c>
      <c r="F476" s="19"/>
    </row>
    <row r="477" spans="1:6" ht="30" customHeight="1">
      <c r="A477" s="27" t="s">
        <v>29</v>
      </c>
      <c r="B477" s="33" t="s">
        <v>30</v>
      </c>
      <c r="C477" s="29">
        <f>C476</f>
        <v>174000</v>
      </c>
      <c r="D477" s="29"/>
      <c r="E477" s="30"/>
      <c r="F477" s="34">
        <f>C477/1000</f>
        <v>174</v>
      </c>
    </row>
    <row r="478" spans="1:6" ht="30" customHeight="1">
      <c r="A478" s="15" t="s">
        <v>55</v>
      </c>
      <c r="B478" s="20" t="s">
        <v>591</v>
      </c>
      <c r="C478" s="17">
        <v>0</v>
      </c>
      <c r="D478" s="17"/>
      <c r="E478" s="18"/>
      <c r="F478" s="19"/>
    </row>
    <row r="479" spans="1:6" ht="30" customHeight="1">
      <c r="A479" s="22" t="s">
        <v>56</v>
      </c>
      <c r="B479" s="162" t="s">
        <v>57</v>
      </c>
      <c r="C479" s="24">
        <f>SUM(C478:C478)</f>
        <v>0</v>
      </c>
      <c r="D479" s="24"/>
      <c r="E479" s="25">
        <f>C479/1000</f>
        <v>0</v>
      </c>
      <c r="F479" s="19"/>
    </row>
    <row r="480" spans="1:6" ht="30" customHeight="1" thickBot="1">
      <c r="A480" s="146" t="s">
        <v>58</v>
      </c>
      <c r="B480" s="147" t="s">
        <v>59</v>
      </c>
      <c r="C480" s="163">
        <f>C479</f>
        <v>0</v>
      </c>
      <c r="D480" s="163"/>
      <c r="E480" s="164"/>
      <c r="F480" s="149">
        <f>C480/1000</f>
        <v>0</v>
      </c>
    </row>
    <row r="481" spans="1:6" ht="30" customHeight="1" thickBot="1">
      <c r="A481" s="1760" t="s">
        <v>108</v>
      </c>
      <c r="B481" s="1761"/>
      <c r="C481" s="1761"/>
      <c r="D481" s="1761"/>
      <c r="E481" s="1761"/>
      <c r="F481" s="52">
        <f>F480+F474+F477</f>
        <v>1113</v>
      </c>
    </row>
    <row r="482" spans="1:6" ht="24.95" customHeight="1" thickBot="1">
      <c r="A482" s="68"/>
      <c r="B482" s="68"/>
      <c r="C482" s="68"/>
      <c r="D482" s="68"/>
      <c r="E482" s="68"/>
      <c r="F482" s="69"/>
    </row>
    <row r="483" spans="1:6" ht="30" customHeight="1">
      <c r="A483" s="1757" t="s">
        <v>255</v>
      </c>
      <c r="B483" s="1758"/>
      <c r="C483" s="1758"/>
      <c r="D483" s="1758"/>
      <c r="E483" s="1758"/>
      <c r="F483" s="1759"/>
    </row>
    <row r="484" spans="1:6" ht="39.950000000000003" customHeight="1">
      <c r="A484" s="15" t="s">
        <v>25</v>
      </c>
      <c r="B484" s="16" t="s">
        <v>256</v>
      </c>
      <c r="C484" s="18">
        <v>1000</v>
      </c>
      <c r="D484" s="165"/>
      <c r="E484" s="18"/>
      <c r="F484" s="19"/>
    </row>
    <row r="485" spans="1:6" ht="39.950000000000003" customHeight="1">
      <c r="A485" s="15" t="s">
        <v>27</v>
      </c>
      <c r="B485" s="16" t="s">
        <v>257</v>
      </c>
      <c r="C485" s="18">
        <v>1000</v>
      </c>
      <c r="D485" s="165"/>
      <c r="E485" s="18"/>
      <c r="F485" s="19"/>
    </row>
    <row r="486" spans="1:6" ht="30" customHeight="1">
      <c r="A486" s="22" t="s">
        <v>29</v>
      </c>
      <c r="B486" s="23" t="s">
        <v>30</v>
      </c>
      <c r="C486" s="24">
        <f>SUM(C484:C485)</f>
        <v>2000</v>
      </c>
      <c r="D486" s="24"/>
      <c r="E486" s="25">
        <f>C486/1000</f>
        <v>2</v>
      </c>
      <c r="F486" s="19"/>
    </row>
    <row r="487" spans="1:6" ht="30" customHeight="1">
      <c r="A487" s="47" t="s">
        <v>29</v>
      </c>
      <c r="B487" s="28" t="s">
        <v>258</v>
      </c>
      <c r="C487" s="49">
        <f>C486</f>
        <v>2000</v>
      </c>
      <c r="D487" s="166"/>
      <c r="E487" s="49"/>
      <c r="F487" s="50">
        <f>C487/1000</f>
        <v>2</v>
      </c>
    </row>
    <row r="488" spans="1:6" ht="30" customHeight="1">
      <c r="A488" s="15" t="s">
        <v>55</v>
      </c>
      <c r="B488" s="20" t="s">
        <v>591</v>
      </c>
      <c r="C488" s="17">
        <v>0</v>
      </c>
      <c r="D488" s="17"/>
      <c r="E488" s="18"/>
      <c r="F488" s="19"/>
    </row>
    <row r="489" spans="1:6" ht="30" customHeight="1">
      <c r="A489" s="22" t="s">
        <v>56</v>
      </c>
      <c r="B489" s="162" t="s">
        <v>57</v>
      </c>
      <c r="C489" s="24">
        <f>SUM(C488:C488)</f>
        <v>0</v>
      </c>
      <c r="D489" s="24"/>
      <c r="E489" s="25">
        <f>C489/1000</f>
        <v>0</v>
      </c>
      <c r="F489" s="19"/>
    </row>
    <row r="490" spans="1:6" ht="30" customHeight="1" thickBot="1">
      <c r="A490" s="146" t="s">
        <v>58</v>
      </c>
      <c r="B490" s="147" t="s">
        <v>59</v>
      </c>
      <c r="C490" s="163">
        <f>C489</f>
        <v>0</v>
      </c>
      <c r="D490" s="163"/>
      <c r="E490" s="164"/>
      <c r="F490" s="149">
        <f>C490/1000</f>
        <v>0</v>
      </c>
    </row>
    <row r="491" spans="1:6" ht="30" customHeight="1" thickBot="1">
      <c r="A491" s="1760" t="s">
        <v>108</v>
      </c>
      <c r="B491" s="1761"/>
      <c r="C491" s="1761"/>
      <c r="D491" s="1761"/>
      <c r="E491" s="1761"/>
      <c r="F491" s="52">
        <f>F490+F487</f>
        <v>2</v>
      </c>
    </row>
    <row r="492" spans="1:6" ht="24.95" customHeight="1" thickBot="1">
      <c r="A492" s="68"/>
      <c r="B492" s="68"/>
      <c r="C492" s="68"/>
      <c r="D492" s="68"/>
      <c r="E492" s="68"/>
      <c r="F492" s="69"/>
    </row>
    <row r="493" spans="1:6" ht="30" customHeight="1">
      <c r="A493" s="1757" t="s">
        <v>259</v>
      </c>
      <c r="B493" s="1758"/>
      <c r="C493" s="1758"/>
      <c r="D493" s="1758"/>
      <c r="E493" s="1758"/>
      <c r="F493" s="1759"/>
    </row>
    <row r="494" spans="1:6" ht="58.15" customHeight="1">
      <c r="A494" s="15" t="s">
        <v>260</v>
      </c>
      <c r="B494" s="20" t="s">
        <v>261</v>
      </c>
      <c r="C494" s="17">
        <v>428000</v>
      </c>
      <c r="D494" s="17"/>
      <c r="E494" s="18"/>
      <c r="F494" s="19"/>
    </row>
    <row r="495" spans="1:6" ht="91.9" customHeight="1">
      <c r="A495" s="15" t="s">
        <v>262</v>
      </c>
      <c r="B495" s="20" t="s">
        <v>589</v>
      </c>
      <c r="C495" s="17">
        <v>830000</v>
      </c>
      <c r="D495" s="17"/>
      <c r="E495" s="18"/>
      <c r="F495" s="19"/>
    </row>
    <row r="496" spans="1:6" ht="54" customHeight="1">
      <c r="A496" s="15" t="s">
        <v>263</v>
      </c>
      <c r="B496" s="20" t="s">
        <v>590</v>
      </c>
      <c r="C496" s="17">
        <v>742000</v>
      </c>
      <c r="D496" s="17"/>
      <c r="E496" s="18"/>
      <c r="F496" s="19"/>
    </row>
    <row r="497" spans="1:6" ht="30" customHeight="1">
      <c r="A497" s="42" t="s">
        <v>247</v>
      </c>
      <c r="B497" s="167" t="s">
        <v>264</v>
      </c>
      <c r="C497" s="98">
        <f>SUM(C494:C496)</f>
        <v>2000000</v>
      </c>
      <c r="D497" s="98"/>
      <c r="E497" s="99">
        <f>C497/1000</f>
        <v>2000</v>
      </c>
      <c r="F497" s="45"/>
    </row>
    <row r="498" spans="1:6" ht="30" customHeight="1" thickBot="1">
      <c r="A498" s="146" t="s">
        <v>243</v>
      </c>
      <c r="B498" s="147" t="s">
        <v>244</v>
      </c>
      <c r="C498" s="163">
        <f>C497</f>
        <v>2000000</v>
      </c>
      <c r="D498" s="163"/>
      <c r="E498" s="164"/>
      <c r="F498" s="149">
        <f>C498/1000</f>
        <v>2000</v>
      </c>
    </row>
    <row r="499" spans="1:6" ht="30" customHeight="1" thickBot="1">
      <c r="A499" s="1760" t="s">
        <v>108</v>
      </c>
      <c r="B499" s="1761"/>
      <c r="C499" s="1761"/>
      <c r="D499" s="1761"/>
      <c r="E499" s="1761"/>
      <c r="F499" s="52">
        <f>F498</f>
        <v>2000</v>
      </c>
    </row>
    <row r="500" spans="1:6" ht="24.95" customHeight="1" thickBot="1">
      <c r="A500" s="68"/>
      <c r="B500" s="68"/>
      <c r="C500" s="68"/>
      <c r="D500" s="68"/>
      <c r="E500" s="68"/>
      <c r="F500" s="69"/>
    </row>
    <row r="501" spans="1:6" ht="30" customHeight="1">
      <c r="A501" s="1776" t="s">
        <v>265</v>
      </c>
      <c r="B501" s="1777"/>
      <c r="C501" s="1777"/>
      <c r="D501" s="1777"/>
      <c r="E501" s="1777"/>
      <c r="F501" s="1778"/>
    </row>
    <row r="502" spans="1:6" ht="30" customHeight="1">
      <c r="A502" s="137" t="s">
        <v>266</v>
      </c>
      <c r="B502" s="168" t="s">
        <v>267</v>
      </c>
      <c r="C502" s="106"/>
      <c r="D502" s="106">
        <v>30000</v>
      </c>
      <c r="E502" s="107"/>
      <c r="F502" s="57"/>
    </row>
    <row r="503" spans="1:6" ht="30" customHeight="1">
      <c r="A503" s="53" t="s">
        <v>268</v>
      </c>
      <c r="B503" s="169" t="s">
        <v>269</v>
      </c>
      <c r="C503" s="55"/>
      <c r="D503" s="55">
        <f>D502</f>
        <v>30000</v>
      </c>
      <c r="E503" s="64">
        <f>D503/1000</f>
        <v>30</v>
      </c>
      <c r="F503" s="57"/>
    </row>
    <row r="504" spans="1:6" ht="59.45" customHeight="1">
      <c r="A504" s="137" t="s">
        <v>270</v>
      </c>
      <c r="B504" s="168" t="s">
        <v>584</v>
      </c>
      <c r="C504" s="106"/>
      <c r="D504" s="106">
        <v>6941000</v>
      </c>
      <c r="E504" s="107"/>
      <c r="F504" s="57"/>
    </row>
    <row r="505" spans="1:6" ht="30" customHeight="1">
      <c r="A505" s="53" t="s">
        <v>271</v>
      </c>
      <c r="B505" s="169" t="s">
        <v>272</v>
      </c>
      <c r="C505" s="55"/>
      <c r="D505" s="55">
        <f>D504</f>
        <v>6941000</v>
      </c>
      <c r="E505" s="64">
        <f>D505/1000</f>
        <v>6941</v>
      </c>
      <c r="F505" s="57"/>
    </row>
    <row r="506" spans="1:6" ht="58.9" customHeight="1">
      <c r="A506" s="137" t="s">
        <v>273</v>
      </c>
      <c r="B506" s="168" t="s">
        <v>585</v>
      </c>
      <c r="C506" s="106"/>
      <c r="D506" s="106">
        <v>55713000</v>
      </c>
      <c r="E506" s="107"/>
      <c r="F506" s="57"/>
    </row>
    <row r="507" spans="1:6" ht="58.15" customHeight="1">
      <c r="A507" s="137" t="s">
        <v>274</v>
      </c>
      <c r="B507" s="168" t="s">
        <v>586</v>
      </c>
      <c r="C507" s="106"/>
      <c r="D507" s="106">
        <v>9302000</v>
      </c>
      <c r="E507" s="107"/>
      <c r="F507" s="57"/>
    </row>
    <row r="508" spans="1:6" ht="67.900000000000006" customHeight="1">
      <c r="A508" s="137" t="s">
        <v>275</v>
      </c>
      <c r="B508" s="168" t="s">
        <v>588</v>
      </c>
      <c r="C508" s="106"/>
      <c r="D508" s="106">
        <v>167000</v>
      </c>
      <c r="E508" s="107"/>
      <c r="F508" s="57"/>
    </row>
    <row r="509" spans="1:6" ht="30" customHeight="1">
      <c r="A509" s="53" t="s">
        <v>276</v>
      </c>
      <c r="B509" s="169" t="s">
        <v>277</v>
      </c>
      <c r="C509" s="55"/>
      <c r="D509" s="55">
        <f>SUM(D506:D508)</f>
        <v>65182000</v>
      </c>
      <c r="E509" s="64">
        <f>D509/1000</f>
        <v>65182</v>
      </c>
      <c r="F509" s="57"/>
    </row>
    <row r="510" spans="1:6" ht="84.6" customHeight="1">
      <c r="A510" s="137" t="s">
        <v>278</v>
      </c>
      <c r="B510" s="168" t="s">
        <v>587</v>
      </c>
      <c r="C510" s="106"/>
      <c r="D510" s="106">
        <v>692000</v>
      </c>
      <c r="E510" s="107"/>
      <c r="F510" s="57"/>
    </row>
    <row r="511" spans="1:6" ht="30" customHeight="1">
      <c r="A511" s="53" t="s">
        <v>279</v>
      </c>
      <c r="B511" s="169" t="s">
        <v>280</v>
      </c>
      <c r="C511" s="55"/>
      <c r="D511" s="55">
        <f>D510</f>
        <v>692000</v>
      </c>
      <c r="E511" s="64">
        <f>D511/1000</f>
        <v>692</v>
      </c>
      <c r="F511" s="108"/>
    </row>
    <row r="512" spans="1:6" ht="30" customHeight="1">
      <c r="A512" s="58" t="s">
        <v>281</v>
      </c>
      <c r="B512" s="170" t="s">
        <v>282</v>
      </c>
      <c r="C512" s="76"/>
      <c r="D512" s="76">
        <f>D503+D505+D509+D511</f>
        <v>72845000</v>
      </c>
      <c r="E512" s="111"/>
      <c r="F512" s="66">
        <f>D512/1000</f>
        <v>72845</v>
      </c>
    </row>
    <row r="513" spans="1:6" ht="30" customHeight="1" thickBot="1">
      <c r="A513" s="1755" t="s">
        <v>90</v>
      </c>
      <c r="B513" s="1756"/>
      <c r="C513" s="1756"/>
      <c r="D513" s="1756"/>
      <c r="E513" s="1756"/>
      <c r="F513" s="67">
        <f>F512</f>
        <v>72845</v>
      </c>
    </row>
    <row r="514" spans="1:6" ht="24.95" customHeight="1" thickBot="1">
      <c r="A514" s="68"/>
      <c r="B514" s="68"/>
      <c r="C514" s="68"/>
      <c r="D514" s="68"/>
      <c r="E514" s="68"/>
      <c r="F514" s="69"/>
    </row>
    <row r="515" spans="1:6" ht="24.95" customHeight="1" thickBot="1">
      <c r="A515" s="1781"/>
      <c r="B515" s="1781"/>
      <c r="C515" s="1781"/>
      <c r="D515" s="1781"/>
      <c r="E515" s="1781"/>
      <c r="F515" s="1781"/>
    </row>
    <row r="516" spans="1:6" ht="24.95" customHeight="1">
      <c r="A516" s="1060"/>
      <c r="B516" s="1061"/>
      <c r="C516" s="1062"/>
      <c r="D516" s="1062"/>
      <c r="E516" s="1063"/>
      <c r="F516" s="1064"/>
    </row>
    <row r="517" spans="1:6" ht="24.95" customHeight="1">
      <c r="A517" s="1065"/>
      <c r="B517" s="1066" t="s">
        <v>283</v>
      </c>
      <c r="C517" s="1067">
        <f>F45+F83+F116+F142+F148+F171+F189+F203+F220+F226+F234+F243+F270+F299+F311+F322+F328+F345+F366+F376+F382+F396+F425+F433+F439+F445+F450+F456+F468+F481+F491+F499</f>
        <v>370768.58400000003</v>
      </c>
      <c r="D517" s="1067"/>
      <c r="E517" s="1068"/>
      <c r="F517" s="1069"/>
    </row>
    <row r="518" spans="1:6" ht="24.95" customHeight="1">
      <c r="A518" s="1065"/>
      <c r="B518" s="1066" t="s">
        <v>284</v>
      </c>
      <c r="C518" s="1067">
        <f>F55+F87+F124+F156+F162+F195+F274+F349+F370+F462+F513</f>
        <v>370768.58400000003</v>
      </c>
      <c r="D518" s="1067"/>
      <c r="E518" s="1068"/>
      <c r="F518" s="1069"/>
    </row>
    <row r="519" spans="1:6" ht="24.95" customHeight="1" thickBot="1">
      <c r="A519" s="1070"/>
      <c r="B519" s="1071" t="s">
        <v>673</v>
      </c>
      <c r="C519" s="1072">
        <f>C517-C518</f>
        <v>0</v>
      </c>
      <c r="D519" s="1072"/>
      <c r="E519" s="1073"/>
      <c r="F519" s="1074"/>
    </row>
  </sheetData>
  <sheetProtection password="DCF7" sheet="1" objects="1" scenarios="1" selectLockedCells="1" selectUnlockedCells="1"/>
  <mergeCells count="87">
    <mergeCell ref="A441:F441"/>
    <mergeCell ref="A445:E445"/>
    <mergeCell ref="A447:F447"/>
    <mergeCell ref="A468:E468"/>
    <mergeCell ref="A451:F451"/>
    <mergeCell ref="A464:F464"/>
    <mergeCell ref="A450:E450"/>
    <mergeCell ref="A452:F452"/>
    <mergeCell ref="A456:E456"/>
    <mergeCell ref="A457:F457"/>
    <mergeCell ref="A458:F458"/>
    <mergeCell ref="A462:E462"/>
    <mergeCell ref="A501:F501"/>
    <mergeCell ref="A513:E513"/>
    <mergeCell ref="A515:F515"/>
    <mergeCell ref="A470:F470"/>
    <mergeCell ref="A481:E481"/>
    <mergeCell ref="A483:F483"/>
    <mergeCell ref="A491:E491"/>
    <mergeCell ref="A493:F493"/>
    <mergeCell ref="A499:E499"/>
    <mergeCell ref="A435:F435"/>
    <mergeCell ref="A439:E439"/>
    <mergeCell ref="A366:E366"/>
    <mergeCell ref="A370:E370"/>
    <mergeCell ref="A372:F372"/>
    <mergeCell ref="A376:E376"/>
    <mergeCell ref="A378:F378"/>
    <mergeCell ref="A382:E382"/>
    <mergeCell ref="A384:F384"/>
    <mergeCell ref="A396:E396"/>
    <mergeCell ref="A398:F398"/>
    <mergeCell ref="A433:E433"/>
    <mergeCell ref="A427:F427"/>
    <mergeCell ref="A425:E425"/>
    <mergeCell ref="A313:F313"/>
    <mergeCell ref="A322:E322"/>
    <mergeCell ref="A324:F324"/>
    <mergeCell ref="A328:E328"/>
    <mergeCell ref="A330:F330"/>
    <mergeCell ref="A274:E274"/>
    <mergeCell ref="A276:F276"/>
    <mergeCell ref="A299:E299"/>
    <mergeCell ref="A301:F301"/>
    <mergeCell ref="A311:E311"/>
    <mergeCell ref="A349:E349"/>
    <mergeCell ref="A351:F351"/>
    <mergeCell ref="A245:F245"/>
    <mergeCell ref="A195:E195"/>
    <mergeCell ref="A197:F197"/>
    <mergeCell ref="A203:E203"/>
    <mergeCell ref="A205:F205"/>
    <mergeCell ref="A220:E220"/>
    <mergeCell ref="A222:F222"/>
    <mergeCell ref="A226:E226"/>
    <mergeCell ref="A228:F228"/>
    <mergeCell ref="A234:E234"/>
    <mergeCell ref="A236:F236"/>
    <mergeCell ref="A243:E243"/>
    <mergeCell ref="A345:E345"/>
    <mergeCell ref="A270:E270"/>
    <mergeCell ref="A189:E189"/>
    <mergeCell ref="A126:F126"/>
    <mergeCell ref="A142:E142"/>
    <mergeCell ref="A144:F144"/>
    <mergeCell ref="A148:E148"/>
    <mergeCell ref="A156:E156"/>
    <mergeCell ref="A158:F158"/>
    <mergeCell ref="A162:E162"/>
    <mergeCell ref="A166:A167"/>
    <mergeCell ref="A171:E171"/>
    <mergeCell ref="A173:F173"/>
    <mergeCell ref="A87:E87"/>
    <mergeCell ref="A89:F89"/>
    <mergeCell ref="A116:E116"/>
    <mergeCell ref="A124:E124"/>
    <mergeCell ref="A1:F1"/>
    <mergeCell ref="A2:A3"/>
    <mergeCell ref="B2:B3"/>
    <mergeCell ref="C2:D2"/>
    <mergeCell ref="E2:E3"/>
    <mergeCell ref="F2:F3"/>
    <mergeCell ref="A4:F4"/>
    <mergeCell ref="A45:E45"/>
    <mergeCell ref="A55:E55"/>
    <mergeCell ref="A57:F57"/>
    <mergeCell ref="A83:E83"/>
  </mergeCells>
  <printOptions horizontalCentered="1" verticalCentered="1"/>
  <pageMargins left="0.70866141732283472" right="0.70866141732283472" top="0.44" bottom="0.35433070866141736" header="0.31496062992125984" footer="0.31496062992125984"/>
  <pageSetup paperSize="9" scale="53" fitToHeight="10" orientation="portrait" r:id="rId1"/>
  <headerFooter>
    <oddFooter>&amp;C&amp;P</oddFooter>
  </headerFooter>
  <rowBreaks count="22" manualBreakCount="22">
    <brk id="20" max="5" man="1"/>
    <brk id="45" max="5" man="1"/>
    <brk id="79" max="5" man="1"/>
    <brk id="116" max="5" man="1"/>
    <brk id="125" max="5" man="1"/>
    <brk id="142" max="5" man="1"/>
    <brk id="171" max="5" man="1"/>
    <brk id="195" max="5" man="1"/>
    <brk id="226" max="5" man="1"/>
    <brk id="244" max="5" man="1"/>
    <brk id="274" max="5" man="1"/>
    <brk id="299" max="5" man="1"/>
    <brk id="322" max="5" man="1"/>
    <brk id="349" max="5" man="1"/>
    <brk id="376" max="5" man="1"/>
    <brk id="411" max="5" man="1"/>
    <brk id="439" max="5" man="1"/>
    <brk id="450" max="5" man="1"/>
    <brk id="469" max="5" man="1"/>
    <brk id="481" max="5" man="1"/>
    <brk id="499" max="5" man="1"/>
    <brk id="519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F25"/>
  <sheetViews>
    <sheetView view="pageBreakPreview" zoomScaleNormal="100" zoomScaleSheetLayoutView="100" workbookViewId="0">
      <selection activeCell="Q16" sqref="Q16"/>
    </sheetView>
  </sheetViews>
  <sheetFormatPr defaultRowHeight="12.75"/>
  <cols>
    <col min="1" max="1" width="52" style="1432" customWidth="1"/>
    <col min="2" max="2" width="13.42578125" style="1431" customWidth="1"/>
    <col min="3" max="3" width="14" style="1431" customWidth="1"/>
    <col min="4" max="4" width="15.42578125" style="1431" customWidth="1"/>
    <col min="5" max="5" width="14.28515625" style="1431" customWidth="1"/>
    <col min="6" max="6" width="16.140625" style="1431" customWidth="1"/>
    <col min="7" max="8" width="11" style="1410" customWidth="1"/>
    <col min="9" max="9" width="11.85546875" style="1410" customWidth="1"/>
    <col min="10" max="256" width="9.140625" style="1410"/>
    <col min="257" max="257" width="52" style="1410" customWidth="1"/>
    <col min="258" max="258" width="13.42578125" style="1410" customWidth="1"/>
    <col min="259" max="259" width="14" style="1410" customWidth="1"/>
    <col min="260" max="260" width="15.42578125" style="1410" customWidth="1"/>
    <col min="261" max="261" width="14.28515625" style="1410" customWidth="1"/>
    <col min="262" max="262" width="16.140625" style="1410" customWidth="1"/>
    <col min="263" max="264" width="11" style="1410" customWidth="1"/>
    <col min="265" max="265" width="11.85546875" style="1410" customWidth="1"/>
    <col min="266" max="512" width="9.140625" style="1410"/>
    <col min="513" max="513" width="52" style="1410" customWidth="1"/>
    <col min="514" max="514" width="13.42578125" style="1410" customWidth="1"/>
    <col min="515" max="515" width="14" style="1410" customWidth="1"/>
    <col min="516" max="516" width="15.42578125" style="1410" customWidth="1"/>
    <col min="517" max="517" width="14.28515625" style="1410" customWidth="1"/>
    <col min="518" max="518" width="16.140625" style="1410" customWidth="1"/>
    <col min="519" max="520" width="11" style="1410" customWidth="1"/>
    <col min="521" max="521" width="11.85546875" style="1410" customWidth="1"/>
    <col min="522" max="768" width="9.140625" style="1410"/>
    <col min="769" max="769" width="52" style="1410" customWidth="1"/>
    <col min="770" max="770" width="13.42578125" style="1410" customWidth="1"/>
    <col min="771" max="771" width="14" style="1410" customWidth="1"/>
    <col min="772" max="772" width="15.42578125" style="1410" customWidth="1"/>
    <col min="773" max="773" width="14.28515625" style="1410" customWidth="1"/>
    <col min="774" max="774" width="16.140625" style="1410" customWidth="1"/>
    <col min="775" max="776" width="11" style="1410" customWidth="1"/>
    <col min="777" max="777" width="11.85546875" style="1410" customWidth="1"/>
    <col min="778" max="1024" width="9.140625" style="1410"/>
    <col min="1025" max="1025" width="52" style="1410" customWidth="1"/>
    <col min="1026" max="1026" width="13.42578125" style="1410" customWidth="1"/>
    <col min="1027" max="1027" width="14" style="1410" customWidth="1"/>
    <col min="1028" max="1028" width="15.42578125" style="1410" customWidth="1"/>
    <col min="1029" max="1029" width="14.28515625" style="1410" customWidth="1"/>
    <col min="1030" max="1030" width="16.140625" style="1410" customWidth="1"/>
    <col min="1031" max="1032" width="11" style="1410" customWidth="1"/>
    <col min="1033" max="1033" width="11.85546875" style="1410" customWidth="1"/>
    <col min="1034" max="1280" width="9.140625" style="1410"/>
    <col min="1281" max="1281" width="52" style="1410" customWidth="1"/>
    <col min="1282" max="1282" width="13.42578125" style="1410" customWidth="1"/>
    <col min="1283" max="1283" width="14" style="1410" customWidth="1"/>
    <col min="1284" max="1284" width="15.42578125" style="1410" customWidth="1"/>
    <col min="1285" max="1285" width="14.28515625" style="1410" customWidth="1"/>
    <col min="1286" max="1286" width="16.140625" style="1410" customWidth="1"/>
    <col min="1287" max="1288" width="11" style="1410" customWidth="1"/>
    <col min="1289" max="1289" width="11.85546875" style="1410" customWidth="1"/>
    <col min="1290" max="1536" width="9.140625" style="1410"/>
    <col min="1537" max="1537" width="52" style="1410" customWidth="1"/>
    <col min="1538" max="1538" width="13.42578125" style="1410" customWidth="1"/>
    <col min="1539" max="1539" width="14" style="1410" customWidth="1"/>
    <col min="1540" max="1540" width="15.42578125" style="1410" customWidth="1"/>
    <col min="1541" max="1541" width="14.28515625" style="1410" customWidth="1"/>
    <col min="1542" max="1542" width="16.140625" style="1410" customWidth="1"/>
    <col min="1543" max="1544" width="11" style="1410" customWidth="1"/>
    <col min="1545" max="1545" width="11.85546875" style="1410" customWidth="1"/>
    <col min="1546" max="1792" width="9.140625" style="1410"/>
    <col min="1793" max="1793" width="52" style="1410" customWidth="1"/>
    <col min="1794" max="1794" width="13.42578125" style="1410" customWidth="1"/>
    <col min="1795" max="1795" width="14" style="1410" customWidth="1"/>
    <col min="1796" max="1796" width="15.42578125" style="1410" customWidth="1"/>
    <col min="1797" max="1797" width="14.28515625" style="1410" customWidth="1"/>
    <col min="1798" max="1798" width="16.140625" style="1410" customWidth="1"/>
    <col min="1799" max="1800" width="11" style="1410" customWidth="1"/>
    <col min="1801" max="1801" width="11.85546875" style="1410" customWidth="1"/>
    <col min="1802" max="2048" width="9.140625" style="1410"/>
    <col min="2049" max="2049" width="52" style="1410" customWidth="1"/>
    <col min="2050" max="2050" width="13.42578125" style="1410" customWidth="1"/>
    <col min="2051" max="2051" width="14" style="1410" customWidth="1"/>
    <col min="2052" max="2052" width="15.42578125" style="1410" customWidth="1"/>
    <col min="2053" max="2053" width="14.28515625" style="1410" customWidth="1"/>
    <col min="2054" max="2054" width="16.140625" style="1410" customWidth="1"/>
    <col min="2055" max="2056" width="11" style="1410" customWidth="1"/>
    <col min="2057" max="2057" width="11.85546875" style="1410" customWidth="1"/>
    <col min="2058" max="2304" width="9.140625" style="1410"/>
    <col min="2305" max="2305" width="52" style="1410" customWidth="1"/>
    <col min="2306" max="2306" width="13.42578125" style="1410" customWidth="1"/>
    <col min="2307" max="2307" width="14" style="1410" customWidth="1"/>
    <col min="2308" max="2308" width="15.42578125" style="1410" customWidth="1"/>
    <col min="2309" max="2309" width="14.28515625" style="1410" customWidth="1"/>
    <col min="2310" max="2310" width="16.140625" style="1410" customWidth="1"/>
    <col min="2311" max="2312" width="11" style="1410" customWidth="1"/>
    <col min="2313" max="2313" width="11.85546875" style="1410" customWidth="1"/>
    <col min="2314" max="2560" width="9.140625" style="1410"/>
    <col min="2561" max="2561" width="52" style="1410" customWidth="1"/>
    <col min="2562" max="2562" width="13.42578125" style="1410" customWidth="1"/>
    <col min="2563" max="2563" width="14" style="1410" customWidth="1"/>
    <col min="2564" max="2564" width="15.42578125" style="1410" customWidth="1"/>
    <col min="2565" max="2565" width="14.28515625" style="1410" customWidth="1"/>
    <col min="2566" max="2566" width="16.140625" style="1410" customWidth="1"/>
    <col min="2567" max="2568" width="11" style="1410" customWidth="1"/>
    <col min="2569" max="2569" width="11.85546875" style="1410" customWidth="1"/>
    <col min="2570" max="2816" width="9.140625" style="1410"/>
    <col min="2817" max="2817" width="52" style="1410" customWidth="1"/>
    <col min="2818" max="2818" width="13.42578125" style="1410" customWidth="1"/>
    <col min="2819" max="2819" width="14" style="1410" customWidth="1"/>
    <col min="2820" max="2820" width="15.42578125" style="1410" customWidth="1"/>
    <col min="2821" max="2821" width="14.28515625" style="1410" customWidth="1"/>
    <col min="2822" max="2822" width="16.140625" style="1410" customWidth="1"/>
    <col min="2823" max="2824" width="11" style="1410" customWidth="1"/>
    <col min="2825" max="2825" width="11.85546875" style="1410" customWidth="1"/>
    <col min="2826" max="3072" width="9.140625" style="1410"/>
    <col min="3073" max="3073" width="52" style="1410" customWidth="1"/>
    <col min="3074" max="3074" width="13.42578125" style="1410" customWidth="1"/>
    <col min="3075" max="3075" width="14" style="1410" customWidth="1"/>
    <col min="3076" max="3076" width="15.42578125" style="1410" customWidth="1"/>
    <col min="3077" max="3077" width="14.28515625" style="1410" customWidth="1"/>
    <col min="3078" max="3078" width="16.140625" style="1410" customWidth="1"/>
    <col min="3079" max="3080" width="11" style="1410" customWidth="1"/>
    <col min="3081" max="3081" width="11.85546875" style="1410" customWidth="1"/>
    <col min="3082" max="3328" width="9.140625" style="1410"/>
    <col min="3329" max="3329" width="52" style="1410" customWidth="1"/>
    <col min="3330" max="3330" width="13.42578125" style="1410" customWidth="1"/>
    <col min="3331" max="3331" width="14" style="1410" customWidth="1"/>
    <col min="3332" max="3332" width="15.42578125" style="1410" customWidth="1"/>
    <col min="3333" max="3333" width="14.28515625" style="1410" customWidth="1"/>
    <col min="3334" max="3334" width="16.140625" style="1410" customWidth="1"/>
    <col min="3335" max="3336" width="11" style="1410" customWidth="1"/>
    <col min="3337" max="3337" width="11.85546875" style="1410" customWidth="1"/>
    <col min="3338" max="3584" width="9.140625" style="1410"/>
    <col min="3585" max="3585" width="52" style="1410" customWidth="1"/>
    <col min="3586" max="3586" width="13.42578125" style="1410" customWidth="1"/>
    <col min="3587" max="3587" width="14" style="1410" customWidth="1"/>
    <col min="3588" max="3588" width="15.42578125" style="1410" customWidth="1"/>
    <col min="3589" max="3589" width="14.28515625" style="1410" customWidth="1"/>
    <col min="3590" max="3590" width="16.140625" style="1410" customWidth="1"/>
    <col min="3591" max="3592" width="11" style="1410" customWidth="1"/>
    <col min="3593" max="3593" width="11.85546875" style="1410" customWidth="1"/>
    <col min="3594" max="3840" width="9.140625" style="1410"/>
    <col min="3841" max="3841" width="52" style="1410" customWidth="1"/>
    <col min="3842" max="3842" width="13.42578125" style="1410" customWidth="1"/>
    <col min="3843" max="3843" width="14" style="1410" customWidth="1"/>
    <col min="3844" max="3844" width="15.42578125" style="1410" customWidth="1"/>
    <col min="3845" max="3845" width="14.28515625" style="1410" customWidth="1"/>
    <col min="3846" max="3846" width="16.140625" style="1410" customWidth="1"/>
    <col min="3847" max="3848" width="11" style="1410" customWidth="1"/>
    <col min="3849" max="3849" width="11.85546875" style="1410" customWidth="1"/>
    <col min="3850" max="4096" width="9.140625" style="1410"/>
    <col min="4097" max="4097" width="52" style="1410" customWidth="1"/>
    <col min="4098" max="4098" width="13.42578125" style="1410" customWidth="1"/>
    <col min="4099" max="4099" width="14" style="1410" customWidth="1"/>
    <col min="4100" max="4100" width="15.42578125" style="1410" customWidth="1"/>
    <col min="4101" max="4101" width="14.28515625" style="1410" customWidth="1"/>
    <col min="4102" max="4102" width="16.140625" style="1410" customWidth="1"/>
    <col min="4103" max="4104" width="11" style="1410" customWidth="1"/>
    <col min="4105" max="4105" width="11.85546875" style="1410" customWidth="1"/>
    <col min="4106" max="4352" width="9.140625" style="1410"/>
    <col min="4353" max="4353" width="52" style="1410" customWidth="1"/>
    <col min="4354" max="4354" width="13.42578125" style="1410" customWidth="1"/>
    <col min="4355" max="4355" width="14" style="1410" customWidth="1"/>
    <col min="4356" max="4356" width="15.42578125" style="1410" customWidth="1"/>
    <col min="4357" max="4357" width="14.28515625" style="1410" customWidth="1"/>
    <col min="4358" max="4358" width="16.140625" style="1410" customWidth="1"/>
    <col min="4359" max="4360" width="11" style="1410" customWidth="1"/>
    <col min="4361" max="4361" width="11.85546875" style="1410" customWidth="1"/>
    <col min="4362" max="4608" width="9.140625" style="1410"/>
    <col min="4609" max="4609" width="52" style="1410" customWidth="1"/>
    <col min="4610" max="4610" width="13.42578125" style="1410" customWidth="1"/>
    <col min="4611" max="4611" width="14" style="1410" customWidth="1"/>
    <col min="4612" max="4612" width="15.42578125" style="1410" customWidth="1"/>
    <col min="4613" max="4613" width="14.28515625" style="1410" customWidth="1"/>
    <col min="4614" max="4614" width="16.140625" style="1410" customWidth="1"/>
    <col min="4615" max="4616" width="11" style="1410" customWidth="1"/>
    <col min="4617" max="4617" width="11.85546875" style="1410" customWidth="1"/>
    <col min="4618" max="4864" width="9.140625" style="1410"/>
    <col min="4865" max="4865" width="52" style="1410" customWidth="1"/>
    <col min="4866" max="4866" width="13.42578125" style="1410" customWidth="1"/>
    <col min="4867" max="4867" width="14" style="1410" customWidth="1"/>
    <col min="4868" max="4868" width="15.42578125" style="1410" customWidth="1"/>
    <col min="4869" max="4869" width="14.28515625" style="1410" customWidth="1"/>
    <col min="4870" max="4870" width="16.140625" style="1410" customWidth="1"/>
    <col min="4871" max="4872" width="11" style="1410" customWidth="1"/>
    <col min="4873" max="4873" width="11.85546875" style="1410" customWidth="1"/>
    <col min="4874" max="5120" width="9.140625" style="1410"/>
    <col min="5121" max="5121" width="52" style="1410" customWidth="1"/>
    <col min="5122" max="5122" width="13.42578125" style="1410" customWidth="1"/>
    <col min="5123" max="5123" width="14" style="1410" customWidth="1"/>
    <col min="5124" max="5124" width="15.42578125" style="1410" customWidth="1"/>
    <col min="5125" max="5125" width="14.28515625" style="1410" customWidth="1"/>
    <col min="5126" max="5126" width="16.140625" style="1410" customWidth="1"/>
    <col min="5127" max="5128" width="11" style="1410" customWidth="1"/>
    <col min="5129" max="5129" width="11.85546875" style="1410" customWidth="1"/>
    <col min="5130" max="5376" width="9.140625" style="1410"/>
    <col min="5377" max="5377" width="52" style="1410" customWidth="1"/>
    <col min="5378" max="5378" width="13.42578125" style="1410" customWidth="1"/>
    <col min="5379" max="5379" width="14" style="1410" customWidth="1"/>
    <col min="5380" max="5380" width="15.42578125" style="1410" customWidth="1"/>
    <col min="5381" max="5381" width="14.28515625" style="1410" customWidth="1"/>
    <col min="5382" max="5382" width="16.140625" style="1410" customWidth="1"/>
    <col min="5383" max="5384" width="11" style="1410" customWidth="1"/>
    <col min="5385" max="5385" width="11.85546875" style="1410" customWidth="1"/>
    <col min="5386" max="5632" width="9.140625" style="1410"/>
    <col min="5633" max="5633" width="52" style="1410" customWidth="1"/>
    <col min="5634" max="5634" width="13.42578125" style="1410" customWidth="1"/>
    <col min="5635" max="5635" width="14" style="1410" customWidth="1"/>
    <col min="5636" max="5636" width="15.42578125" style="1410" customWidth="1"/>
    <col min="5637" max="5637" width="14.28515625" style="1410" customWidth="1"/>
    <col min="5638" max="5638" width="16.140625" style="1410" customWidth="1"/>
    <col min="5639" max="5640" width="11" style="1410" customWidth="1"/>
    <col min="5641" max="5641" width="11.85546875" style="1410" customWidth="1"/>
    <col min="5642" max="5888" width="9.140625" style="1410"/>
    <col min="5889" max="5889" width="52" style="1410" customWidth="1"/>
    <col min="5890" max="5890" width="13.42578125" style="1410" customWidth="1"/>
    <col min="5891" max="5891" width="14" style="1410" customWidth="1"/>
    <col min="5892" max="5892" width="15.42578125" style="1410" customWidth="1"/>
    <col min="5893" max="5893" width="14.28515625" style="1410" customWidth="1"/>
    <col min="5894" max="5894" width="16.140625" style="1410" customWidth="1"/>
    <col min="5895" max="5896" width="11" style="1410" customWidth="1"/>
    <col min="5897" max="5897" width="11.85546875" style="1410" customWidth="1"/>
    <col min="5898" max="6144" width="9.140625" style="1410"/>
    <col min="6145" max="6145" width="52" style="1410" customWidth="1"/>
    <col min="6146" max="6146" width="13.42578125" style="1410" customWidth="1"/>
    <col min="6147" max="6147" width="14" style="1410" customWidth="1"/>
    <col min="6148" max="6148" width="15.42578125" style="1410" customWidth="1"/>
    <col min="6149" max="6149" width="14.28515625" style="1410" customWidth="1"/>
    <col min="6150" max="6150" width="16.140625" style="1410" customWidth="1"/>
    <col min="6151" max="6152" width="11" style="1410" customWidth="1"/>
    <col min="6153" max="6153" width="11.85546875" style="1410" customWidth="1"/>
    <col min="6154" max="6400" width="9.140625" style="1410"/>
    <col min="6401" max="6401" width="52" style="1410" customWidth="1"/>
    <col min="6402" max="6402" width="13.42578125" style="1410" customWidth="1"/>
    <col min="6403" max="6403" width="14" style="1410" customWidth="1"/>
    <col min="6404" max="6404" width="15.42578125" style="1410" customWidth="1"/>
    <col min="6405" max="6405" width="14.28515625" style="1410" customWidth="1"/>
    <col min="6406" max="6406" width="16.140625" style="1410" customWidth="1"/>
    <col min="6407" max="6408" width="11" style="1410" customWidth="1"/>
    <col min="6409" max="6409" width="11.85546875" style="1410" customWidth="1"/>
    <col min="6410" max="6656" width="9.140625" style="1410"/>
    <col min="6657" max="6657" width="52" style="1410" customWidth="1"/>
    <col min="6658" max="6658" width="13.42578125" style="1410" customWidth="1"/>
    <col min="6659" max="6659" width="14" style="1410" customWidth="1"/>
    <col min="6660" max="6660" width="15.42578125" style="1410" customWidth="1"/>
    <col min="6661" max="6661" width="14.28515625" style="1410" customWidth="1"/>
    <col min="6662" max="6662" width="16.140625" style="1410" customWidth="1"/>
    <col min="6663" max="6664" width="11" style="1410" customWidth="1"/>
    <col min="6665" max="6665" width="11.85546875" style="1410" customWidth="1"/>
    <col min="6666" max="6912" width="9.140625" style="1410"/>
    <col min="6913" max="6913" width="52" style="1410" customWidth="1"/>
    <col min="6914" max="6914" width="13.42578125" style="1410" customWidth="1"/>
    <col min="6915" max="6915" width="14" style="1410" customWidth="1"/>
    <col min="6916" max="6916" width="15.42578125" style="1410" customWidth="1"/>
    <col min="6917" max="6917" width="14.28515625" style="1410" customWidth="1"/>
    <col min="6918" max="6918" width="16.140625" style="1410" customWidth="1"/>
    <col min="6919" max="6920" width="11" style="1410" customWidth="1"/>
    <col min="6921" max="6921" width="11.85546875" style="1410" customWidth="1"/>
    <col min="6922" max="7168" width="9.140625" style="1410"/>
    <col min="7169" max="7169" width="52" style="1410" customWidth="1"/>
    <col min="7170" max="7170" width="13.42578125" style="1410" customWidth="1"/>
    <col min="7171" max="7171" width="14" style="1410" customWidth="1"/>
    <col min="7172" max="7172" width="15.42578125" style="1410" customWidth="1"/>
    <col min="7173" max="7173" width="14.28515625" style="1410" customWidth="1"/>
    <col min="7174" max="7174" width="16.140625" style="1410" customWidth="1"/>
    <col min="7175" max="7176" width="11" style="1410" customWidth="1"/>
    <col min="7177" max="7177" width="11.85546875" style="1410" customWidth="1"/>
    <col min="7178" max="7424" width="9.140625" style="1410"/>
    <col min="7425" max="7425" width="52" style="1410" customWidth="1"/>
    <col min="7426" max="7426" width="13.42578125" style="1410" customWidth="1"/>
    <col min="7427" max="7427" width="14" style="1410" customWidth="1"/>
    <col min="7428" max="7428" width="15.42578125" style="1410" customWidth="1"/>
    <col min="7429" max="7429" width="14.28515625" style="1410" customWidth="1"/>
    <col min="7430" max="7430" width="16.140625" style="1410" customWidth="1"/>
    <col min="7431" max="7432" width="11" style="1410" customWidth="1"/>
    <col min="7433" max="7433" width="11.85546875" style="1410" customWidth="1"/>
    <col min="7434" max="7680" width="9.140625" style="1410"/>
    <col min="7681" max="7681" width="52" style="1410" customWidth="1"/>
    <col min="7682" max="7682" width="13.42578125" style="1410" customWidth="1"/>
    <col min="7683" max="7683" width="14" style="1410" customWidth="1"/>
    <col min="7684" max="7684" width="15.42578125" style="1410" customWidth="1"/>
    <col min="7685" max="7685" width="14.28515625" style="1410" customWidth="1"/>
    <col min="7686" max="7686" width="16.140625" style="1410" customWidth="1"/>
    <col min="7687" max="7688" width="11" style="1410" customWidth="1"/>
    <col min="7689" max="7689" width="11.85546875" style="1410" customWidth="1"/>
    <col min="7690" max="7936" width="9.140625" style="1410"/>
    <col min="7937" max="7937" width="52" style="1410" customWidth="1"/>
    <col min="7938" max="7938" width="13.42578125" style="1410" customWidth="1"/>
    <col min="7939" max="7939" width="14" style="1410" customWidth="1"/>
    <col min="7940" max="7940" width="15.42578125" style="1410" customWidth="1"/>
    <col min="7941" max="7941" width="14.28515625" style="1410" customWidth="1"/>
    <col min="7942" max="7942" width="16.140625" style="1410" customWidth="1"/>
    <col min="7943" max="7944" width="11" style="1410" customWidth="1"/>
    <col min="7945" max="7945" width="11.85546875" style="1410" customWidth="1"/>
    <col min="7946" max="8192" width="9.140625" style="1410"/>
    <col min="8193" max="8193" width="52" style="1410" customWidth="1"/>
    <col min="8194" max="8194" width="13.42578125" style="1410" customWidth="1"/>
    <col min="8195" max="8195" width="14" style="1410" customWidth="1"/>
    <col min="8196" max="8196" width="15.42578125" style="1410" customWidth="1"/>
    <col min="8197" max="8197" width="14.28515625" style="1410" customWidth="1"/>
    <col min="8198" max="8198" width="16.140625" style="1410" customWidth="1"/>
    <col min="8199" max="8200" width="11" style="1410" customWidth="1"/>
    <col min="8201" max="8201" width="11.85546875" style="1410" customWidth="1"/>
    <col min="8202" max="8448" width="9.140625" style="1410"/>
    <col min="8449" max="8449" width="52" style="1410" customWidth="1"/>
    <col min="8450" max="8450" width="13.42578125" style="1410" customWidth="1"/>
    <col min="8451" max="8451" width="14" style="1410" customWidth="1"/>
    <col min="8452" max="8452" width="15.42578125" style="1410" customWidth="1"/>
    <col min="8453" max="8453" width="14.28515625" style="1410" customWidth="1"/>
    <col min="8454" max="8454" width="16.140625" style="1410" customWidth="1"/>
    <col min="8455" max="8456" width="11" style="1410" customWidth="1"/>
    <col min="8457" max="8457" width="11.85546875" style="1410" customWidth="1"/>
    <col min="8458" max="8704" width="9.140625" style="1410"/>
    <col min="8705" max="8705" width="52" style="1410" customWidth="1"/>
    <col min="8706" max="8706" width="13.42578125" style="1410" customWidth="1"/>
    <col min="8707" max="8707" width="14" style="1410" customWidth="1"/>
    <col min="8708" max="8708" width="15.42578125" style="1410" customWidth="1"/>
    <col min="8709" max="8709" width="14.28515625" style="1410" customWidth="1"/>
    <col min="8710" max="8710" width="16.140625" style="1410" customWidth="1"/>
    <col min="8711" max="8712" width="11" style="1410" customWidth="1"/>
    <col min="8713" max="8713" width="11.85546875" style="1410" customWidth="1"/>
    <col min="8714" max="8960" width="9.140625" style="1410"/>
    <col min="8961" max="8961" width="52" style="1410" customWidth="1"/>
    <col min="8962" max="8962" width="13.42578125" style="1410" customWidth="1"/>
    <col min="8963" max="8963" width="14" style="1410" customWidth="1"/>
    <col min="8964" max="8964" width="15.42578125" style="1410" customWidth="1"/>
    <col min="8965" max="8965" width="14.28515625" style="1410" customWidth="1"/>
    <col min="8966" max="8966" width="16.140625" style="1410" customWidth="1"/>
    <col min="8967" max="8968" width="11" style="1410" customWidth="1"/>
    <col min="8969" max="8969" width="11.85546875" style="1410" customWidth="1"/>
    <col min="8970" max="9216" width="9.140625" style="1410"/>
    <col min="9217" max="9217" width="52" style="1410" customWidth="1"/>
    <col min="9218" max="9218" width="13.42578125" style="1410" customWidth="1"/>
    <col min="9219" max="9219" width="14" style="1410" customWidth="1"/>
    <col min="9220" max="9220" width="15.42578125" style="1410" customWidth="1"/>
    <col min="9221" max="9221" width="14.28515625" style="1410" customWidth="1"/>
    <col min="9222" max="9222" width="16.140625" style="1410" customWidth="1"/>
    <col min="9223" max="9224" width="11" style="1410" customWidth="1"/>
    <col min="9225" max="9225" width="11.85546875" style="1410" customWidth="1"/>
    <col min="9226" max="9472" width="9.140625" style="1410"/>
    <col min="9473" max="9473" width="52" style="1410" customWidth="1"/>
    <col min="9474" max="9474" width="13.42578125" style="1410" customWidth="1"/>
    <col min="9475" max="9475" width="14" style="1410" customWidth="1"/>
    <col min="9476" max="9476" width="15.42578125" style="1410" customWidth="1"/>
    <col min="9477" max="9477" width="14.28515625" style="1410" customWidth="1"/>
    <col min="9478" max="9478" width="16.140625" style="1410" customWidth="1"/>
    <col min="9479" max="9480" width="11" style="1410" customWidth="1"/>
    <col min="9481" max="9481" width="11.85546875" style="1410" customWidth="1"/>
    <col min="9482" max="9728" width="9.140625" style="1410"/>
    <col min="9729" max="9729" width="52" style="1410" customWidth="1"/>
    <col min="9730" max="9730" width="13.42578125" style="1410" customWidth="1"/>
    <col min="9731" max="9731" width="14" style="1410" customWidth="1"/>
    <col min="9732" max="9732" width="15.42578125" style="1410" customWidth="1"/>
    <col min="9733" max="9733" width="14.28515625" style="1410" customWidth="1"/>
    <col min="9734" max="9734" width="16.140625" style="1410" customWidth="1"/>
    <col min="9735" max="9736" width="11" style="1410" customWidth="1"/>
    <col min="9737" max="9737" width="11.85546875" style="1410" customWidth="1"/>
    <col min="9738" max="9984" width="9.140625" style="1410"/>
    <col min="9985" max="9985" width="52" style="1410" customWidth="1"/>
    <col min="9986" max="9986" width="13.42578125" style="1410" customWidth="1"/>
    <col min="9987" max="9987" width="14" style="1410" customWidth="1"/>
    <col min="9988" max="9988" width="15.42578125" style="1410" customWidth="1"/>
    <col min="9989" max="9989" width="14.28515625" style="1410" customWidth="1"/>
    <col min="9990" max="9990" width="16.140625" style="1410" customWidth="1"/>
    <col min="9991" max="9992" width="11" style="1410" customWidth="1"/>
    <col min="9993" max="9993" width="11.85546875" style="1410" customWidth="1"/>
    <col min="9994" max="10240" width="9.140625" style="1410"/>
    <col min="10241" max="10241" width="52" style="1410" customWidth="1"/>
    <col min="10242" max="10242" width="13.42578125" style="1410" customWidth="1"/>
    <col min="10243" max="10243" width="14" style="1410" customWidth="1"/>
    <col min="10244" max="10244" width="15.42578125" style="1410" customWidth="1"/>
    <col min="10245" max="10245" width="14.28515625" style="1410" customWidth="1"/>
    <col min="10246" max="10246" width="16.140625" style="1410" customWidth="1"/>
    <col min="10247" max="10248" width="11" style="1410" customWidth="1"/>
    <col min="10249" max="10249" width="11.85546875" style="1410" customWidth="1"/>
    <col min="10250" max="10496" width="9.140625" style="1410"/>
    <col min="10497" max="10497" width="52" style="1410" customWidth="1"/>
    <col min="10498" max="10498" width="13.42578125" style="1410" customWidth="1"/>
    <col min="10499" max="10499" width="14" style="1410" customWidth="1"/>
    <col min="10500" max="10500" width="15.42578125" style="1410" customWidth="1"/>
    <col min="10501" max="10501" width="14.28515625" style="1410" customWidth="1"/>
    <col min="10502" max="10502" width="16.140625" style="1410" customWidth="1"/>
    <col min="10503" max="10504" width="11" style="1410" customWidth="1"/>
    <col min="10505" max="10505" width="11.85546875" style="1410" customWidth="1"/>
    <col min="10506" max="10752" width="9.140625" style="1410"/>
    <col min="10753" max="10753" width="52" style="1410" customWidth="1"/>
    <col min="10754" max="10754" width="13.42578125" style="1410" customWidth="1"/>
    <col min="10755" max="10755" width="14" style="1410" customWidth="1"/>
    <col min="10756" max="10756" width="15.42578125" style="1410" customWidth="1"/>
    <col min="10757" max="10757" width="14.28515625" style="1410" customWidth="1"/>
    <col min="10758" max="10758" width="16.140625" style="1410" customWidth="1"/>
    <col min="10759" max="10760" width="11" style="1410" customWidth="1"/>
    <col min="10761" max="10761" width="11.85546875" style="1410" customWidth="1"/>
    <col min="10762" max="11008" width="9.140625" style="1410"/>
    <col min="11009" max="11009" width="52" style="1410" customWidth="1"/>
    <col min="11010" max="11010" width="13.42578125" style="1410" customWidth="1"/>
    <col min="11011" max="11011" width="14" style="1410" customWidth="1"/>
    <col min="11012" max="11012" width="15.42578125" style="1410" customWidth="1"/>
    <col min="11013" max="11013" width="14.28515625" style="1410" customWidth="1"/>
    <col min="11014" max="11014" width="16.140625" style="1410" customWidth="1"/>
    <col min="11015" max="11016" width="11" style="1410" customWidth="1"/>
    <col min="11017" max="11017" width="11.85546875" style="1410" customWidth="1"/>
    <col min="11018" max="11264" width="9.140625" style="1410"/>
    <col min="11265" max="11265" width="52" style="1410" customWidth="1"/>
    <col min="11266" max="11266" width="13.42578125" style="1410" customWidth="1"/>
    <col min="11267" max="11267" width="14" style="1410" customWidth="1"/>
    <col min="11268" max="11268" width="15.42578125" style="1410" customWidth="1"/>
    <col min="11269" max="11269" width="14.28515625" style="1410" customWidth="1"/>
    <col min="11270" max="11270" width="16.140625" style="1410" customWidth="1"/>
    <col min="11271" max="11272" width="11" style="1410" customWidth="1"/>
    <col min="11273" max="11273" width="11.85546875" style="1410" customWidth="1"/>
    <col min="11274" max="11520" width="9.140625" style="1410"/>
    <col min="11521" max="11521" width="52" style="1410" customWidth="1"/>
    <col min="11522" max="11522" width="13.42578125" style="1410" customWidth="1"/>
    <col min="11523" max="11523" width="14" style="1410" customWidth="1"/>
    <col min="11524" max="11524" width="15.42578125" style="1410" customWidth="1"/>
    <col min="11525" max="11525" width="14.28515625" style="1410" customWidth="1"/>
    <col min="11526" max="11526" width="16.140625" style="1410" customWidth="1"/>
    <col min="11527" max="11528" width="11" style="1410" customWidth="1"/>
    <col min="11529" max="11529" width="11.85546875" style="1410" customWidth="1"/>
    <col min="11530" max="11776" width="9.140625" style="1410"/>
    <col min="11777" max="11777" width="52" style="1410" customWidth="1"/>
    <col min="11778" max="11778" width="13.42578125" style="1410" customWidth="1"/>
    <col min="11779" max="11779" width="14" style="1410" customWidth="1"/>
    <col min="11780" max="11780" width="15.42578125" style="1410" customWidth="1"/>
    <col min="11781" max="11781" width="14.28515625" style="1410" customWidth="1"/>
    <col min="11782" max="11782" width="16.140625" style="1410" customWidth="1"/>
    <col min="11783" max="11784" width="11" style="1410" customWidth="1"/>
    <col min="11785" max="11785" width="11.85546875" style="1410" customWidth="1"/>
    <col min="11786" max="12032" width="9.140625" style="1410"/>
    <col min="12033" max="12033" width="52" style="1410" customWidth="1"/>
    <col min="12034" max="12034" width="13.42578125" style="1410" customWidth="1"/>
    <col min="12035" max="12035" width="14" style="1410" customWidth="1"/>
    <col min="12036" max="12036" width="15.42578125" style="1410" customWidth="1"/>
    <col min="12037" max="12037" width="14.28515625" style="1410" customWidth="1"/>
    <col min="12038" max="12038" width="16.140625" style="1410" customWidth="1"/>
    <col min="12039" max="12040" width="11" style="1410" customWidth="1"/>
    <col min="12041" max="12041" width="11.85546875" style="1410" customWidth="1"/>
    <col min="12042" max="12288" width="9.140625" style="1410"/>
    <col min="12289" max="12289" width="52" style="1410" customWidth="1"/>
    <col min="12290" max="12290" width="13.42578125" style="1410" customWidth="1"/>
    <col min="12291" max="12291" width="14" style="1410" customWidth="1"/>
    <col min="12292" max="12292" width="15.42578125" style="1410" customWidth="1"/>
    <col min="12293" max="12293" width="14.28515625" style="1410" customWidth="1"/>
    <col min="12294" max="12294" width="16.140625" style="1410" customWidth="1"/>
    <col min="12295" max="12296" width="11" style="1410" customWidth="1"/>
    <col min="12297" max="12297" width="11.85546875" style="1410" customWidth="1"/>
    <col min="12298" max="12544" width="9.140625" style="1410"/>
    <col min="12545" max="12545" width="52" style="1410" customWidth="1"/>
    <col min="12546" max="12546" width="13.42578125" style="1410" customWidth="1"/>
    <col min="12547" max="12547" width="14" style="1410" customWidth="1"/>
    <col min="12548" max="12548" width="15.42578125" style="1410" customWidth="1"/>
    <col min="12549" max="12549" width="14.28515625" style="1410" customWidth="1"/>
    <col min="12550" max="12550" width="16.140625" style="1410" customWidth="1"/>
    <col min="12551" max="12552" width="11" style="1410" customWidth="1"/>
    <col min="12553" max="12553" width="11.85546875" style="1410" customWidth="1"/>
    <col min="12554" max="12800" width="9.140625" style="1410"/>
    <col min="12801" max="12801" width="52" style="1410" customWidth="1"/>
    <col min="12802" max="12802" width="13.42578125" style="1410" customWidth="1"/>
    <col min="12803" max="12803" width="14" style="1410" customWidth="1"/>
    <col min="12804" max="12804" width="15.42578125" style="1410" customWidth="1"/>
    <col min="12805" max="12805" width="14.28515625" style="1410" customWidth="1"/>
    <col min="12806" max="12806" width="16.140625" style="1410" customWidth="1"/>
    <col min="12807" max="12808" width="11" style="1410" customWidth="1"/>
    <col min="12809" max="12809" width="11.85546875" style="1410" customWidth="1"/>
    <col min="12810" max="13056" width="9.140625" style="1410"/>
    <col min="13057" max="13057" width="52" style="1410" customWidth="1"/>
    <col min="13058" max="13058" width="13.42578125" style="1410" customWidth="1"/>
    <col min="13059" max="13059" width="14" style="1410" customWidth="1"/>
    <col min="13060" max="13060" width="15.42578125" style="1410" customWidth="1"/>
    <col min="13061" max="13061" width="14.28515625" style="1410" customWidth="1"/>
    <col min="13062" max="13062" width="16.140625" style="1410" customWidth="1"/>
    <col min="13063" max="13064" width="11" style="1410" customWidth="1"/>
    <col min="13065" max="13065" width="11.85546875" style="1410" customWidth="1"/>
    <col min="13066" max="13312" width="9.140625" style="1410"/>
    <col min="13313" max="13313" width="52" style="1410" customWidth="1"/>
    <col min="13314" max="13314" width="13.42578125" style="1410" customWidth="1"/>
    <col min="13315" max="13315" width="14" style="1410" customWidth="1"/>
    <col min="13316" max="13316" width="15.42578125" style="1410" customWidth="1"/>
    <col min="13317" max="13317" width="14.28515625" style="1410" customWidth="1"/>
    <col min="13318" max="13318" width="16.140625" style="1410" customWidth="1"/>
    <col min="13319" max="13320" width="11" style="1410" customWidth="1"/>
    <col min="13321" max="13321" width="11.85546875" style="1410" customWidth="1"/>
    <col min="13322" max="13568" width="9.140625" style="1410"/>
    <col min="13569" max="13569" width="52" style="1410" customWidth="1"/>
    <col min="13570" max="13570" width="13.42578125" style="1410" customWidth="1"/>
    <col min="13571" max="13571" width="14" style="1410" customWidth="1"/>
    <col min="13572" max="13572" width="15.42578125" style="1410" customWidth="1"/>
    <col min="13573" max="13573" width="14.28515625" style="1410" customWidth="1"/>
    <col min="13574" max="13574" width="16.140625" style="1410" customWidth="1"/>
    <col min="13575" max="13576" width="11" style="1410" customWidth="1"/>
    <col min="13577" max="13577" width="11.85546875" style="1410" customWidth="1"/>
    <col min="13578" max="13824" width="9.140625" style="1410"/>
    <col min="13825" max="13825" width="52" style="1410" customWidth="1"/>
    <col min="13826" max="13826" width="13.42578125" style="1410" customWidth="1"/>
    <col min="13827" max="13827" width="14" style="1410" customWidth="1"/>
    <col min="13828" max="13828" width="15.42578125" style="1410" customWidth="1"/>
    <col min="13829" max="13829" width="14.28515625" style="1410" customWidth="1"/>
    <col min="13830" max="13830" width="16.140625" style="1410" customWidth="1"/>
    <col min="13831" max="13832" width="11" style="1410" customWidth="1"/>
    <col min="13833" max="13833" width="11.85546875" style="1410" customWidth="1"/>
    <col min="13834" max="14080" width="9.140625" style="1410"/>
    <col min="14081" max="14081" width="52" style="1410" customWidth="1"/>
    <col min="14082" max="14082" width="13.42578125" style="1410" customWidth="1"/>
    <col min="14083" max="14083" width="14" style="1410" customWidth="1"/>
    <col min="14084" max="14084" width="15.42578125" style="1410" customWidth="1"/>
    <col min="14085" max="14085" width="14.28515625" style="1410" customWidth="1"/>
    <col min="14086" max="14086" width="16.140625" style="1410" customWidth="1"/>
    <col min="14087" max="14088" width="11" style="1410" customWidth="1"/>
    <col min="14089" max="14089" width="11.85546875" style="1410" customWidth="1"/>
    <col min="14090" max="14336" width="9.140625" style="1410"/>
    <col min="14337" max="14337" width="52" style="1410" customWidth="1"/>
    <col min="14338" max="14338" width="13.42578125" style="1410" customWidth="1"/>
    <col min="14339" max="14339" width="14" style="1410" customWidth="1"/>
    <col min="14340" max="14340" width="15.42578125" style="1410" customWidth="1"/>
    <col min="14341" max="14341" width="14.28515625" style="1410" customWidth="1"/>
    <col min="14342" max="14342" width="16.140625" style="1410" customWidth="1"/>
    <col min="14343" max="14344" width="11" style="1410" customWidth="1"/>
    <col min="14345" max="14345" width="11.85546875" style="1410" customWidth="1"/>
    <col min="14346" max="14592" width="9.140625" style="1410"/>
    <col min="14593" max="14593" width="52" style="1410" customWidth="1"/>
    <col min="14594" max="14594" width="13.42578125" style="1410" customWidth="1"/>
    <col min="14595" max="14595" width="14" style="1410" customWidth="1"/>
    <col min="14596" max="14596" width="15.42578125" style="1410" customWidth="1"/>
    <col min="14597" max="14597" width="14.28515625" style="1410" customWidth="1"/>
    <col min="14598" max="14598" width="16.140625" style="1410" customWidth="1"/>
    <col min="14599" max="14600" width="11" style="1410" customWidth="1"/>
    <col min="14601" max="14601" width="11.85546875" style="1410" customWidth="1"/>
    <col min="14602" max="14848" width="9.140625" style="1410"/>
    <col min="14849" max="14849" width="52" style="1410" customWidth="1"/>
    <col min="14850" max="14850" width="13.42578125" style="1410" customWidth="1"/>
    <col min="14851" max="14851" width="14" style="1410" customWidth="1"/>
    <col min="14852" max="14852" width="15.42578125" style="1410" customWidth="1"/>
    <col min="14853" max="14853" width="14.28515625" style="1410" customWidth="1"/>
    <col min="14854" max="14854" width="16.140625" style="1410" customWidth="1"/>
    <col min="14855" max="14856" width="11" style="1410" customWidth="1"/>
    <col min="14857" max="14857" width="11.85546875" style="1410" customWidth="1"/>
    <col min="14858" max="15104" width="9.140625" style="1410"/>
    <col min="15105" max="15105" width="52" style="1410" customWidth="1"/>
    <col min="15106" max="15106" width="13.42578125" style="1410" customWidth="1"/>
    <col min="15107" max="15107" width="14" style="1410" customWidth="1"/>
    <col min="15108" max="15108" width="15.42578125" style="1410" customWidth="1"/>
    <col min="15109" max="15109" width="14.28515625" style="1410" customWidth="1"/>
    <col min="15110" max="15110" width="16.140625" style="1410" customWidth="1"/>
    <col min="15111" max="15112" width="11" style="1410" customWidth="1"/>
    <col min="15113" max="15113" width="11.85546875" style="1410" customWidth="1"/>
    <col min="15114" max="15360" width="9.140625" style="1410"/>
    <col min="15361" max="15361" width="52" style="1410" customWidth="1"/>
    <col min="15362" max="15362" width="13.42578125" style="1410" customWidth="1"/>
    <col min="15363" max="15363" width="14" style="1410" customWidth="1"/>
    <col min="15364" max="15364" width="15.42578125" style="1410" customWidth="1"/>
    <col min="15365" max="15365" width="14.28515625" style="1410" customWidth="1"/>
    <col min="15366" max="15366" width="16.140625" style="1410" customWidth="1"/>
    <col min="15367" max="15368" width="11" style="1410" customWidth="1"/>
    <col min="15369" max="15369" width="11.85546875" style="1410" customWidth="1"/>
    <col min="15370" max="15616" width="9.140625" style="1410"/>
    <col min="15617" max="15617" width="52" style="1410" customWidth="1"/>
    <col min="15618" max="15618" width="13.42578125" style="1410" customWidth="1"/>
    <col min="15619" max="15619" width="14" style="1410" customWidth="1"/>
    <col min="15620" max="15620" width="15.42578125" style="1410" customWidth="1"/>
    <col min="15621" max="15621" width="14.28515625" style="1410" customWidth="1"/>
    <col min="15622" max="15622" width="16.140625" style="1410" customWidth="1"/>
    <col min="15623" max="15624" width="11" style="1410" customWidth="1"/>
    <col min="15625" max="15625" width="11.85546875" style="1410" customWidth="1"/>
    <col min="15626" max="15872" width="9.140625" style="1410"/>
    <col min="15873" max="15873" width="52" style="1410" customWidth="1"/>
    <col min="15874" max="15874" width="13.42578125" style="1410" customWidth="1"/>
    <col min="15875" max="15875" width="14" style="1410" customWidth="1"/>
    <col min="15876" max="15876" width="15.42578125" style="1410" customWidth="1"/>
    <col min="15877" max="15877" width="14.28515625" style="1410" customWidth="1"/>
    <col min="15878" max="15878" width="16.140625" style="1410" customWidth="1"/>
    <col min="15879" max="15880" width="11" style="1410" customWidth="1"/>
    <col min="15881" max="15881" width="11.85546875" style="1410" customWidth="1"/>
    <col min="15882" max="16128" width="9.140625" style="1410"/>
    <col min="16129" max="16129" width="52" style="1410" customWidth="1"/>
    <col min="16130" max="16130" width="13.42578125" style="1410" customWidth="1"/>
    <col min="16131" max="16131" width="14" style="1410" customWidth="1"/>
    <col min="16132" max="16132" width="15.42578125" style="1410" customWidth="1"/>
    <col min="16133" max="16133" width="14.28515625" style="1410" customWidth="1"/>
    <col min="16134" max="16134" width="16.140625" style="1410" customWidth="1"/>
    <col min="16135" max="16136" width="11" style="1410" customWidth="1"/>
    <col min="16137" max="16137" width="11.85546875" style="1410" customWidth="1"/>
    <col min="16138" max="16384" width="9.140625" style="1410"/>
  </cols>
  <sheetData>
    <row r="1" spans="1:6" ht="24.75" customHeight="1">
      <c r="A1" s="1857" t="s">
        <v>1106</v>
      </c>
      <c r="B1" s="1857"/>
      <c r="C1" s="1857"/>
      <c r="D1" s="1857"/>
      <c r="E1" s="1857"/>
      <c r="F1" s="1857"/>
    </row>
    <row r="2" spans="1:6" ht="23.25" customHeight="1" thickBot="1">
      <c r="A2" s="1300"/>
      <c r="B2" s="1296"/>
      <c r="C2" s="1296"/>
      <c r="D2" s="1296"/>
      <c r="E2" s="1296"/>
      <c r="F2" s="1411" t="s">
        <v>1006</v>
      </c>
    </row>
    <row r="3" spans="1:6" s="1413" customFormat="1" ht="48.75" customHeight="1" thickBot="1">
      <c r="A3" s="1305" t="s">
        <v>1107</v>
      </c>
      <c r="B3" s="1306" t="s">
        <v>1108</v>
      </c>
      <c r="C3" s="1306" t="s">
        <v>1109</v>
      </c>
      <c r="D3" s="1306" t="s">
        <v>1110</v>
      </c>
      <c r="E3" s="1306" t="s">
        <v>1111</v>
      </c>
      <c r="F3" s="1412" t="s">
        <v>1112</v>
      </c>
    </row>
    <row r="4" spans="1:6" s="1299" customFormat="1" ht="15" customHeight="1" thickBot="1">
      <c r="A4" s="1414">
        <v>1</v>
      </c>
      <c r="B4" s="1415">
        <v>2</v>
      </c>
      <c r="C4" s="1415">
        <v>3</v>
      </c>
      <c r="D4" s="1415">
        <v>4</v>
      </c>
      <c r="E4" s="1415">
        <v>5</v>
      </c>
      <c r="F4" s="1416">
        <v>6</v>
      </c>
    </row>
    <row r="5" spans="1:6" ht="15.95" customHeight="1">
      <c r="A5" s="1417" t="s">
        <v>0</v>
      </c>
      <c r="B5" s="1418"/>
      <c r="C5" s="1419"/>
      <c r="D5" s="1418"/>
      <c r="E5" s="1418"/>
      <c r="F5" s="1420"/>
    </row>
    <row r="6" spans="1:6" ht="15.95" customHeight="1">
      <c r="A6" s="1421"/>
      <c r="B6" s="1418"/>
      <c r="C6" s="1419"/>
      <c r="D6" s="1418"/>
      <c r="E6" s="1418"/>
      <c r="F6" s="1420"/>
    </row>
    <row r="7" spans="1:6" ht="15.95" customHeight="1">
      <c r="A7" s="1421"/>
      <c r="B7" s="1418"/>
      <c r="C7" s="1419"/>
      <c r="D7" s="1418"/>
      <c r="E7" s="1418"/>
      <c r="F7" s="1420"/>
    </row>
    <row r="8" spans="1:6" ht="15.95" customHeight="1">
      <c r="A8" s="1421"/>
      <c r="B8" s="1418"/>
      <c r="C8" s="1419"/>
      <c r="D8" s="1418"/>
      <c r="E8" s="1418"/>
      <c r="F8" s="1420"/>
    </row>
    <row r="9" spans="1:6" ht="15.95" customHeight="1">
      <c r="A9" s="1421"/>
      <c r="B9" s="1418"/>
      <c r="C9" s="1419"/>
      <c r="D9" s="1418"/>
      <c r="E9" s="1418"/>
      <c r="F9" s="1420"/>
    </row>
    <row r="10" spans="1:6" ht="15.95" customHeight="1">
      <c r="A10" s="1417"/>
      <c r="B10" s="1418"/>
      <c r="C10" s="1419"/>
      <c r="D10" s="1418"/>
      <c r="E10" s="1418"/>
      <c r="F10" s="1420"/>
    </row>
    <row r="11" spans="1:6" ht="15.95" customHeight="1">
      <c r="A11" s="1421"/>
      <c r="B11" s="1418"/>
      <c r="C11" s="1419"/>
      <c r="D11" s="1418"/>
      <c r="E11" s="1418"/>
      <c r="F11" s="1420"/>
    </row>
    <row r="12" spans="1:6" ht="15.95" customHeight="1">
      <c r="A12" s="1421"/>
      <c r="B12" s="1418"/>
      <c r="C12" s="1419"/>
      <c r="D12" s="1418"/>
      <c r="E12" s="1418"/>
      <c r="F12" s="1420"/>
    </row>
    <row r="13" spans="1:6" ht="15.95" customHeight="1">
      <c r="A13" s="1421"/>
      <c r="B13" s="1418"/>
      <c r="C13" s="1419"/>
      <c r="D13" s="1418"/>
      <c r="E13" s="1418"/>
      <c r="F13" s="1420"/>
    </row>
    <row r="14" spans="1:6" ht="15.95" customHeight="1">
      <c r="A14" s="1421"/>
      <c r="B14" s="1418"/>
      <c r="C14" s="1419"/>
      <c r="D14" s="1418"/>
      <c r="E14" s="1418"/>
      <c r="F14" s="1420"/>
    </row>
    <row r="15" spans="1:6" ht="15.95" customHeight="1">
      <c r="A15" s="1421"/>
      <c r="B15" s="1418"/>
      <c r="C15" s="1419"/>
      <c r="D15" s="1418"/>
      <c r="E15" s="1418"/>
      <c r="F15" s="1420">
        <f t="shared" ref="F15:F23" si="0">B15-D15-E15</f>
        <v>0</v>
      </c>
    </row>
    <row r="16" spans="1:6" ht="15.95" customHeight="1">
      <c r="A16" s="1421"/>
      <c r="B16" s="1418"/>
      <c r="C16" s="1419"/>
      <c r="D16" s="1418"/>
      <c r="E16" s="1418"/>
      <c r="F16" s="1420">
        <f t="shared" si="0"/>
        <v>0</v>
      </c>
    </row>
    <row r="17" spans="1:6" ht="15.95" customHeight="1">
      <c r="A17" s="1421"/>
      <c r="B17" s="1418"/>
      <c r="C17" s="1419"/>
      <c r="D17" s="1418"/>
      <c r="E17" s="1418"/>
      <c r="F17" s="1420">
        <f t="shared" si="0"/>
        <v>0</v>
      </c>
    </row>
    <row r="18" spans="1:6" ht="15.95" customHeight="1">
      <c r="A18" s="1421"/>
      <c r="B18" s="1418"/>
      <c r="C18" s="1419"/>
      <c r="D18" s="1418"/>
      <c r="E18" s="1418"/>
      <c r="F18" s="1420">
        <f t="shared" si="0"/>
        <v>0</v>
      </c>
    </row>
    <row r="19" spans="1:6" ht="15.95" customHeight="1">
      <c r="A19" s="1421"/>
      <c r="B19" s="1418"/>
      <c r="C19" s="1419"/>
      <c r="D19" s="1418"/>
      <c r="E19" s="1418"/>
      <c r="F19" s="1420">
        <f t="shared" si="0"/>
        <v>0</v>
      </c>
    </row>
    <row r="20" spans="1:6" ht="15.95" customHeight="1">
      <c r="A20" s="1421"/>
      <c r="B20" s="1418"/>
      <c r="C20" s="1419"/>
      <c r="D20" s="1418"/>
      <c r="E20" s="1418"/>
      <c r="F20" s="1420">
        <f t="shared" si="0"/>
        <v>0</v>
      </c>
    </row>
    <row r="21" spans="1:6" ht="15.95" customHeight="1">
      <c r="A21" s="1421"/>
      <c r="B21" s="1418"/>
      <c r="C21" s="1419"/>
      <c r="D21" s="1418"/>
      <c r="E21" s="1418"/>
      <c r="F21" s="1420">
        <f t="shared" si="0"/>
        <v>0</v>
      </c>
    </row>
    <row r="22" spans="1:6" ht="15.95" customHeight="1">
      <c r="A22" s="1421"/>
      <c r="B22" s="1418"/>
      <c r="C22" s="1419"/>
      <c r="D22" s="1418"/>
      <c r="E22" s="1418"/>
      <c r="F22" s="1420">
        <f t="shared" si="0"/>
        <v>0</v>
      </c>
    </row>
    <row r="23" spans="1:6" ht="15.95" customHeight="1" thickBot="1">
      <c r="A23" s="1422"/>
      <c r="B23" s="1423"/>
      <c r="C23" s="1424"/>
      <c r="D23" s="1423"/>
      <c r="E23" s="1423"/>
      <c r="F23" s="1425">
        <f t="shared" si="0"/>
        <v>0</v>
      </c>
    </row>
    <row r="24" spans="1:6" s="1430" customFormat="1" ht="18" customHeight="1" thickBot="1">
      <c r="A24" s="1426" t="s">
        <v>1114</v>
      </c>
      <c r="B24" s="1427">
        <f>SUM(B5:B23)</f>
        <v>0</v>
      </c>
      <c r="C24" s="1428"/>
      <c r="D24" s="1427">
        <f>SUM(D5:D23)</f>
        <v>0</v>
      </c>
      <c r="E24" s="1427">
        <f>SUM(E5:E23)</f>
        <v>0</v>
      </c>
      <c r="F24" s="1429">
        <f>SUM(F5:F23)</f>
        <v>0</v>
      </c>
    </row>
    <row r="25" spans="1:6">
      <c r="A25" s="1858"/>
      <c r="B25" s="1859"/>
      <c r="C25" s="1859"/>
    </row>
  </sheetData>
  <sheetProtection password="DCF7" sheet="1" objects="1" scenarios="1" selectLockedCells="1" selectUnlockedCells="1"/>
  <mergeCells count="2">
    <mergeCell ref="A1:F1"/>
    <mergeCell ref="A25:C25"/>
  </mergeCells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r:id="rId1"/>
  <headerFooter alignWithMargins="0">
    <oddHeader xml:space="preserve">&amp;R&amp;"Times New Roman CE,Félkövér dőlt"&amp;12 &amp;11 6. melléklet a 3/2019. (II.25.) önkormányzati rendelethez&amp;"Times New Roman CE,Normál"&amp;10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C000"/>
  </sheetPr>
  <dimension ref="A1:BA151"/>
  <sheetViews>
    <sheetView view="pageBreakPreview" zoomScaleNormal="100" zoomScaleSheetLayoutView="100" workbookViewId="0">
      <selection activeCell="B2" sqref="B2"/>
    </sheetView>
  </sheetViews>
  <sheetFormatPr defaultRowHeight="12.75"/>
  <cols>
    <col min="1" max="1" width="16.7109375" style="1190" customWidth="1"/>
    <col min="2" max="2" width="52.5703125" style="1191" customWidth="1"/>
    <col min="3" max="3" width="11" style="1192" customWidth="1"/>
    <col min="4" max="4" width="13.42578125" style="1192" customWidth="1"/>
    <col min="5" max="5" width="11.28515625" style="1199" hidden="1" customWidth="1"/>
    <col min="6" max="6" width="10.28515625" style="1199" hidden="1" customWidth="1"/>
    <col min="7" max="7" width="13.85546875" style="1199" hidden="1" customWidth="1"/>
    <col min="8" max="9" width="7.85546875" style="1199" hidden="1" customWidth="1"/>
    <col min="10" max="10" width="10.85546875" style="1199" hidden="1" customWidth="1"/>
    <col min="11" max="11" width="13" style="1199" hidden="1" customWidth="1"/>
    <col min="12" max="12" width="11.42578125" style="1199" hidden="1" customWidth="1"/>
    <col min="13" max="13" width="10" style="1199" hidden="1" customWidth="1"/>
    <col min="14" max="14" width="7.85546875" style="1199" hidden="1" customWidth="1"/>
    <col min="15" max="15" width="10.140625" style="1199" hidden="1" customWidth="1"/>
    <col min="16" max="17" width="7.85546875" style="1199" hidden="1" customWidth="1"/>
    <col min="18" max="18" width="10.85546875" style="1199" hidden="1" customWidth="1"/>
    <col min="19" max="19" width="10.7109375" style="1199" hidden="1" customWidth="1"/>
    <col min="20" max="20" width="11" style="1199" hidden="1" customWidth="1"/>
    <col min="21" max="23" width="7.85546875" style="1199" hidden="1" customWidth="1"/>
    <col min="24" max="24" width="11.28515625" style="1199" hidden="1" customWidth="1"/>
    <col min="25" max="25" width="12.42578125" style="1199" hidden="1" customWidth="1"/>
    <col min="26" max="26" width="11" style="1200" hidden="1" customWidth="1"/>
    <col min="27" max="28" width="7.85546875" style="1200" hidden="1" customWidth="1"/>
    <col min="29" max="29" width="11" style="1200" hidden="1" customWidth="1"/>
    <col min="30" max="30" width="10.5703125" style="1200" hidden="1" customWidth="1"/>
    <col min="31" max="32" width="11" style="1200" hidden="1" customWidth="1"/>
    <col min="33" max="37" width="7.85546875" style="1200" hidden="1" customWidth="1"/>
    <col min="38" max="38" width="8.42578125" style="1200" hidden="1" customWidth="1"/>
    <col min="39" max="39" width="11.42578125" style="1200" hidden="1" customWidth="1"/>
    <col min="40" max="40" width="7.85546875" style="1200" hidden="1" customWidth="1"/>
    <col min="41" max="41" width="9.5703125" style="1200" hidden="1" customWidth="1"/>
    <col min="42" max="42" width="7.85546875" style="1200" hidden="1" customWidth="1"/>
    <col min="43" max="43" width="12" style="1200" hidden="1" customWidth="1"/>
    <col min="44" max="44" width="13.42578125" style="1200" hidden="1" customWidth="1"/>
    <col min="45" max="45" width="9.5703125" style="1744" hidden="1" customWidth="1"/>
    <col min="46" max="48" width="9.140625" style="1093" hidden="1" customWidth="1"/>
    <col min="49" max="49" width="9.140625" style="1735" hidden="1" customWidth="1"/>
    <col min="50" max="52" width="9.140625" style="1093" customWidth="1"/>
    <col min="53" max="256" width="9.140625" style="1093"/>
    <col min="257" max="257" width="16.7109375" style="1093" customWidth="1"/>
    <col min="258" max="258" width="52.5703125" style="1093" customWidth="1"/>
    <col min="259" max="259" width="11" style="1093" customWidth="1"/>
    <col min="260" max="260" width="13.42578125" style="1093" customWidth="1"/>
    <col min="261" max="261" width="11.28515625" style="1093" customWidth="1"/>
    <col min="262" max="262" width="10.28515625" style="1093" customWidth="1"/>
    <col min="263" max="263" width="13.85546875" style="1093" customWidth="1"/>
    <col min="264" max="265" width="7.85546875" style="1093" customWidth="1"/>
    <col min="266" max="266" width="10.85546875" style="1093" customWidth="1"/>
    <col min="267" max="267" width="13" style="1093" customWidth="1"/>
    <col min="268" max="268" width="11.42578125" style="1093" customWidth="1"/>
    <col min="269" max="269" width="10" style="1093" customWidth="1"/>
    <col min="270" max="270" width="7.85546875" style="1093" customWidth="1"/>
    <col min="271" max="271" width="10.140625" style="1093" customWidth="1"/>
    <col min="272" max="273" width="7.85546875" style="1093" customWidth="1"/>
    <col min="274" max="274" width="10.85546875" style="1093" customWidth="1"/>
    <col min="275" max="275" width="10.7109375" style="1093" customWidth="1"/>
    <col min="276" max="276" width="11" style="1093" customWidth="1"/>
    <col min="277" max="279" width="7.85546875" style="1093" customWidth="1"/>
    <col min="280" max="280" width="11.28515625" style="1093" customWidth="1"/>
    <col min="281" max="281" width="12.42578125" style="1093" customWidth="1"/>
    <col min="282" max="282" width="11" style="1093" customWidth="1"/>
    <col min="283" max="284" width="7.85546875" style="1093" customWidth="1"/>
    <col min="285" max="285" width="11" style="1093" customWidth="1"/>
    <col min="286" max="286" width="10.5703125" style="1093" customWidth="1"/>
    <col min="287" max="288" width="11" style="1093" customWidth="1"/>
    <col min="289" max="293" width="7.85546875" style="1093" bestFit="1" customWidth="1"/>
    <col min="294" max="294" width="8.42578125" style="1093" bestFit="1" customWidth="1"/>
    <col min="295" max="295" width="11.42578125" style="1093" customWidth="1"/>
    <col min="296" max="296" width="7.85546875" style="1093" bestFit="1" customWidth="1"/>
    <col min="297" max="297" width="9.5703125" style="1093" customWidth="1"/>
    <col min="298" max="298" width="7.85546875" style="1093" bestFit="1" customWidth="1"/>
    <col min="299" max="299" width="12" style="1093" customWidth="1"/>
    <col min="300" max="300" width="13.42578125" style="1093" customWidth="1"/>
    <col min="301" max="301" width="9.5703125" style="1093" bestFit="1" customWidth="1"/>
    <col min="302" max="308" width="9.140625" style="1093" customWidth="1"/>
    <col min="309" max="512" width="9.140625" style="1093"/>
    <col min="513" max="513" width="16.7109375" style="1093" customWidth="1"/>
    <col min="514" max="514" width="52.5703125" style="1093" customWidth="1"/>
    <col min="515" max="515" width="11" style="1093" customWidth="1"/>
    <col min="516" max="516" width="13.42578125" style="1093" customWidth="1"/>
    <col min="517" max="517" width="11.28515625" style="1093" customWidth="1"/>
    <col min="518" max="518" width="10.28515625" style="1093" customWidth="1"/>
    <col min="519" max="519" width="13.85546875" style="1093" customWidth="1"/>
    <col min="520" max="521" width="7.85546875" style="1093" customWidth="1"/>
    <col min="522" max="522" width="10.85546875" style="1093" customWidth="1"/>
    <col min="523" max="523" width="13" style="1093" customWidth="1"/>
    <col min="524" max="524" width="11.42578125" style="1093" customWidth="1"/>
    <col min="525" max="525" width="10" style="1093" customWidth="1"/>
    <col min="526" max="526" width="7.85546875" style="1093" customWidth="1"/>
    <col min="527" max="527" width="10.140625" style="1093" customWidth="1"/>
    <col min="528" max="529" width="7.85546875" style="1093" customWidth="1"/>
    <col min="530" max="530" width="10.85546875" style="1093" customWidth="1"/>
    <col min="531" max="531" width="10.7109375" style="1093" customWidth="1"/>
    <col min="532" max="532" width="11" style="1093" customWidth="1"/>
    <col min="533" max="535" width="7.85546875" style="1093" customWidth="1"/>
    <col min="536" max="536" width="11.28515625" style="1093" customWidth="1"/>
    <col min="537" max="537" width="12.42578125" style="1093" customWidth="1"/>
    <col min="538" max="538" width="11" style="1093" customWidth="1"/>
    <col min="539" max="540" width="7.85546875" style="1093" customWidth="1"/>
    <col min="541" max="541" width="11" style="1093" customWidth="1"/>
    <col min="542" max="542" width="10.5703125" style="1093" customWidth="1"/>
    <col min="543" max="544" width="11" style="1093" customWidth="1"/>
    <col min="545" max="549" width="7.85546875" style="1093" bestFit="1" customWidth="1"/>
    <col min="550" max="550" width="8.42578125" style="1093" bestFit="1" customWidth="1"/>
    <col min="551" max="551" width="11.42578125" style="1093" customWidth="1"/>
    <col min="552" max="552" width="7.85546875" style="1093" bestFit="1" customWidth="1"/>
    <col min="553" max="553" width="9.5703125" style="1093" customWidth="1"/>
    <col min="554" max="554" width="7.85546875" style="1093" bestFit="1" customWidth="1"/>
    <col min="555" max="555" width="12" style="1093" customWidth="1"/>
    <col min="556" max="556" width="13.42578125" style="1093" customWidth="1"/>
    <col min="557" max="557" width="9.5703125" style="1093" bestFit="1" customWidth="1"/>
    <col min="558" max="564" width="9.140625" style="1093" customWidth="1"/>
    <col min="565" max="768" width="9.140625" style="1093"/>
    <col min="769" max="769" width="16.7109375" style="1093" customWidth="1"/>
    <col min="770" max="770" width="52.5703125" style="1093" customWidth="1"/>
    <col min="771" max="771" width="11" style="1093" customWidth="1"/>
    <col min="772" max="772" width="13.42578125" style="1093" customWidth="1"/>
    <col min="773" max="773" width="11.28515625" style="1093" customWidth="1"/>
    <col min="774" max="774" width="10.28515625" style="1093" customWidth="1"/>
    <col min="775" max="775" width="13.85546875" style="1093" customWidth="1"/>
    <col min="776" max="777" width="7.85546875" style="1093" customWidth="1"/>
    <col min="778" max="778" width="10.85546875" style="1093" customWidth="1"/>
    <col min="779" max="779" width="13" style="1093" customWidth="1"/>
    <col min="780" max="780" width="11.42578125" style="1093" customWidth="1"/>
    <col min="781" max="781" width="10" style="1093" customWidth="1"/>
    <col min="782" max="782" width="7.85546875" style="1093" customWidth="1"/>
    <col min="783" max="783" width="10.140625" style="1093" customWidth="1"/>
    <col min="784" max="785" width="7.85546875" style="1093" customWidth="1"/>
    <col min="786" max="786" width="10.85546875" style="1093" customWidth="1"/>
    <col min="787" max="787" width="10.7109375" style="1093" customWidth="1"/>
    <col min="788" max="788" width="11" style="1093" customWidth="1"/>
    <col min="789" max="791" width="7.85546875" style="1093" customWidth="1"/>
    <col min="792" max="792" width="11.28515625" style="1093" customWidth="1"/>
    <col min="793" max="793" width="12.42578125" style="1093" customWidth="1"/>
    <col min="794" max="794" width="11" style="1093" customWidth="1"/>
    <col min="795" max="796" width="7.85546875" style="1093" customWidth="1"/>
    <col min="797" max="797" width="11" style="1093" customWidth="1"/>
    <col min="798" max="798" width="10.5703125" style="1093" customWidth="1"/>
    <col min="799" max="800" width="11" style="1093" customWidth="1"/>
    <col min="801" max="805" width="7.85546875" style="1093" bestFit="1" customWidth="1"/>
    <col min="806" max="806" width="8.42578125" style="1093" bestFit="1" customWidth="1"/>
    <col min="807" max="807" width="11.42578125" style="1093" customWidth="1"/>
    <col min="808" max="808" width="7.85546875" style="1093" bestFit="1" customWidth="1"/>
    <col min="809" max="809" width="9.5703125" style="1093" customWidth="1"/>
    <col min="810" max="810" width="7.85546875" style="1093" bestFit="1" customWidth="1"/>
    <col min="811" max="811" width="12" style="1093" customWidth="1"/>
    <col min="812" max="812" width="13.42578125" style="1093" customWidth="1"/>
    <col min="813" max="813" width="9.5703125" style="1093" bestFit="1" customWidth="1"/>
    <col min="814" max="820" width="9.140625" style="1093" customWidth="1"/>
    <col min="821" max="1024" width="9.140625" style="1093"/>
    <col min="1025" max="1025" width="16.7109375" style="1093" customWidth="1"/>
    <col min="1026" max="1026" width="52.5703125" style="1093" customWidth="1"/>
    <col min="1027" max="1027" width="11" style="1093" customWidth="1"/>
    <col min="1028" max="1028" width="13.42578125" style="1093" customWidth="1"/>
    <col min="1029" max="1029" width="11.28515625" style="1093" customWidth="1"/>
    <col min="1030" max="1030" width="10.28515625" style="1093" customWidth="1"/>
    <col min="1031" max="1031" width="13.85546875" style="1093" customWidth="1"/>
    <col min="1032" max="1033" width="7.85546875" style="1093" customWidth="1"/>
    <col min="1034" max="1034" width="10.85546875" style="1093" customWidth="1"/>
    <col min="1035" max="1035" width="13" style="1093" customWidth="1"/>
    <col min="1036" max="1036" width="11.42578125" style="1093" customWidth="1"/>
    <col min="1037" max="1037" width="10" style="1093" customWidth="1"/>
    <col min="1038" max="1038" width="7.85546875" style="1093" customWidth="1"/>
    <col min="1039" max="1039" width="10.140625" style="1093" customWidth="1"/>
    <col min="1040" max="1041" width="7.85546875" style="1093" customWidth="1"/>
    <col min="1042" max="1042" width="10.85546875" style="1093" customWidth="1"/>
    <col min="1043" max="1043" width="10.7109375" style="1093" customWidth="1"/>
    <col min="1044" max="1044" width="11" style="1093" customWidth="1"/>
    <col min="1045" max="1047" width="7.85546875" style="1093" customWidth="1"/>
    <col min="1048" max="1048" width="11.28515625" style="1093" customWidth="1"/>
    <col min="1049" max="1049" width="12.42578125" style="1093" customWidth="1"/>
    <col min="1050" max="1050" width="11" style="1093" customWidth="1"/>
    <col min="1051" max="1052" width="7.85546875" style="1093" customWidth="1"/>
    <col min="1053" max="1053" width="11" style="1093" customWidth="1"/>
    <col min="1054" max="1054" width="10.5703125" style="1093" customWidth="1"/>
    <col min="1055" max="1056" width="11" style="1093" customWidth="1"/>
    <col min="1057" max="1061" width="7.85546875" style="1093" bestFit="1" customWidth="1"/>
    <col min="1062" max="1062" width="8.42578125" style="1093" bestFit="1" customWidth="1"/>
    <col min="1063" max="1063" width="11.42578125" style="1093" customWidth="1"/>
    <col min="1064" max="1064" width="7.85546875" style="1093" bestFit="1" customWidth="1"/>
    <col min="1065" max="1065" width="9.5703125" style="1093" customWidth="1"/>
    <col min="1066" max="1066" width="7.85546875" style="1093" bestFit="1" customWidth="1"/>
    <col min="1067" max="1067" width="12" style="1093" customWidth="1"/>
    <col min="1068" max="1068" width="13.42578125" style="1093" customWidth="1"/>
    <col min="1069" max="1069" width="9.5703125" style="1093" bestFit="1" customWidth="1"/>
    <col min="1070" max="1076" width="9.140625" style="1093" customWidth="1"/>
    <col min="1077" max="1280" width="9.140625" style="1093"/>
    <col min="1281" max="1281" width="16.7109375" style="1093" customWidth="1"/>
    <col min="1282" max="1282" width="52.5703125" style="1093" customWidth="1"/>
    <col min="1283" max="1283" width="11" style="1093" customWidth="1"/>
    <col min="1284" max="1284" width="13.42578125" style="1093" customWidth="1"/>
    <col min="1285" max="1285" width="11.28515625" style="1093" customWidth="1"/>
    <col min="1286" max="1286" width="10.28515625" style="1093" customWidth="1"/>
    <col min="1287" max="1287" width="13.85546875" style="1093" customWidth="1"/>
    <col min="1288" max="1289" width="7.85546875" style="1093" customWidth="1"/>
    <col min="1290" max="1290" width="10.85546875" style="1093" customWidth="1"/>
    <col min="1291" max="1291" width="13" style="1093" customWidth="1"/>
    <col min="1292" max="1292" width="11.42578125" style="1093" customWidth="1"/>
    <col min="1293" max="1293" width="10" style="1093" customWidth="1"/>
    <col min="1294" max="1294" width="7.85546875" style="1093" customWidth="1"/>
    <col min="1295" max="1295" width="10.140625" style="1093" customWidth="1"/>
    <col min="1296" max="1297" width="7.85546875" style="1093" customWidth="1"/>
    <col min="1298" max="1298" width="10.85546875" style="1093" customWidth="1"/>
    <col min="1299" max="1299" width="10.7109375" style="1093" customWidth="1"/>
    <col min="1300" max="1300" width="11" style="1093" customWidth="1"/>
    <col min="1301" max="1303" width="7.85546875" style="1093" customWidth="1"/>
    <col min="1304" max="1304" width="11.28515625" style="1093" customWidth="1"/>
    <col min="1305" max="1305" width="12.42578125" style="1093" customWidth="1"/>
    <col min="1306" max="1306" width="11" style="1093" customWidth="1"/>
    <col min="1307" max="1308" width="7.85546875" style="1093" customWidth="1"/>
    <col min="1309" max="1309" width="11" style="1093" customWidth="1"/>
    <col min="1310" max="1310" width="10.5703125" style="1093" customWidth="1"/>
    <col min="1311" max="1312" width="11" style="1093" customWidth="1"/>
    <col min="1313" max="1317" width="7.85546875" style="1093" bestFit="1" customWidth="1"/>
    <col min="1318" max="1318" width="8.42578125" style="1093" bestFit="1" customWidth="1"/>
    <col min="1319" max="1319" width="11.42578125" style="1093" customWidth="1"/>
    <col min="1320" max="1320" width="7.85546875" style="1093" bestFit="1" customWidth="1"/>
    <col min="1321" max="1321" width="9.5703125" style="1093" customWidth="1"/>
    <col min="1322" max="1322" width="7.85546875" style="1093" bestFit="1" customWidth="1"/>
    <col min="1323" max="1323" width="12" style="1093" customWidth="1"/>
    <col min="1324" max="1324" width="13.42578125" style="1093" customWidth="1"/>
    <col min="1325" max="1325" width="9.5703125" style="1093" bestFit="1" customWidth="1"/>
    <col min="1326" max="1332" width="9.140625" style="1093" customWidth="1"/>
    <col min="1333" max="1536" width="9.140625" style="1093"/>
    <col min="1537" max="1537" width="16.7109375" style="1093" customWidth="1"/>
    <col min="1538" max="1538" width="52.5703125" style="1093" customWidth="1"/>
    <col min="1539" max="1539" width="11" style="1093" customWidth="1"/>
    <col min="1540" max="1540" width="13.42578125" style="1093" customWidth="1"/>
    <col min="1541" max="1541" width="11.28515625" style="1093" customWidth="1"/>
    <col min="1542" max="1542" width="10.28515625" style="1093" customWidth="1"/>
    <col min="1543" max="1543" width="13.85546875" style="1093" customWidth="1"/>
    <col min="1544" max="1545" width="7.85546875" style="1093" customWidth="1"/>
    <col min="1546" max="1546" width="10.85546875" style="1093" customWidth="1"/>
    <col min="1547" max="1547" width="13" style="1093" customWidth="1"/>
    <col min="1548" max="1548" width="11.42578125" style="1093" customWidth="1"/>
    <col min="1549" max="1549" width="10" style="1093" customWidth="1"/>
    <col min="1550" max="1550" width="7.85546875" style="1093" customWidth="1"/>
    <col min="1551" max="1551" width="10.140625" style="1093" customWidth="1"/>
    <col min="1552" max="1553" width="7.85546875" style="1093" customWidth="1"/>
    <col min="1554" max="1554" width="10.85546875" style="1093" customWidth="1"/>
    <col min="1555" max="1555" width="10.7109375" style="1093" customWidth="1"/>
    <col min="1556" max="1556" width="11" style="1093" customWidth="1"/>
    <col min="1557" max="1559" width="7.85546875" style="1093" customWidth="1"/>
    <col min="1560" max="1560" width="11.28515625" style="1093" customWidth="1"/>
    <col min="1561" max="1561" width="12.42578125" style="1093" customWidth="1"/>
    <col min="1562" max="1562" width="11" style="1093" customWidth="1"/>
    <col min="1563" max="1564" width="7.85546875" style="1093" customWidth="1"/>
    <col min="1565" max="1565" width="11" style="1093" customWidth="1"/>
    <col min="1566" max="1566" width="10.5703125" style="1093" customWidth="1"/>
    <col min="1567" max="1568" width="11" style="1093" customWidth="1"/>
    <col min="1569" max="1573" width="7.85546875" style="1093" bestFit="1" customWidth="1"/>
    <col min="1574" max="1574" width="8.42578125" style="1093" bestFit="1" customWidth="1"/>
    <col min="1575" max="1575" width="11.42578125" style="1093" customWidth="1"/>
    <col min="1576" max="1576" width="7.85546875" style="1093" bestFit="1" customWidth="1"/>
    <col min="1577" max="1577" width="9.5703125" style="1093" customWidth="1"/>
    <col min="1578" max="1578" width="7.85546875" style="1093" bestFit="1" customWidth="1"/>
    <col min="1579" max="1579" width="12" style="1093" customWidth="1"/>
    <col min="1580" max="1580" width="13.42578125" style="1093" customWidth="1"/>
    <col min="1581" max="1581" width="9.5703125" style="1093" bestFit="1" customWidth="1"/>
    <col min="1582" max="1588" width="9.140625" style="1093" customWidth="1"/>
    <col min="1589" max="1792" width="9.140625" style="1093"/>
    <col min="1793" max="1793" width="16.7109375" style="1093" customWidth="1"/>
    <col min="1794" max="1794" width="52.5703125" style="1093" customWidth="1"/>
    <col min="1795" max="1795" width="11" style="1093" customWidth="1"/>
    <col min="1796" max="1796" width="13.42578125" style="1093" customWidth="1"/>
    <col min="1797" max="1797" width="11.28515625" style="1093" customWidth="1"/>
    <col min="1798" max="1798" width="10.28515625" style="1093" customWidth="1"/>
    <col min="1799" max="1799" width="13.85546875" style="1093" customWidth="1"/>
    <col min="1800" max="1801" width="7.85546875" style="1093" customWidth="1"/>
    <col min="1802" max="1802" width="10.85546875" style="1093" customWidth="1"/>
    <col min="1803" max="1803" width="13" style="1093" customWidth="1"/>
    <col min="1804" max="1804" width="11.42578125" style="1093" customWidth="1"/>
    <col min="1805" max="1805" width="10" style="1093" customWidth="1"/>
    <col min="1806" max="1806" width="7.85546875" style="1093" customWidth="1"/>
    <col min="1807" max="1807" width="10.140625" style="1093" customWidth="1"/>
    <col min="1808" max="1809" width="7.85546875" style="1093" customWidth="1"/>
    <col min="1810" max="1810" width="10.85546875" style="1093" customWidth="1"/>
    <col min="1811" max="1811" width="10.7109375" style="1093" customWidth="1"/>
    <col min="1812" max="1812" width="11" style="1093" customWidth="1"/>
    <col min="1813" max="1815" width="7.85546875" style="1093" customWidth="1"/>
    <col min="1816" max="1816" width="11.28515625" style="1093" customWidth="1"/>
    <col min="1817" max="1817" width="12.42578125" style="1093" customWidth="1"/>
    <col min="1818" max="1818" width="11" style="1093" customWidth="1"/>
    <col min="1819" max="1820" width="7.85546875" style="1093" customWidth="1"/>
    <col min="1821" max="1821" width="11" style="1093" customWidth="1"/>
    <col min="1822" max="1822" width="10.5703125" style="1093" customWidth="1"/>
    <col min="1823" max="1824" width="11" style="1093" customWidth="1"/>
    <col min="1825" max="1829" width="7.85546875" style="1093" bestFit="1" customWidth="1"/>
    <col min="1830" max="1830" width="8.42578125" style="1093" bestFit="1" customWidth="1"/>
    <col min="1831" max="1831" width="11.42578125" style="1093" customWidth="1"/>
    <col min="1832" max="1832" width="7.85546875" style="1093" bestFit="1" customWidth="1"/>
    <col min="1833" max="1833" width="9.5703125" style="1093" customWidth="1"/>
    <col min="1834" max="1834" width="7.85546875" style="1093" bestFit="1" customWidth="1"/>
    <col min="1835" max="1835" width="12" style="1093" customWidth="1"/>
    <col min="1836" max="1836" width="13.42578125" style="1093" customWidth="1"/>
    <col min="1837" max="1837" width="9.5703125" style="1093" bestFit="1" customWidth="1"/>
    <col min="1838" max="1844" width="9.140625" style="1093" customWidth="1"/>
    <col min="1845" max="2048" width="9.140625" style="1093"/>
    <col min="2049" max="2049" width="16.7109375" style="1093" customWidth="1"/>
    <col min="2050" max="2050" width="52.5703125" style="1093" customWidth="1"/>
    <col min="2051" max="2051" width="11" style="1093" customWidth="1"/>
    <col min="2052" max="2052" width="13.42578125" style="1093" customWidth="1"/>
    <col min="2053" max="2053" width="11.28515625" style="1093" customWidth="1"/>
    <col min="2054" max="2054" width="10.28515625" style="1093" customWidth="1"/>
    <col min="2055" max="2055" width="13.85546875" style="1093" customWidth="1"/>
    <col min="2056" max="2057" width="7.85546875" style="1093" customWidth="1"/>
    <col min="2058" max="2058" width="10.85546875" style="1093" customWidth="1"/>
    <col min="2059" max="2059" width="13" style="1093" customWidth="1"/>
    <col min="2060" max="2060" width="11.42578125" style="1093" customWidth="1"/>
    <col min="2061" max="2061" width="10" style="1093" customWidth="1"/>
    <col min="2062" max="2062" width="7.85546875" style="1093" customWidth="1"/>
    <col min="2063" max="2063" width="10.140625" style="1093" customWidth="1"/>
    <col min="2064" max="2065" width="7.85546875" style="1093" customWidth="1"/>
    <col min="2066" max="2066" width="10.85546875" style="1093" customWidth="1"/>
    <col min="2067" max="2067" width="10.7109375" style="1093" customWidth="1"/>
    <col min="2068" max="2068" width="11" style="1093" customWidth="1"/>
    <col min="2069" max="2071" width="7.85546875" style="1093" customWidth="1"/>
    <col min="2072" max="2072" width="11.28515625" style="1093" customWidth="1"/>
    <col min="2073" max="2073" width="12.42578125" style="1093" customWidth="1"/>
    <col min="2074" max="2074" width="11" style="1093" customWidth="1"/>
    <col min="2075" max="2076" width="7.85546875" style="1093" customWidth="1"/>
    <col min="2077" max="2077" width="11" style="1093" customWidth="1"/>
    <col min="2078" max="2078" width="10.5703125" style="1093" customWidth="1"/>
    <col min="2079" max="2080" width="11" style="1093" customWidth="1"/>
    <col min="2081" max="2085" width="7.85546875" style="1093" bestFit="1" customWidth="1"/>
    <col min="2086" max="2086" width="8.42578125" style="1093" bestFit="1" customWidth="1"/>
    <col min="2087" max="2087" width="11.42578125" style="1093" customWidth="1"/>
    <col min="2088" max="2088" width="7.85546875" style="1093" bestFit="1" customWidth="1"/>
    <col min="2089" max="2089" width="9.5703125" style="1093" customWidth="1"/>
    <col min="2090" max="2090" width="7.85546875" style="1093" bestFit="1" customWidth="1"/>
    <col min="2091" max="2091" width="12" style="1093" customWidth="1"/>
    <col min="2092" max="2092" width="13.42578125" style="1093" customWidth="1"/>
    <col min="2093" max="2093" width="9.5703125" style="1093" bestFit="1" customWidth="1"/>
    <col min="2094" max="2100" width="9.140625" style="1093" customWidth="1"/>
    <col min="2101" max="2304" width="9.140625" style="1093"/>
    <col min="2305" max="2305" width="16.7109375" style="1093" customWidth="1"/>
    <col min="2306" max="2306" width="52.5703125" style="1093" customWidth="1"/>
    <col min="2307" max="2307" width="11" style="1093" customWidth="1"/>
    <col min="2308" max="2308" width="13.42578125" style="1093" customWidth="1"/>
    <col min="2309" max="2309" width="11.28515625" style="1093" customWidth="1"/>
    <col min="2310" max="2310" width="10.28515625" style="1093" customWidth="1"/>
    <col min="2311" max="2311" width="13.85546875" style="1093" customWidth="1"/>
    <col min="2312" max="2313" width="7.85546875" style="1093" customWidth="1"/>
    <col min="2314" max="2314" width="10.85546875" style="1093" customWidth="1"/>
    <col min="2315" max="2315" width="13" style="1093" customWidth="1"/>
    <col min="2316" max="2316" width="11.42578125" style="1093" customWidth="1"/>
    <col min="2317" max="2317" width="10" style="1093" customWidth="1"/>
    <col min="2318" max="2318" width="7.85546875" style="1093" customWidth="1"/>
    <col min="2319" max="2319" width="10.140625" style="1093" customWidth="1"/>
    <col min="2320" max="2321" width="7.85546875" style="1093" customWidth="1"/>
    <col min="2322" max="2322" width="10.85546875" style="1093" customWidth="1"/>
    <col min="2323" max="2323" width="10.7109375" style="1093" customWidth="1"/>
    <col min="2324" max="2324" width="11" style="1093" customWidth="1"/>
    <col min="2325" max="2327" width="7.85546875" style="1093" customWidth="1"/>
    <col min="2328" max="2328" width="11.28515625" style="1093" customWidth="1"/>
    <col min="2329" max="2329" width="12.42578125" style="1093" customWidth="1"/>
    <col min="2330" max="2330" width="11" style="1093" customWidth="1"/>
    <col min="2331" max="2332" width="7.85546875" style="1093" customWidth="1"/>
    <col min="2333" max="2333" width="11" style="1093" customWidth="1"/>
    <col min="2334" max="2334" width="10.5703125" style="1093" customWidth="1"/>
    <col min="2335" max="2336" width="11" style="1093" customWidth="1"/>
    <col min="2337" max="2341" width="7.85546875" style="1093" bestFit="1" customWidth="1"/>
    <col min="2342" max="2342" width="8.42578125" style="1093" bestFit="1" customWidth="1"/>
    <col min="2343" max="2343" width="11.42578125" style="1093" customWidth="1"/>
    <col min="2344" max="2344" width="7.85546875" style="1093" bestFit="1" customWidth="1"/>
    <col min="2345" max="2345" width="9.5703125" style="1093" customWidth="1"/>
    <col min="2346" max="2346" width="7.85546875" style="1093" bestFit="1" customWidth="1"/>
    <col min="2347" max="2347" width="12" style="1093" customWidth="1"/>
    <col min="2348" max="2348" width="13.42578125" style="1093" customWidth="1"/>
    <col min="2349" max="2349" width="9.5703125" style="1093" bestFit="1" customWidth="1"/>
    <col min="2350" max="2356" width="9.140625" style="1093" customWidth="1"/>
    <col min="2357" max="2560" width="9.140625" style="1093"/>
    <col min="2561" max="2561" width="16.7109375" style="1093" customWidth="1"/>
    <col min="2562" max="2562" width="52.5703125" style="1093" customWidth="1"/>
    <col min="2563" max="2563" width="11" style="1093" customWidth="1"/>
    <col min="2564" max="2564" width="13.42578125" style="1093" customWidth="1"/>
    <col min="2565" max="2565" width="11.28515625" style="1093" customWidth="1"/>
    <col min="2566" max="2566" width="10.28515625" style="1093" customWidth="1"/>
    <col min="2567" max="2567" width="13.85546875" style="1093" customWidth="1"/>
    <col min="2568" max="2569" width="7.85546875" style="1093" customWidth="1"/>
    <col min="2570" max="2570" width="10.85546875" style="1093" customWidth="1"/>
    <col min="2571" max="2571" width="13" style="1093" customWidth="1"/>
    <col min="2572" max="2572" width="11.42578125" style="1093" customWidth="1"/>
    <col min="2573" max="2573" width="10" style="1093" customWidth="1"/>
    <col min="2574" max="2574" width="7.85546875" style="1093" customWidth="1"/>
    <col min="2575" max="2575" width="10.140625" style="1093" customWidth="1"/>
    <col min="2576" max="2577" width="7.85546875" style="1093" customWidth="1"/>
    <col min="2578" max="2578" width="10.85546875" style="1093" customWidth="1"/>
    <col min="2579" max="2579" width="10.7109375" style="1093" customWidth="1"/>
    <col min="2580" max="2580" width="11" style="1093" customWidth="1"/>
    <col min="2581" max="2583" width="7.85546875" style="1093" customWidth="1"/>
    <col min="2584" max="2584" width="11.28515625" style="1093" customWidth="1"/>
    <col min="2585" max="2585" width="12.42578125" style="1093" customWidth="1"/>
    <col min="2586" max="2586" width="11" style="1093" customWidth="1"/>
    <col min="2587" max="2588" width="7.85546875" style="1093" customWidth="1"/>
    <col min="2589" max="2589" width="11" style="1093" customWidth="1"/>
    <col min="2590" max="2590" width="10.5703125" style="1093" customWidth="1"/>
    <col min="2591" max="2592" width="11" style="1093" customWidth="1"/>
    <col min="2593" max="2597" width="7.85546875" style="1093" bestFit="1" customWidth="1"/>
    <col min="2598" max="2598" width="8.42578125" style="1093" bestFit="1" customWidth="1"/>
    <col min="2599" max="2599" width="11.42578125" style="1093" customWidth="1"/>
    <col min="2600" max="2600" width="7.85546875" style="1093" bestFit="1" customWidth="1"/>
    <col min="2601" max="2601" width="9.5703125" style="1093" customWidth="1"/>
    <col min="2602" max="2602" width="7.85546875" style="1093" bestFit="1" customWidth="1"/>
    <col min="2603" max="2603" width="12" style="1093" customWidth="1"/>
    <col min="2604" max="2604" width="13.42578125" style="1093" customWidth="1"/>
    <col min="2605" max="2605" width="9.5703125" style="1093" bestFit="1" customWidth="1"/>
    <col min="2606" max="2612" width="9.140625" style="1093" customWidth="1"/>
    <col min="2613" max="2816" width="9.140625" style="1093"/>
    <col min="2817" max="2817" width="16.7109375" style="1093" customWidth="1"/>
    <col min="2818" max="2818" width="52.5703125" style="1093" customWidth="1"/>
    <col min="2819" max="2819" width="11" style="1093" customWidth="1"/>
    <col min="2820" max="2820" width="13.42578125" style="1093" customWidth="1"/>
    <col min="2821" max="2821" width="11.28515625" style="1093" customWidth="1"/>
    <col min="2822" max="2822" width="10.28515625" style="1093" customWidth="1"/>
    <col min="2823" max="2823" width="13.85546875" style="1093" customWidth="1"/>
    <col min="2824" max="2825" width="7.85546875" style="1093" customWidth="1"/>
    <col min="2826" max="2826" width="10.85546875" style="1093" customWidth="1"/>
    <col min="2827" max="2827" width="13" style="1093" customWidth="1"/>
    <col min="2828" max="2828" width="11.42578125" style="1093" customWidth="1"/>
    <col min="2829" max="2829" width="10" style="1093" customWidth="1"/>
    <col min="2830" max="2830" width="7.85546875" style="1093" customWidth="1"/>
    <col min="2831" max="2831" width="10.140625" style="1093" customWidth="1"/>
    <col min="2832" max="2833" width="7.85546875" style="1093" customWidth="1"/>
    <col min="2834" max="2834" width="10.85546875" style="1093" customWidth="1"/>
    <col min="2835" max="2835" width="10.7109375" style="1093" customWidth="1"/>
    <col min="2836" max="2836" width="11" style="1093" customWidth="1"/>
    <col min="2837" max="2839" width="7.85546875" style="1093" customWidth="1"/>
    <col min="2840" max="2840" width="11.28515625" style="1093" customWidth="1"/>
    <col min="2841" max="2841" width="12.42578125" style="1093" customWidth="1"/>
    <col min="2842" max="2842" width="11" style="1093" customWidth="1"/>
    <col min="2843" max="2844" width="7.85546875" style="1093" customWidth="1"/>
    <col min="2845" max="2845" width="11" style="1093" customWidth="1"/>
    <col min="2846" max="2846" width="10.5703125" style="1093" customWidth="1"/>
    <col min="2847" max="2848" width="11" style="1093" customWidth="1"/>
    <col min="2849" max="2853" width="7.85546875" style="1093" bestFit="1" customWidth="1"/>
    <col min="2854" max="2854" width="8.42578125" style="1093" bestFit="1" customWidth="1"/>
    <col min="2855" max="2855" width="11.42578125" style="1093" customWidth="1"/>
    <col min="2856" max="2856" width="7.85546875" style="1093" bestFit="1" customWidth="1"/>
    <col min="2857" max="2857" width="9.5703125" style="1093" customWidth="1"/>
    <col min="2858" max="2858" width="7.85546875" style="1093" bestFit="1" customWidth="1"/>
    <col min="2859" max="2859" width="12" style="1093" customWidth="1"/>
    <col min="2860" max="2860" width="13.42578125" style="1093" customWidth="1"/>
    <col min="2861" max="2861" width="9.5703125" style="1093" bestFit="1" customWidth="1"/>
    <col min="2862" max="2868" width="9.140625" style="1093" customWidth="1"/>
    <col min="2869" max="3072" width="9.140625" style="1093"/>
    <col min="3073" max="3073" width="16.7109375" style="1093" customWidth="1"/>
    <col min="3074" max="3074" width="52.5703125" style="1093" customWidth="1"/>
    <col min="3075" max="3075" width="11" style="1093" customWidth="1"/>
    <col min="3076" max="3076" width="13.42578125" style="1093" customWidth="1"/>
    <col min="3077" max="3077" width="11.28515625" style="1093" customWidth="1"/>
    <col min="3078" max="3078" width="10.28515625" style="1093" customWidth="1"/>
    <col min="3079" max="3079" width="13.85546875" style="1093" customWidth="1"/>
    <col min="3080" max="3081" width="7.85546875" style="1093" customWidth="1"/>
    <col min="3082" max="3082" width="10.85546875" style="1093" customWidth="1"/>
    <col min="3083" max="3083" width="13" style="1093" customWidth="1"/>
    <col min="3084" max="3084" width="11.42578125" style="1093" customWidth="1"/>
    <col min="3085" max="3085" width="10" style="1093" customWidth="1"/>
    <col min="3086" max="3086" width="7.85546875" style="1093" customWidth="1"/>
    <col min="3087" max="3087" width="10.140625" style="1093" customWidth="1"/>
    <col min="3088" max="3089" width="7.85546875" style="1093" customWidth="1"/>
    <col min="3090" max="3090" width="10.85546875" style="1093" customWidth="1"/>
    <col min="3091" max="3091" width="10.7109375" style="1093" customWidth="1"/>
    <col min="3092" max="3092" width="11" style="1093" customWidth="1"/>
    <col min="3093" max="3095" width="7.85546875" style="1093" customWidth="1"/>
    <col min="3096" max="3096" width="11.28515625" style="1093" customWidth="1"/>
    <col min="3097" max="3097" width="12.42578125" style="1093" customWidth="1"/>
    <col min="3098" max="3098" width="11" style="1093" customWidth="1"/>
    <col min="3099" max="3100" width="7.85546875" style="1093" customWidth="1"/>
    <col min="3101" max="3101" width="11" style="1093" customWidth="1"/>
    <col min="3102" max="3102" width="10.5703125" style="1093" customWidth="1"/>
    <col min="3103" max="3104" width="11" style="1093" customWidth="1"/>
    <col min="3105" max="3109" width="7.85546875" style="1093" bestFit="1" customWidth="1"/>
    <col min="3110" max="3110" width="8.42578125" style="1093" bestFit="1" customWidth="1"/>
    <col min="3111" max="3111" width="11.42578125" style="1093" customWidth="1"/>
    <col min="3112" max="3112" width="7.85546875" style="1093" bestFit="1" customWidth="1"/>
    <col min="3113" max="3113" width="9.5703125" style="1093" customWidth="1"/>
    <col min="3114" max="3114" width="7.85546875" style="1093" bestFit="1" customWidth="1"/>
    <col min="3115" max="3115" width="12" style="1093" customWidth="1"/>
    <col min="3116" max="3116" width="13.42578125" style="1093" customWidth="1"/>
    <col min="3117" max="3117" width="9.5703125" style="1093" bestFit="1" customWidth="1"/>
    <col min="3118" max="3124" width="9.140625" style="1093" customWidth="1"/>
    <col min="3125" max="3328" width="9.140625" style="1093"/>
    <col min="3329" max="3329" width="16.7109375" style="1093" customWidth="1"/>
    <col min="3330" max="3330" width="52.5703125" style="1093" customWidth="1"/>
    <col min="3331" max="3331" width="11" style="1093" customWidth="1"/>
    <col min="3332" max="3332" width="13.42578125" style="1093" customWidth="1"/>
    <col min="3333" max="3333" width="11.28515625" style="1093" customWidth="1"/>
    <col min="3334" max="3334" width="10.28515625" style="1093" customWidth="1"/>
    <col min="3335" max="3335" width="13.85546875" style="1093" customWidth="1"/>
    <col min="3336" max="3337" width="7.85546875" style="1093" customWidth="1"/>
    <col min="3338" max="3338" width="10.85546875" style="1093" customWidth="1"/>
    <col min="3339" max="3339" width="13" style="1093" customWidth="1"/>
    <col min="3340" max="3340" width="11.42578125" style="1093" customWidth="1"/>
    <col min="3341" max="3341" width="10" style="1093" customWidth="1"/>
    <col min="3342" max="3342" width="7.85546875" style="1093" customWidth="1"/>
    <col min="3343" max="3343" width="10.140625" style="1093" customWidth="1"/>
    <col min="3344" max="3345" width="7.85546875" style="1093" customWidth="1"/>
    <col min="3346" max="3346" width="10.85546875" style="1093" customWidth="1"/>
    <col min="3347" max="3347" width="10.7109375" style="1093" customWidth="1"/>
    <col min="3348" max="3348" width="11" style="1093" customWidth="1"/>
    <col min="3349" max="3351" width="7.85546875" style="1093" customWidth="1"/>
    <col min="3352" max="3352" width="11.28515625" style="1093" customWidth="1"/>
    <col min="3353" max="3353" width="12.42578125" style="1093" customWidth="1"/>
    <col min="3354" max="3354" width="11" style="1093" customWidth="1"/>
    <col min="3355" max="3356" width="7.85546875" style="1093" customWidth="1"/>
    <col min="3357" max="3357" width="11" style="1093" customWidth="1"/>
    <col min="3358" max="3358" width="10.5703125" style="1093" customWidth="1"/>
    <col min="3359" max="3360" width="11" style="1093" customWidth="1"/>
    <col min="3361" max="3365" width="7.85546875" style="1093" bestFit="1" customWidth="1"/>
    <col min="3366" max="3366" width="8.42578125" style="1093" bestFit="1" customWidth="1"/>
    <col min="3367" max="3367" width="11.42578125" style="1093" customWidth="1"/>
    <col min="3368" max="3368" width="7.85546875" style="1093" bestFit="1" customWidth="1"/>
    <col min="3369" max="3369" width="9.5703125" style="1093" customWidth="1"/>
    <col min="3370" max="3370" width="7.85546875" style="1093" bestFit="1" customWidth="1"/>
    <col min="3371" max="3371" width="12" style="1093" customWidth="1"/>
    <col min="3372" max="3372" width="13.42578125" style="1093" customWidth="1"/>
    <col min="3373" max="3373" width="9.5703125" style="1093" bestFit="1" customWidth="1"/>
    <col min="3374" max="3380" width="9.140625" style="1093" customWidth="1"/>
    <col min="3381" max="3584" width="9.140625" style="1093"/>
    <col min="3585" max="3585" width="16.7109375" style="1093" customWidth="1"/>
    <col min="3586" max="3586" width="52.5703125" style="1093" customWidth="1"/>
    <col min="3587" max="3587" width="11" style="1093" customWidth="1"/>
    <col min="3588" max="3588" width="13.42578125" style="1093" customWidth="1"/>
    <col min="3589" max="3589" width="11.28515625" style="1093" customWidth="1"/>
    <col min="3590" max="3590" width="10.28515625" style="1093" customWidth="1"/>
    <col min="3591" max="3591" width="13.85546875" style="1093" customWidth="1"/>
    <col min="3592" max="3593" width="7.85546875" style="1093" customWidth="1"/>
    <col min="3594" max="3594" width="10.85546875" style="1093" customWidth="1"/>
    <col min="3595" max="3595" width="13" style="1093" customWidth="1"/>
    <col min="3596" max="3596" width="11.42578125" style="1093" customWidth="1"/>
    <col min="3597" max="3597" width="10" style="1093" customWidth="1"/>
    <col min="3598" max="3598" width="7.85546875" style="1093" customWidth="1"/>
    <col min="3599" max="3599" width="10.140625" style="1093" customWidth="1"/>
    <col min="3600" max="3601" width="7.85546875" style="1093" customWidth="1"/>
    <col min="3602" max="3602" width="10.85546875" style="1093" customWidth="1"/>
    <col min="3603" max="3603" width="10.7109375" style="1093" customWidth="1"/>
    <col min="3604" max="3604" width="11" style="1093" customWidth="1"/>
    <col min="3605" max="3607" width="7.85546875" style="1093" customWidth="1"/>
    <col min="3608" max="3608" width="11.28515625" style="1093" customWidth="1"/>
    <col min="3609" max="3609" width="12.42578125" style="1093" customWidth="1"/>
    <col min="3610" max="3610" width="11" style="1093" customWidth="1"/>
    <col min="3611" max="3612" width="7.85546875" style="1093" customWidth="1"/>
    <col min="3613" max="3613" width="11" style="1093" customWidth="1"/>
    <col min="3614" max="3614" width="10.5703125" style="1093" customWidth="1"/>
    <col min="3615" max="3616" width="11" style="1093" customWidth="1"/>
    <col min="3617" max="3621" width="7.85546875" style="1093" bestFit="1" customWidth="1"/>
    <col min="3622" max="3622" width="8.42578125" style="1093" bestFit="1" customWidth="1"/>
    <col min="3623" max="3623" width="11.42578125" style="1093" customWidth="1"/>
    <col min="3624" max="3624" width="7.85546875" style="1093" bestFit="1" customWidth="1"/>
    <col min="3625" max="3625" width="9.5703125" style="1093" customWidth="1"/>
    <col min="3626" max="3626" width="7.85546875" style="1093" bestFit="1" customWidth="1"/>
    <col min="3627" max="3627" width="12" style="1093" customWidth="1"/>
    <col min="3628" max="3628" width="13.42578125" style="1093" customWidth="1"/>
    <col min="3629" max="3629" width="9.5703125" style="1093" bestFit="1" customWidth="1"/>
    <col min="3630" max="3636" width="9.140625" style="1093" customWidth="1"/>
    <col min="3637" max="3840" width="9.140625" style="1093"/>
    <col min="3841" max="3841" width="16.7109375" style="1093" customWidth="1"/>
    <col min="3842" max="3842" width="52.5703125" style="1093" customWidth="1"/>
    <col min="3843" max="3843" width="11" style="1093" customWidth="1"/>
    <col min="3844" max="3844" width="13.42578125" style="1093" customWidth="1"/>
    <col min="3845" max="3845" width="11.28515625" style="1093" customWidth="1"/>
    <col min="3846" max="3846" width="10.28515625" style="1093" customWidth="1"/>
    <col min="3847" max="3847" width="13.85546875" style="1093" customWidth="1"/>
    <col min="3848" max="3849" width="7.85546875" style="1093" customWidth="1"/>
    <col min="3850" max="3850" width="10.85546875" style="1093" customWidth="1"/>
    <col min="3851" max="3851" width="13" style="1093" customWidth="1"/>
    <col min="3852" max="3852" width="11.42578125" style="1093" customWidth="1"/>
    <col min="3853" max="3853" width="10" style="1093" customWidth="1"/>
    <col min="3854" max="3854" width="7.85546875" style="1093" customWidth="1"/>
    <col min="3855" max="3855" width="10.140625" style="1093" customWidth="1"/>
    <col min="3856" max="3857" width="7.85546875" style="1093" customWidth="1"/>
    <col min="3858" max="3858" width="10.85546875" style="1093" customWidth="1"/>
    <col min="3859" max="3859" width="10.7109375" style="1093" customWidth="1"/>
    <col min="3860" max="3860" width="11" style="1093" customWidth="1"/>
    <col min="3861" max="3863" width="7.85546875" style="1093" customWidth="1"/>
    <col min="3864" max="3864" width="11.28515625" style="1093" customWidth="1"/>
    <col min="3865" max="3865" width="12.42578125" style="1093" customWidth="1"/>
    <col min="3866" max="3866" width="11" style="1093" customWidth="1"/>
    <col min="3867" max="3868" width="7.85546875" style="1093" customWidth="1"/>
    <col min="3869" max="3869" width="11" style="1093" customWidth="1"/>
    <col min="3870" max="3870" width="10.5703125" style="1093" customWidth="1"/>
    <col min="3871" max="3872" width="11" style="1093" customWidth="1"/>
    <col min="3873" max="3877" width="7.85546875" style="1093" bestFit="1" customWidth="1"/>
    <col min="3878" max="3878" width="8.42578125" style="1093" bestFit="1" customWidth="1"/>
    <col min="3879" max="3879" width="11.42578125" style="1093" customWidth="1"/>
    <col min="3880" max="3880" width="7.85546875" style="1093" bestFit="1" customWidth="1"/>
    <col min="3881" max="3881" width="9.5703125" style="1093" customWidth="1"/>
    <col min="3882" max="3882" width="7.85546875" style="1093" bestFit="1" customWidth="1"/>
    <col min="3883" max="3883" width="12" style="1093" customWidth="1"/>
    <col min="3884" max="3884" width="13.42578125" style="1093" customWidth="1"/>
    <col min="3885" max="3885" width="9.5703125" style="1093" bestFit="1" customWidth="1"/>
    <col min="3886" max="3892" width="9.140625" style="1093" customWidth="1"/>
    <col min="3893" max="4096" width="9.140625" style="1093"/>
    <col min="4097" max="4097" width="16.7109375" style="1093" customWidth="1"/>
    <col min="4098" max="4098" width="52.5703125" style="1093" customWidth="1"/>
    <col min="4099" max="4099" width="11" style="1093" customWidth="1"/>
    <col min="4100" max="4100" width="13.42578125" style="1093" customWidth="1"/>
    <col min="4101" max="4101" width="11.28515625" style="1093" customWidth="1"/>
    <col min="4102" max="4102" width="10.28515625" style="1093" customWidth="1"/>
    <col min="4103" max="4103" width="13.85546875" style="1093" customWidth="1"/>
    <col min="4104" max="4105" width="7.85546875" style="1093" customWidth="1"/>
    <col min="4106" max="4106" width="10.85546875" style="1093" customWidth="1"/>
    <col min="4107" max="4107" width="13" style="1093" customWidth="1"/>
    <col min="4108" max="4108" width="11.42578125" style="1093" customWidth="1"/>
    <col min="4109" max="4109" width="10" style="1093" customWidth="1"/>
    <col min="4110" max="4110" width="7.85546875" style="1093" customWidth="1"/>
    <col min="4111" max="4111" width="10.140625" style="1093" customWidth="1"/>
    <col min="4112" max="4113" width="7.85546875" style="1093" customWidth="1"/>
    <col min="4114" max="4114" width="10.85546875" style="1093" customWidth="1"/>
    <col min="4115" max="4115" width="10.7109375" style="1093" customWidth="1"/>
    <col min="4116" max="4116" width="11" style="1093" customWidth="1"/>
    <col min="4117" max="4119" width="7.85546875" style="1093" customWidth="1"/>
    <col min="4120" max="4120" width="11.28515625" style="1093" customWidth="1"/>
    <col min="4121" max="4121" width="12.42578125" style="1093" customWidth="1"/>
    <col min="4122" max="4122" width="11" style="1093" customWidth="1"/>
    <col min="4123" max="4124" width="7.85546875" style="1093" customWidth="1"/>
    <col min="4125" max="4125" width="11" style="1093" customWidth="1"/>
    <col min="4126" max="4126" width="10.5703125" style="1093" customWidth="1"/>
    <col min="4127" max="4128" width="11" style="1093" customWidth="1"/>
    <col min="4129" max="4133" width="7.85546875" style="1093" bestFit="1" customWidth="1"/>
    <col min="4134" max="4134" width="8.42578125" style="1093" bestFit="1" customWidth="1"/>
    <col min="4135" max="4135" width="11.42578125" style="1093" customWidth="1"/>
    <col min="4136" max="4136" width="7.85546875" style="1093" bestFit="1" customWidth="1"/>
    <col min="4137" max="4137" width="9.5703125" style="1093" customWidth="1"/>
    <col min="4138" max="4138" width="7.85546875" style="1093" bestFit="1" customWidth="1"/>
    <col min="4139" max="4139" width="12" style="1093" customWidth="1"/>
    <col min="4140" max="4140" width="13.42578125" style="1093" customWidth="1"/>
    <col min="4141" max="4141" width="9.5703125" style="1093" bestFit="1" customWidth="1"/>
    <col min="4142" max="4148" width="9.140625" style="1093" customWidth="1"/>
    <col min="4149" max="4352" width="9.140625" style="1093"/>
    <col min="4353" max="4353" width="16.7109375" style="1093" customWidth="1"/>
    <col min="4354" max="4354" width="52.5703125" style="1093" customWidth="1"/>
    <col min="4355" max="4355" width="11" style="1093" customWidth="1"/>
    <col min="4356" max="4356" width="13.42578125" style="1093" customWidth="1"/>
    <col min="4357" max="4357" width="11.28515625" style="1093" customWidth="1"/>
    <col min="4358" max="4358" width="10.28515625" style="1093" customWidth="1"/>
    <col min="4359" max="4359" width="13.85546875" style="1093" customWidth="1"/>
    <col min="4360" max="4361" width="7.85546875" style="1093" customWidth="1"/>
    <col min="4362" max="4362" width="10.85546875" style="1093" customWidth="1"/>
    <col min="4363" max="4363" width="13" style="1093" customWidth="1"/>
    <col min="4364" max="4364" width="11.42578125" style="1093" customWidth="1"/>
    <col min="4365" max="4365" width="10" style="1093" customWidth="1"/>
    <col min="4366" max="4366" width="7.85546875" style="1093" customWidth="1"/>
    <col min="4367" max="4367" width="10.140625" style="1093" customWidth="1"/>
    <col min="4368" max="4369" width="7.85546875" style="1093" customWidth="1"/>
    <col min="4370" max="4370" width="10.85546875" style="1093" customWidth="1"/>
    <col min="4371" max="4371" width="10.7109375" style="1093" customWidth="1"/>
    <col min="4372" max="4372" width="11" style="1093" customWidth="1"/>
    <col min="4373" max="4375" width="7.85546875" style="1093" customWidth="1"/>
    <col min="4376" max="4376" width="11.28515625" style="1093" customWidth="1"/>
    <col min="4377" max="4377" width="12.42578125" style="1093" customWidth="1"/>
    <col min="4378" max="4378" width="11" style="1093" customWidth="1"/>
    <col min="4379" max="4380" width="7.85546875" style="1093" customWidth="1"/>
    <col min="4381" max="4381" width="11" style="1093" customWidth="1"/>
    <col min="4382" max="4382" width="10.5703125" style="1093" customWidth="1"/>
    <col min="4383" max="4384" width="11" style="1093" customWidth="1"/>
    <col min="4385" max="4389" width="7.85546875" style="1093" bestFit="1" customWidth="1"/>
    <col min="4390" max="4390" width="8.42578125" style="1093" bestFit="1" customWidth="1"/>
    <col min="4391" max="4391" width="11.42578125" style="1093" customWidth="1"/>
    <col min="4392" max="4392" width="7.85546875" style="1093" bestFit="1" customWidth="1"/>
    <col min="4393" max="4393" width="9.5703125" style="1093" customWidth="1"/>
    <col min="4394" max="4394" width="7.85546875" style="1093" bestFit="1" customWidth="1"/>
    <col min="4395" max="4395" width="12" style="1093" customWidth="1"/>
    <col min="4396" max="4396" width="13.42578125" style="1093" customWidth="1"/>
    <col min="4397" max="4397" width="9.5703125" style="1093" bestFit="1" customWidth="1"/>
    <col min="4398" max="4404" width="9.140625" style="1093" customWidth="1"/>
    <col min="4405" max="4608" width="9.140625" style="1093"/>
    <col min="4609" max="4609" width="16.7109375" style="1093" customWidth="1"/>
    <col min="4610" max="4610" width="52.5703125" style="1093" customWidth="1"/>
    <col min="4611" max="4611" width="11" style="1093" customWidth="1"/>
    <col min="4612" max="4612" width="13.42578125" style="1093" customWidth="1"/>
    <col min="4613" max="4613" width="11.28515625" style="1093" customWidth="1"/>
    <col min="4614" max="4614" width="10.28515625" style="1093" customWidth="1"/>
    <col min="4615" max="4615" width="13.85546875" style="1093" customWidth="1"/>
    <col min="4616" max="4617" width="7.85546875" style="1093" customWidth="1"/>
    <col min="4618" max="4618" width="10.85546875" style="1093" customWidth="1"/>
    <col min="4619" max="4619" width="13" style="1093" customWidth="1"/>
    <col min="4620" max="4620" width="11.42578125" style="1093" customWidth="1"/>
    <col min="4621" max="4621" width="10" style="1093" customWidth="1"/>
    <col min="4622" max="4622" width="7.85546875" style="1093" customWidth="1"/>
    <col min="4623" max="4623" width="10.140625" style="1093" customWidth="1"/>
    <col min="4624" max="4625" width="7.85546875" style="1093" customWidth="1"/>
    <col min="4626" max="4626" width="10.85546875" style="1093" customWidth="1"/>
    <col min="4627" max="4627" width="10.7109375" style="1093" customWidth="1"/>
    <col min="4628" max="4628" width="11" style="1093" customWidth="1"/>
    <col min="4629" max="4631" width="7.85546875" style="1093" customWidth="1"/>
    <col min="4632" max="4632" width="11.28515625" style="1093" customWidth="1"/>
    <col min="4633" max="4633" width="12.42578125" style="1093" customWidth="1"/>
    <col min="4634" max="4634" width="11" style="1093" customWidth="1"/>
    <col min="4635" max="4636" width="7.85546875" style="1093" customWidth="1"/>
    <col min="4637" max="4637" width="11" style="1093" customWidth="1"/>
    <col min="4638" max="4638" width="10.5703125" style="1093" customWidth="1"/>
    <col min="4639" max="4640" width="11" style="1093" customWidth="1"/>
    <col min="4641" max="4645" width="7.85546875" style="1093" bestFit="1" customWidth="1"/>
    <col min="4646" max="4646" width="8.42578125" style="1093" bestFit="1" customWidth="1"/>
    <col min="4647" max="4647" width="11.42578125" style="1093" customWidth="1"/>
    <col min="4648" max="4648" width="7.85546875" style="1093" bestFit="1" customWidth="1"/>
    <col min="4649" max="4649" width="9.5703125" style="1093" customWidth="1"/>
    <col min="4650" max="4650" width="7.85546875" style="1093" bestFit="1" customWidth="1"/>
    <col min="4651" max="4651" width="12" style="1093" customWidth="1"/>
    <col min="4652" max="4652" width="13.42578125" style="1093" customWidth="1"/>
    <col min="4653" max="4653" width="9.5703125" style="1093" bestFit="1" customWidth="1"/>
    <col min="4654" max="4660" width="9.140625" style="1093" customWidth="1"/>
    <col min="4661" max="4864" width="9.140625" style="1093"/>
    <col min="4865" max="4865" width="16.7109375" style="1093" customWidth="1"/>
    <col min="4866" max="4866" width="52.5703125" style="1093" customWidth="1"/>
    <col min="4867" max="4867" width="11" style="1093" customWidth="1"/>
    <col min="4868" max="4868" width="13.42578125" style="1093" customWidth="1"/>
    <col min="4869" max="4869" width="11.28515625" style="1093" customWidth="1"/>
    <col min="4870" max="4870" width="10.28515625" style="1093" customWidth="1"/>
    <col min="4871" max="4871" width="13.85546875" style="1093" customWidth="1"/>
    <col min="4872" max="4873" width="7.85546875" style="1093" customWidth="1"/>
    <col min="4874" max="4874" width="10.85546875" style="1093" customWidth="1"/>
    <col min="4875" max="4875" width="13" style="1093" customWidth="1"/>
    <col min="4876" max="4876" width="11.42578125" style="1093" customWidth="1"/>
    <col min="4877" max="4877" width="10" style="1093" customWidth="1"/>
    <col min="4878" max="4878" width="7.85546875" style="1093" customWidth="1"/>
    <col min="4879" max="4879" width="10.140625" style="1093" customWidth="1"/>
    <col min="4880" max="4881" width="7.85546875" style="1093" customWidth="1"/>
    <col min="4882" max="4882" width="10.85546875" style="1093" customWidth="1"/>
    <col min="4883" max="4883" width="10.7109375" style="1093" customWidth="1"/>
    <col min="4884" max="4884" width="11" style="1093" customWidth="1"/>
    <col min="4885" max="4887" width="7.85546875" style="1093" customWidth="1"/>
    <col min="4888" max="4888" width="11.28515625" style="1093" customWidth="1"/>
    <col min="4889" max="4889" width="12.42578125" style="1093" customWidth="1"/>
    <col min="4890" max="4890" width="11" style="1093" customWidth="1"/>
    <col min="4891" max="4892" width="7.85546875" style="1093" customWidth="1"/>
    <col min="4893" max="4893" width="11" style="1093" customWidth="1"/>
    <col min="4894" max="4894" width="10.5703125" style="1093" customWidth="1"/>
    <col min="4895" max="4896" width="11" style="1093" customWidth="1"/>
    <col min="4897" max="4901" width="7.85546875" style="1093" bestFit="1" customWidth="1"/>
    <col min="4902" max="4902" width="8.42578125" style="1093" bestFit="1" customWidth="1"/>
    <col min="4903" max="4903" width="11.42578125" style="1093" customWidth="1"/>
    <col min="4904" max="4904" width="7.85546875" style="1093" bestFit="1" customWidth="1"/>
    <col min="4905" max="4905" width="9.5703125" style="1093" customWidth="1"/>
    <col min="4906" max="4906" width="7.85546875" style="1093" bestFit="1" customWidth="1"/>
    <col min="4907" max="4907" width="12" style="1093" customWidth="1"/>
    <col min="4908" max="4908" width="13.42578125" style="1093" customWidth="1"/>
    <col min="4909" max="4909" width="9.5703125" style="1093" bestFit="1" customWidth="1"/>
    <col min="4910" max="4916" width="9.140625" style="1093" customWidth="1"/>
    <col min="4917" max="5120" width="9.140625" style="1093"/>
    <col min="5121" max="5121" width="16.7109375" style="1093" customWidth="1"/>
    <col min="5122" max="5122" width="52.5703125" style="1093" customWidth="1"/>
    <col min="5123" max="5123" width="11" style="1093" customWidth="1"/>
    <col min="5124" max="5124" width="13.42578125" style="1093" customWidth="1"/>
    <col min="5125" max="5125" width="11.28515625" style="1093" customWidth="1"/>
    <col min="5126" max="5126" width="10.28515625" style="1093" customWidth="1"/>
    <col min="5127" max="5127" width="13.85546875" style="1093" customWidth="1"/>
    <col min="5128" max="5129" width="7.85546875" style="1093" customWidth="1"/>
    <col min="5130" max="5130" width="10.85546875" style="1093" customWidth="1"/>
    <col min="5131" max="5131" width="13" style="1093" customWidth="1"/>
    <col min="5132" max="5132" width="11.42578125" style="1093" customWidth="1"/>
    <col min="5133" max="5133" width="10" style="1093" customWidth="1"/>
    <col min="5134" max="5134" width="7.85546875" style="1093" customWidth="1"/>
    <col min="5135" max="5135" width="10.140625" style="1093" customWidth="1"/>
    <col min="5136" max="5137" width="7.85546875" style="1093" customWidth="1"/>
    <col min="5138" max="5138" width="10.85546875" style="1093" customWidth="1"/>
    <col min="5139" max="5139" width="10.7109375" style="1093" customWidth="1"/>
    <col min="5140" max="5140" width="11" style="1093" customWidth="1"/>
    <col min="5141" max="5143" width="7.85546875" style="1093" customWidth="1"/>
    <col min="5144" max="5144" width="11.28515625" style="1093" customWidth="1"/>
    <col min="5145" max="5145" width="12.42578125" style="1093" customWidth="1"/>
    <col min="5146" max="5146" width="11" style="1093" customWidth="1"/>
    <col min="5147" max="5148" width="7.85546875" style="1093" customWidth="1"/>
    <col min="5149" max="5149" width="11" style="1093" customWidth="1"/>
    <col min="5150" max="5150" width="10.5703125" style="1093" customWidth="1"/>
    <col min="5151" max="5152" width="11" style="1093" customWidth="1"/>
    <col min="5153" max="5157" width="7.85546875" style="1093" bestFit="1" customWidth="1"/>
    <col min="5158" max="5158" width="8.42578125" style="1093" bestFit="1" customWidth="1"/>
    <col min="5159" max="5159" width="11.42578125" style="1093" customWidth="1"/>
    <col min="5160" max="5160" width="7.85546875" style="1093" bestFit="1" customWidth="1"/>
    <col min="5161" max="5161" width="9.5703125" style="1093" customWidth="1"/>
    <col min="5162" max="5162" width="7.85546875" style="1093" bestFit="1" customWidth="1"/>
    <col min="5163" max="5163" width="12" style="1093" customWidth="1"/>
    <col min="5164" max="5164" width="13.42578125" style="1093" customWidth="1"/>
    <col min="5165" max="5165" width="9.5703125" style="1093" bestFit="1" customWidth="1"/>
    <col min="5166" max="5172" width="9.140625" style="1093" customWidth="1"/>
    <col min="5173" max="5376" width="9.140625" style="1093"/>
    <col min="5377" max="5377" width="16.7109375" style="1093" customWidth="1"/>
    <col min="5378" max="5378" width="52.5703125" style="1093" customWidth="1"/>
    <col min="5379" max="5379" width="11" style="1093" customWidth="1"/>
    <col min="5380" max="5380" width="13.42578125" style="1093" customWidth="1"/>
    <col min="5381" max="5381" width="11.28515625" style="1093" customWidth="1"/>
    <col min="5382" max="5382" width="10.28515625" style="1093" customWidth="1"/>
    <col min="5383" max="5383" width="13.85546875" style="1093" customWidth="1"/>
    <col min="5384" max="5385" width="7.85546875" style="1093" customWidth="1"/>
    <col min="5386" max="5386" width="10.85546875" style="1093" customWidth="1"/>
    <col min="5387" max="5387" width="13" style="1093" customWidth="1"/>
    <col min="5388" max="5388" width="11.42578125" style="1093" customWidth="1"/>
    <col min="5389" max="5389" width="10" style="1093" customWidth="1"/>
    <col min="5390" max="5390" width="7.85546875" style="1093" customWidth="1"/>
    <col min="5391" max="5391" width="10.140625" style="1093" customWidth="1"/>
    <col min="5392" max="5393" width="7.85546875" style="1093" customWidth="1"/>
    <col min="5394" max="5394" width="10.85546875" style="1093" customWidth="1"/>
    <col min="5395" max="5395" width="10.7109375" style="1093" customWidth="1"/>
    <col min="5396" max="5396" width="11" style="1093" customWidth="1"/>
    <col min="5397" max="5399" width="7.85546875" style="1093" customWidth="1"/>
    <col min="5400" max="5400" width="11.28515625" style="1093" customWidth="1"/>
    <col min="5401" max="5401" width="12.42578125" style="1093" customWidth="1"/>
    <col min="5402" max="5402" width="11" style="1093" customWidth="1"/>
    <col min="5403" max="5404" width="7.85546875" style="1093" customWidth="1"/>
    <col min="5405" max="5405" width="11" style="1093" customWidth="1"/>
    <col min="5406" max="5406" width="10.5703125" style="1093" customWidth="1"/>
    <col min="5407" max="5408" width="11" style="1093" customWidth="1"/>
    <col min="5409" max="5413" width="7.85546875" style="1093" bestFit="1" customWidth="1"/>
    <col min="5414" max="5414" width="8.42578125" style="1093" bestFit="1" customWidth="1"/>
    <col min="5415" max="5415" width="11.42578125" style="1093" customWidth="1"/>
    <col min="5416" max="5416" width="7.85546875" style="1093" bestFit="1" customWidth="1"/>
    <col min="5417" max="5417" width="9.5703125" style="1093" customWidth="1"/>
    <col min="5418" max="5418" width="7.85546875" style="1093" bestFit="1" customWidth="1"/>
    <col min="5419" max="5419" width="12" style="1093" customWidth="1"/>
    <col min="5420" max="5420" width="13.42578125" style="1093" customWidth="1"/>
    <col min="5421" max="5421" width="9.5703125" style="1093" bestFit="1" customWidth="1"/>
    <col min="5422" max="5428" width="9.140625" style="1093" customWidth="1"/>
    <col min="5429" max="5632" width="9.140625" style="1093"/>
    <col min="5633" max="5633" width="16.7109375" style="1093" customWidth="1"/>
    <col min="5634" max="5634" width="52.5703125" style="1093" customWidth="1"/>
    <col min="5635" max="5635" width="11" style="1093" customWidth="1"/>
    <col min="5636" max="5636" width="13.42578125" style="1093" customWidth="1"/>
    <col min="5637" max="5637" width="11.28515625" style="1093" customWidth="1"/>
    <col min="5638" max="5638" width="10.28515625" style="1093" customWidth="1"/>
    <col min="5639" max="5639" width="13.85546875" style="1093" customWidth="1"/>
    <col min="5640" max="5641" width="7.85546875" style="1093" customWidth="1"/>
    <col min="5642" max="5642" width="10.85546875" style="1093" customWidth="1"/>
    <col min="5643" max="5643" width="13" style="1093" customWidth="1"/>
    <col min="5644" max="5644" width="11.42578125" style="1093" customWidth="1"/>
    <col min="5645" max="5645" width="10" style="1093" customWidth="1"/>
    <col min="5646" max="5646" width="7.85546875" style="1093" customWidth="1"/>
    <col min="5647" max="5647" width="10.140625" style="1093" customWidth="1"/>
    <col min="5648" max="5649" width="7.85546875" style="1093" customWidth="1"/>
    <col min="5650" max="5650" width="10.85546875" style="1093" customWidth="1"/>
    <col min="5651" max="5651" width="10.7109375" style="1093" customWidth="1"/>
    <col min="5652" max="5652" width="11" style="1093" customWidth="1"/>
    <col min="5653" max="5655" width="7.85546875" style="1093" customWidth="1"/>
    <col min="5656" max="5656" width="11.28515625" style="1093" customWidth="1"/>
    <col min="5657" max="5657" width="12.42578125" style="1093" customWidth="1"/>
    <col min="5658" max="5658" width="11" style="1093" customWidth="1"/>
    <col min="5659" max="5660" width="7.85546875" style="1093" customWidth="1"/>
    <col min="5661" max="5661" width="11" style="1093" customWidth="1"/>
    <col min="5662" max="5662" width="10.5703125" style="1093" customWidth="1"/>
    <col min="5663" max="5664" width="11" style="1093" customWidth="1"/>
    <col min="5665" max="5669" width="7.85546875" style="1093" bestFit="1" customWidth="1"/>
    <col min="5670" max="5670" width="8.42578125" style="1093" bestFit="1" customWidth="1"/>
    <col min="5671" max="5671" width="11.42578125" style="1093" customWidth="1"/>
    <col min="5672" max="5672" width="7.85546875" style="1093" bestFit="1" customWidth="1"/>
    <col min="5673" max="5673" width="9.5703125" style="1093" customWidth="1"/>
    <col min="5674" max="5674" width="7.85546875" style="1093" bestFit="1" customWidth="1"/>
    <col min="5675" max="5675" width="12" style="1093" customWidth="1"/>
    <col min="5676" max="5676" width="13.42578125" style="1093" customWidth="1"/>
    <col min="5677" max="5677" width="9.5703125" style="1093" bestFit="1" customWidth="1"/>
    <col min="5678" max="5684" width="9.140625" style="1093" customWidth="1"/>
    <col min="5685" max="5888" width="9.140625" style="1093"/>
    <col min="5889" max="5889" width="16.7109375" style="1093" customWidth="1"/>
    <col min="5890" max="5890" width="52.5703125" style="1093" customWidth="1"/>
    <col min="5891" max="5891" width="11" style="1093" customWidth="1"/>
    <col min="5892" max="5892" width="13.42578125" style="1093" customWidth="1"/>
    <col min="5893" max="5893" width="11.28515625" style="1093" customWidth="1"/>
    <col min="5894" max="5894" width="10.28515625" style="1093" customWidth="1"/>
    <col min="5895" max="5895" width="13.85546875" style="1093" customWidth="1"/>
    <col min="5896" max="5897" width="7.85546875" style="1093" customWidth="1"/>
    <col min="5898" max="5898" width="10.85546875" style="1093" customWidth="1"/>
    <col min="5899" max="5899" width="13" style="1093" customWidth="1"/>
    <col min="5900" max="5900" width="11.42578125" style="1093" customWidth="1"/>
    <col min="5901" max="5901" width="10" style="1093" customWidth="1"/>
    <col min="5902" max="5902" width="7.85546875" style="1093" customWidth="1"/>
    <col min="5903" max="5903" width="10.140625" style="1093" customWidth="1"/>
    <col min="5904" max="5905" width="7.85546875" style="1093" customWidth="1"/>
    <col min="5906" max="5906" width="10.85546875" style="1093" customWidth="1"/>
    <col min="5907" max="5907" width="10.7109375" style="1093" customWidth="1"/>
    <col min="5908" max="5908" width="11" style="1093" customWidth="1"/>
    <col min="5909" max="5911" width="7.85546875" style="1093" customWidth="1"/>
    <col min="5912" max="5912" width="11.28515625" style="1093" customWidth="1"/>
    <col min="5913" max="5913" width="12.42578125" style="1093" customWidth="1"/>
    <col min="5914" max="5914" width="11" style="1093" customWidth="1"/>
    <col min="5915" max="5916" width="7.85546875" style="1093" customWidth="1"/>
    <col min="5917" max="5917" width="11" style="1093" customWidth="1"/>
    <col min="5918" max="5918" width="10.5703125" style="1093" customWidth="1"/>
    <col min="5919" max="5920" width="11" style="1093" customWidth="1"/>
    <col min="5921" max="5925" width="7.85546875" style="1093" bestFit="1" customWidth="1"/>
    <col min="5926" max="5926" width="8.42578125" style="1093" bestFit="1" customWidth="1"/>
    <col min="5927" max="5927" width="11.42578125" style="1093" customWidth="1"/>
    <col min="5928" max="5928" width="7.85546875" style="1093" bestFit="1" customWidth="1"/>
    <col min="5929" max="5929" width="9.5703125" style="1093" customWidth="1"/>
    <col min="5930" max="5930" width="7.85546875" style="1093" bestFit="1" customWidth="1"/>
    <col min="5931" max="5931" width="12" style="1093" customWidth="1"/>
    <col min="5932" max="5932" width="13.42578125" style="1093" customWidth="1"/>
    <col min="5933" max="5933" width="9.5703125" style="1093" bestFit="1" customWidth="1"/>
    <col min="5934" max="5940" width="9.140625" style="1093" customWidth="1"/>
    <col min="5941" max="6144" width="9.140625" style="1093"/>
    <col min="6145" max="6145" width="16.7109375" style="1093" customWidth="1"/>
    <col min="6146" max="6146" width="52.5703125" style="1093" customWidth="1"/>
    <col min="6147" max="6147" width="11" style="1093" customWidth="1"/>
    <col min="6148" max="6148" width="13.42578125" style="1093" customWidth="1"/>
    <col min="6149" max="6149" width="11.28515625" style="1093" customWidth="1"/>
    <col min="6150" max="6150" width="10.28515625" style="1093" customWidth="1"/>
    <col min="6151" max="6151" width="13.85546875" style="1093" customWidth="1"/>
    <col min="6152" max="6153" width="7.85546875" style="1093" customWidth="1"/>
    <col min="6154" max="6154" width="10.85546875" style="1093" customWidth="1"/>
    <col min="6155" max="6155" width="13" style="1093" customWidth="1"/>
    <col min="6156" max="6156" width="11.42578125" style="1093" customWidth="1"/>
    <col min="6157" max="6157" width="10" style="1093" customWidth="1"/>
    <col min="6158" max="6158" width="7.85546875" style="1093" customWidth="1"/>
    <col min="6159" max="6159" width="10.140625" style="1093" customWidth="1"/>
    <col min="6160" max="6161" width="7.85546875" style="1093" customWidth="1"/>
    <col min="6162" max="6162" width="10.85546875" style="1093" customWidth="1"/>
    <col min="6163" max="6163" width="10.7109375" style="1093" customWidth="1"/>
    <col min="6164" max="6164" width="11" style="1093" customWidth="1"/>
    <col min="6165" max="6167" width="7.85546875" style="1093" customWidth="1"/>
    <col min="6168" max="6168" width="11.28515625" style="1093" customWidth="1"/>
    <col min="6169" max="6169" width="12.42578125" style="1093" customWidth="1"/>
    <col min="6170" max="6170" width="11" style="1093" customWidth="1"/>
    <col min="6171" max="6172" width="7.85546875" style="1093" customWidth="1"/>
    <col min="6173" max="6173" width="11" style="1093" customWidth="1"/>
    <col min="6174" max="6174" width="10.5703125" style="1093" customWidth="1"/>
    <col min="6175" max="6176" width="11" style="1093" customWidth="1"/>
    <col min="6177" max="6181" width="7.85546875" style="1093" bestFit="1" customWidth="1"/>
    <col min="6182" max="6182" width="8.42578125" style="1093" bestFit="1" customWidth="1"/>
    <col min="6183" max="6183" width="11.42578125" style="1093" customWidth="1"/>
    <col min="6184" max="6184" width="7.85546875" style="1093" bestFit="1" customWidth="1"/>
    <col min="6185" max="6185" width="9.5703125" style="1093" customWidth="1"/>
    <col min="6186" max="6186" width="7.85546875" style="1093" bestFit="1" customWidth="1"/>
    <col min="6187" max="6187" width="12" style="1093" customWidth="1"/>
    <col min="6188" max="6188" width="13.42578125" style="1093" customWidth="1"/>
    <col min="6189" max="6189" width="9.5703125" style="1093" bestFit="1" customWidth="1"/>
    <col min="6190" max="6196" width="9.140625" style="1093" customWidth="1"/>
    <col min="6197" max="6400" width="9.140625" style="1093"/>
    <col min="6401" max="6401" width="16.7109375" style="1093" customWidth="1"/>
    <col min="6402" max="6402" width="52.5703125" style="1093" customWidth="1"/>
    <col min="6403" max="6403" width="11" style="1093" customWidth="1"/>
    <col min="6404" max="6404" width="13.42578125" style="1093" customWidth="1"/>
    <col min="6405" max="6405" width="11.28515625" style="1093" customWidth="1"/>
    <col min="6406" max="6406" width="10.28515625" style="1093" customWidth="1"/>
    <col min="6407" max="6407" width="13.85546875" style="1093" customWidth="1"/>
    <col min="6408" max="6409" width="7.85546875" style="1093" customWidth="1"/>
    <col min="6410" max="6410" width="10.85546875" style="1093" customWidth="1"/>
    <col min="6411" max="6411" width="13" style="1093" customWidth="1"/>
    <col min="6412" max="6412" width="11.42578125" style="1093" customWidth="1"/>
    <col min="6413" max="6413" width="10" style="1093" customWidth="1"/>
    <col min="6414" max="6414" width="7.85546875" style="1093" customWidth="1"/>
    <col min="6415" max="6415" width="10.140625" style="1093" customWidth="1"/>
    <col min="6416" max="6417" width="7.85546875" style="1093" customWidth="1"/>
    <col min="6418" max="6418" width="10.85546875" style="1093" customWidth="1"/>
    <col min="6419" max="6419" width="10.7109375" style="1093" customWidth="1"/>
    <col min="6420" max="6420" width="11" style="1093" customWidth="1"/>
    <col min="6421" max="6423" width="7.85546875" style="1093" customWidth="1"/>
    <col min="6424" max="6424" width="11.28515625" style="1093" customWidth="1"/>
    <col min="6425" max="6425" width="12.42578125" style="1093" customWidth="1"/>
    <col min="6426" max="6426" width="11" style="1093" customWidth="1"/>
    <col min="6427" max="6428" width="7.85546875" style="1093" customWidth="1"/>
    <col min="6429" max="6429" width="11" style="1093" customWidth="1"/>
    <col min="6430" max="6430" width="10.5703125" style="1093" customWidth="1"/>
    <col min="6431" max="6432" width="11" style="1093" customWidth="1"/>
    <col min="6433" max="6437" width="7.85546875" style="1093" bestFit="1" customWidth="1"/>
    <col min="6438" max="6438" width="8.42578125" style="1093" bestFit="1" customWidth="1"/>
    <col min="6439" max="6439" width="11.42578125" style="1093" customWidth="1"/>
    <col min="6440" max="6440" width="7.85546875" style="1093" bestFit="1" customWidth="1"/>
    <col min="6441" max="6441" width="9.5703125" style="1093" customWidth="1"/>
    <col min="6442" max="6442" width="7.85546875" style="1093" bestFit="1" customWidth="1"/>
    <col min="6443" max="6443" width="12" style="1093" customWidth="1"/>
    <col min="6444" max="6444" width="13.42578125" style="1093" customWidth="1"/>
    <col min="6445" max="6445" width="9.5703125" style="1093" bestFit="1" customWidth="1"/>
    <col min="6446" max="6452" width="9.140625" style="1093" customWidth="1"/>
    <col min="6453" max="6656" width="9.140625" style="1093"/>
    <col min="6657" max="6657" width="16.7109375" style="1093" customWidth="1"/>
    <col min="6658" max="6658" width="52.5703125" style="1093" customWidth="1"/>
    <col min="6659" max="6659" width="11" style="1093" customWidth="1"/>
    <col min="6660" max="6660" width="13.42578125" style="1093" customWidth="1"/>
    <col min="6661" max="6661" width="11.28515625" style="1093" customWidth="1"/>
    <col min="6662" max="6662" width="10.28515625" style="1093" customWidth="1"/>
    <col min="6663" max="6663" width="13.85546875" style="1093" customWidth="1"/>
    <col min="6664" max="6665" width="7.85546875" style="1093" customWidth="1"/>
    <col min="6666" max="6666" width="10.85546875" style="1093" customWidth="1"/>
    <col min="6667" max="6667" width="13" style="1093" customWidth="1"/>
    <col min="6668" max="6668" width="11.42578125" style="1093" customWidth="1"/>
    <col min="6669" max="6669" width="10" style="1093" customWidth="1"/>
    <col min="6670" max="6670" width="7.85546875" style="1093" customWidth="1"/>
    <col min="6671" max="6671" width="10.140625" style="1093" customWidth="1"/>
    <col min="6672" max="6673" width="7.85546875" style="1093" customWidth="1"/>
    <col min="6674" max="6674" width="10.85546875" style="1093" customWidth="1"/>
    <col min="6675" max="6675" width="10.7109375" style="1093" customWidth="1"/>
    <col min="6676" max="6676" width="11" style="1093" customWidth="1"/>
    <col min="6677" max="6679" width="7.85546875" style="1093" customWidth="1"/>
    <col min="6680" max="6680" width="11.28515625" style="1093" customWidth="1"/>
    <col min="6681" max="6681" width="12.42578125" style="1093" customWidth="1"/>
    <col min="6682" max="6682" width="11" style="1093" customWidth="1"/>
    <col min="6683" max="6684" width="7.85546875" style="1093" customWidth="1"/>
    <col min="6685" max="6685" width="11" style="1093" customWidth="1"/>
    <col min="6686" max="6686" width="10.5703125" style="1093" customWidth="1"/>
    <col min="6687" max="6688" width="11" style="1093" customWidth="1"/>
    <col min="6689" max="6693" width="7.85546875" style="1093" bestFit="1" customWidth="1"/>
    <col min="6694" max="6694" width="8.42578125" style="1093" bestFit="1" customWidth="1"/>
    <col min="6695" max="6695" width="11.42578125" style="1093" customWidth="1"/>
    <col min="6696" max="6696" width="7.85546875" style="1093" bestFit="1" customWidth="1"/>
    <col min="6697" max="6697" width="9.5703125" style="1093" customWidth="1"/>
    <col min="6698" max="6698" width="7.85546875" style="1093" bestFit="1" customWidth="1"/>
    <col min="6699" max="6699" width="12" style="1093" customWidth="1"/>
    <col min="6700" max="6700" width="13.42578125" style="1093" customWidth="1"/>
    <col min="6701" max="6701" width="9.5703125" style="1093" bestFit="1" customWidth="1"/>
    <col min="6702" max="6708" width="9.140625" style="1093" customWidth="1"/>
    <col min="6709" max="6912" width="9.140625" style="1093"/>
    <col min="6913" max="6913" width="16.7109375" style="1093" customWidth="1"/>
    <col min="6914" max="6914" width="52.5703125" style="1093" customWidth="1"/>
    <col min="6915" max="6915" width="11" style="1093" customWidth="1"/>
    <col min="6916" max="6916" width="13.42578125" style="1093" customWidth="1"/>
    <col min="6917" max="6917" width="11.28515625" style="1093" customWidth="1"/>
    <col min="6918" max="6918" width="10.28515625" style="1093" customWidth="1"/>
    <col min="6919" max="6919" width="13.85546875" style="1093" customWidth="1"/>
    <col min="6920" max="6921" width="7.85546875" style="1093" customWidth="1"/>
    <col min="6922" max="6922" width="10.85546875" style="1093" customWidth="1"/>
    <col min="6923" max="6923" width="13" style="1093" customWidth="1"/>
    <col min="6924" max="6924" width="11.42578125" style="1093" customWidth="1"/>
    <col min="6925" max="6925" width="10" style="1093" customWidth="1"/>
    <col min="6926" max="6926" width="7.85546875" style="1093" customWidth="1"/>
    <col min="6927" max="6927" width="10.140625" style="1093" customWidth="1"/>
    <col min="6928" max="6929" width="7.85546875" style="1093" customWidth="1"/>
    <col min="6930" max="6930" width="10.85546875" style="1093" customWidth="1"/>
    <col min="6931" max="6931" width="10.7109375" style="1093" customWidth="1"/>
    <col min="6932" max="6932" width="11" style="1093" customWidth="1"/>
    <col min="6933" max="6935" width="7.85546875" style="1093" customWidth="1"/>
    <col min="6936" max="6936" width="11.28515625" style="1093" customWidth="1"/>
    <col min="6937" max="6937" width="12.42578125" style="1093" customWidth="1"/>
    <col min="6938" max="6938" width="11" style="1093" customWidth="1"/>
    <col min="6939" max="6940" width="7.85546875" style="1093" customWidth="1"/>
    <col min="6941" max="6941" width="11" style="1093" customWidth="1"/>
    <col min="6942" max="6942" width="10.5703125" style="1093" customWidth="1"/>
    <col min="6943" max="6944" width="11" style="1093" customWidth="1"/>
    <col min="6945" max="6949" width="7.85546875" style="1093" bestFit="1" customWidth="1"/>
    <col min="6950" max="6950" width="8.42578125" style="1093" bestFit="1" customWidth="1"/>
    <col min="6951" max="6951" width="11.42578125" style="1093" customWidth="1"/>
    <col min="6952" max="6952" width="7.85546875" style="1093" bestFit="1" customWidth="1"/>
    <col min="6953" max="6953" width="9.5703125" style="1093" customWidth="1"/>
    <col min="6954" max="6954" width="7.85546875" style="1093" bestFit="1" customWidth="1"/>
    <col min="6955" max="6955" width="12" style="1093" customWidth="1"/>
    <col min="6956" max="6956" width="13.42578125" style="1093" customWidth="1"/>
    <col min="6957" max="6957" width="9.5703125" style="1093" bestFit="1" customWidth="1"/>
    <col min="6958" max="6964" width="9.140625" style="1093" customWidth="1"/>
    <col min="6965" max="7168" width="9.140625" style="1093"/>
    <col min="7169" max="7169" width="16.7109375" style="1093" customWidth="1"/>
    <col min="7170" max="7170" width="52.5703125" style="1093" customWidth="1"/>
    <col min="7171" max="7171" width="11" style="1093" customWidth="1"/>
    <col min="7172" max="7172" width="13.42578125" style="1093" customWidth="1"/>
    <col min="7173" max="7173" width="11.28515625" style="1093" customWidth="1"/>
    <col min="7174" max="7174" width="10.28515625" style="1093" customWidth="1"/>
    <col min="7175" max="7175" width="13.85546875" style="1093" customWidth="1"/>
    <col min="7176" max="7177" width="7.85546875" style="1093" customWidth="1"/>
    <col min="7178" max="7178" width="10.85546875" style="1093" customWidth="1"/>
    <col min="7179" max="7179" width="13" style="1093" customWidth="1"/>
    <col min="7180" max="7180" width="11.42578125" style="1093" customWidth="1"/>
    <col min="7181" max="7181" width="10" style="1093" customWidth="1"/>
    <col min="7182" max="7182" width="7.85546875" style="1093" customWidth="1"/>
    <col min="7183" max="7183" width="10.140625" style="1093" customWidth="1"/>
    <col min="7184" max="7185" width="7.85546875" style="1093" customWidth="1"/>
    <col min="7186" max="7186" width="10.85546875" style="1093" customWidth="1"/>
    <col min="7187" max="7187" width="10.7109375" style="1093" customWidth="1"/>
    <col min="7188" max="7188" width="11" style="1093" customWidth="1"/>
    <col min="7189" max="7191" width="7.85546875" style="1093" customWidth="1"/>
    <col min="7192" max="7192" width="11.28515625" style="1093" customWidth="1"/>
    <col min="7193" max="7193" width="12.42578125" style="1093" customWidth="1"/>
    <col min="7194" max="7194" width="11" style="1093" customWidth="1"/>
    <col min="7195" max="7196" width="7.85546875" style="1093" customWidth="1"/>
    <col min="7197" max="7197" width="11" style="1093" customWidth="1"/>
    <col min="7198" max="7198" width="10.5703125" style="1093" customWidth="1"/>
    <col min="7199" max="7200" width="11" style="1093" customWidth="1"/>
    <col min="7201" max="7205" width="7.85546875" style="1093" bestFit="1" customWidth="1"/>
    <col min="7206" max="7206" width="8.42578125" style="1093" bestFit="1" customWidth="1"/>
    <col min="7207" max="7207" width="11.42578125" style="1093" customWidth="1"/>
    <col min="7208" max="7208" width="7.85546875" style="1093" bestFit="1" customWidth="1"/>
    <col min="7209" max="7209" width="9.5703125" style="1093" customWidth="1"/>
    <col min="7210" max="7210" width="7.85546875" style="1093" bestFit="1" customWidth="1"/>
    <col min="7211" max="7211" width="12" style="1093" customWidth="1"/>
    <col min="7212" max="7212" width="13.42578125" style="1093" customWidth="1"/>
    <col min="7213" max="7213" width="9.5703125" style="1093" bestFit="1" customWidth="1"/>
    <col min="7214" max="7220" width="9.140625" style="1093" customWidth="1"/>
    <col min="7221" max="7424" width="9.140625" style="1093"/>
    <col min="7425" max="7425" width="16.7109375" style="1093" customWidth="1"/>
    <col min="7426" max="7426" width="52.5703125" style="1093" customWidth="1"/>
    <col min="7427" max="7427" width="11" style="1093" customWidth="1"/>
    <col min="7428" max="7428" width="13.42578125" style="1093" customWidth="1"/>
    <col min="7429" max="7429" width="11.28515625" style="1093" customWidth="1"/>
    <col min="7430" max="7430" width="10.28515625" style="1093" customWidth="1"/>
    <col min="7431" max="7431" width="13.85546875" style="1093" customWidth="1"/>
    <col min="7432" max="7433" width="7.85546875" style="1093" customWidth="1"/>
    <col min="7434" max="7434" width="10.85546875" style="1093" customWidth="1"/>
    <col min="7435" max="7435" width="13" style="1093" customWidth="1"/>
    <col min="7436" max="7436" width="11.42578125" style="1093" customWidth="1"/>
    <col min="7437" max="7437" width="10" style="1093" customWidth="1"/>
    <col min="7438" max="7438" width="7.85546875" style="1093" customWidth="1"/>
    <col min="7439" max="7439" width="10.140625" style="1093" customWidth="1"/>
    <col min="7440" max="7441" width="7.85546875" style="1093" customWidth="1"/>
    <col min="7442" max="7442" width="10.85546875" style="1093" customWidth="1"/>
    <col min="7443" max="7443" width="10.7109375" style="1093" customWidth="1"/>
    <col min="7444" max="7444" width="11" style="1093" customWidth="1"/>
    <col min="7445" max="7447" width="7.85546875" style="1093" customWidth="1"/>
    <col min="7448" max="7448" width="11.28515625" style="1093" customWidth="1"/>
    <col min="7449" max="7449" width="12.42578125" style="1093" customWidth="1"/>
    <col min="7450" max="7450" width="11" style="1093" customWidth="1"/>
    <col min="7451" max="7452" width="7.85546875" style="1093" customWidth="1"/>
    <col min="7453" max="7453" width="11" style="1093" customWidth="1"/>
    <col min="7454" max="7454" width="10.5703125" style="1093" customWidth="1"/>
    <col min="7455" max="7456" width="11" style="1093" customWidth="1"/>
    <col min="7457" max="7461" width="7.85546875" style="1093" bestFit="1" customWidth="1"/>
    <col min="7462" max="7462" width="8.42578125" style="1093" bestFit="1" customWidth="1"/>
    <col min="7463" max="7463" width="11.42578125" style="1093" customWidth="1"/>
    <col min="7464" max="7464" width="7.85546875" style="1093" bestFit="1" customWidth="1"/>
    <col min="7465" max="7465" width="9.5703125" style="1093" customWidth="1"/>
    <col min="7466" max="7466" width="7.85546875" style="1093" bestFit="1" customWidth="1"/>
    <col min="7467" max="7467" width="12" style="1093" customWidth="1"/>
    <col min="7468" max="7468" width="13.42578125" style="1093" customWidth="1"/>
    <col min="7469" max="7469" width="9.5703125" style="1093" bestFit="1" customWidth="1"/>
    <col min="7470" max="7476" width="9.140625" style="1093" customWidth="1"/>
    <col min="7477" max="7680" width="9.140625" style="1093"/>
    <col min="7681" max="7681" width="16.7109375" style="1093" customWidth="1"/>
    <col min="7682" max="7682" width="52.5703125" style="1093" customWidth="1"/>
    <col min="7683" max="7683" width="11" style="1093" customWidth="1"/>
    <col min="7684" max="7684" width="13.42578125" style="1093" customWidth="1"/>
    <col min="7685" max="7685" width="11.28515625" style="1093" customWidth="1"/>
    <col min="7686" max="7686" width="10.28515625" style="1093" customWidth="1"/>
    <col min="7687" max="7687" width="13.85546875" style="1093" customWidth="1"/>
    <col min="7688" max="7689" width="7.85546875" style="1093" customWidth="1"/>
    <col min="7690" max="7690" width="10.85546875" style="1093" customWidth="1"/>
    <col min="7691" max="7691" width="13" style="1093" customWidth="1"/>
    <col min="7692" max="7692" width="11.42578125" style="1093" customWidth="1"/>
    <col min="7693" max="7693" width="10" style="1093" customWidth="1"/>
    <col min="7694" max="7694" width="7.85546875" style="1093" customWidth="1"/>
    <col min="7695" max="7695" width="10.140625" style="1093" customWidth="1"/>
    <col min="7696" max="7697" width="7.85546875" style="1093" customWidth="1"/>
    <col min="7698" max="7698" width="10.85546875" style="1093" customWidth="1"/>
    <col min="7699" max="7699" width="10.7109375" style="1093" customWidth="1"/>
    <col min="7700" max="7700" width="11" style="1093" customWidth="1"/>
    <col min="7701" max="7703" width="7.85546875" style="1093" customWidth="1"/>
    <col min="7704" max="7704" width="11.28515625" style="1093" customWidth="1"/>
    <col min="7705" max="7705" width="12.42578125" style="1093" customWidth="1"/>
    <col min="7706" max="7706" width="11" style="1093" customWidth="1"/>
    <col min="7707" max="7708" width="7.85546875" style="1093" customWidth="1"/>
    <col min="7709" max="7709" width="11" style="1093" customWidth="1"/>
    <col min="7710" max="7710" width="10.5703125" style="1093" customWidth="1"/>
    <col min="7711" max="7712" width="11" style="1093" customWidth="1"/>
    <col min="7713" max="7717" width="7.85546875" style="1093" bestFit="1" customWidth="1"/>
    <col min="7718" max="7718" width="8.42578125" style="1093" bestFit="1" customWidth="1"/>
    <col min="7719" max="7719" width="11.42578125" style="1093" customWidth="1"/>
    <col min="7720" max="7720" width="7.85546875" style="1093" bestFit="1" customWidth="1"/>
    <col min="7721" max="7721" width="9.5703125" style="1093" customWidth="1"/>
    <col min="7722" max="7722" width="7.85546875" style="1093" bestFit="1" customWidth="1"/>
    <col min="7723" max="7723" width="12" style="1093" customWidth="1"/>
    <col min="7724" max="7724" width="13.42578125" style="1093" customWidth="1"/>
    <col min="7725" max="7725" width="9.5703125" style="1093" bestFit="1" customWidth="1"/>
    <col min="7726" max="7732" width="9.140625" style="1093" customWidth="1"/>
    <col min="7733" max="7936" width="9.140625" style="1093"/>
    <col min="7937" max="7937" width="16.7109375" style="1093" customWidth="1"/>
    <col min="7938" max="7938" width="52.5703125" style="1093" customWidth="1"/>
    <col min="7939" max="7939" width="11" style="1093" customWidth="1"/>
    <col min="7940" max="7940" width="13.42578125" style="1093" customWidth="1"/>
    <col min="7941" max="7941" width="11.28515625" style="1093" customWidth="1"/>
    <col min="7942" max="7942" width="10.28515625" style="1093" customWidth="1"/>
    <col min="7943" max="7943" width="13.85546875" style="1093" customWidth="1"/>
    <col min="7944" max="7945" width="7.85546875" style="1093" customWidth="1"/>
    <col min="7946" max="7946" width="10.85546875" style="1093" customWidth="1"/>
    <col min="7947" max="7947" width="13" style="1093" customWidth="1"/>
    <col min="7948" max="7948" width="11.42578125" style="1093" customWidth="1"/>
    <col min="7949" max="7949" width="10" style="1093" customWidth="1"/>
    <col min="7950" max="7950" width="7.85546875" style="1093" customWidth="1"/>
    <col min="7951" max="7951" width="10.140625" style="1093" customWidth="1"/>
    <col min="7952" max="7953" width="7.85546875" style="1093" customWidth="1"/>
    <col min="7954" max="7954" width="10.85546875" style="1093" customWidth="1"/>
    <col min="7955" max="7955" width="10.7109375" style="1093" customWidth="1"/>
    <col min="7956" max="7956" width="11" style="1093" customWidth="1"/>
    <col min="7957" max="7959" width="7.85546875" style="1093" customWidth="1"/>
    <col min="7960" max="7960" width="11.28515625" style="1093" customWidth="1"/>
    <col min="7961" max="7961" width="12.42578125" style="1093" customWidth="1"/>
    <col min="7962" max="7962" width="11" style="1093" customWidth="1"/>
    <col min="7963" max="7964" width="7.85546875" style="1093" customWidth="1"/>
    <col min="7965" max="7965" width="11" style="1093" customWidth="1"/>
    <col min="7966" max="7966" width="10.5703125" style="1093" customWidth="1"/>
    <col min="7967" max="7968" width="11" style="1093" customWidth="1"/>
    <col min="7969" max="7973" width="7.85546875" style="1093" bestFit="1" customWidth="1"/>
    <col min="7974" max="7974" width="8.42578125" style="1093" bestFit="1" customWidth="1"/>
    <col min="7975" max="7975" width="11.42578125" style="1093" customWidth="1"/>
    <col min="7976" max="7976" width="7.85546875" style="1093" bestFit="1" customWidth="1"/>
    <col min="7977" max="7977" width="9.5703125" style="1093" customWidth="1"/>
    <col min="7978" max="7978" width="7.85546875" style="1093" bestFit="1" customWidth="1"/>
    <col min="7979" max="7979" width="12" style="1093" customWidth="1"/>
    <col min="7980" max="7980" width="13.42578125" style="1093" customWidth="1"/>
    <col min="7981" max="7981" width="9.5703125" style="1093" bestFit="1" customWidth="1"/>
    <col min="7982" max="7988" width="9.140625" style="1093" customWidth="1"/>
    <col min="7989" max="8192" width="9.140625" style="1093"/>
    <col min="8193" max="8193" width="16.7109375" style="1093" customWidth="1"/>
    <col min="8194" max="8194" width="52.5703125" style="1093" customWidth="1"/>
    <col min="8195" max="8195" width="11" style="1093" customWidth="1"/>
    <col min="8196" max="8196" width="13.42578125" style="1093" customWidth="1"/>
    <col min="8197" max="8197" width="11.28515625" style="1093" customWidth="1"/>
    <col min="8198" max="8198" width="10.28515625" style="1093" customWidth="1"/>
    <col min="8199" max="8199" width="13.85546875" style="1093" customWidth="1"/>
    <col min="8200" max="8201" width="7.85546875" style="1093" customWidth="1"/>
    <col min="8202" max="8202" width="10.85546875" style="1093" customWidth="1"/>
    <col min="8203" max="8203" width="13" style="1093" customWidth="1"/>
    <col min="8204" max="8204" width="11.42578125" style="1093" customWidth="1"/>
    <col min="8205" max="8205" width="10" style="1093" customWidth="1"/>
    <col min="8206" max="8206" width="7.85546875" style="1093" customWidth="1"/>
    <col min="8207" max="8207" width="10.140625" style="1093" customWidth="1"/>
    <col min="8208" max="8209" width="7.85546875" style="1093" customWidth="1"/>
    <col min="8210" max="8210" width="10.85546875" style="1093" customWidth="1"/>
    <col min="8211" max="8211" width="10.7109375" style="1093" customWidth="1"/>
    <col min="8212" max="8212" width="11" style="1093" customWidth="1"/>
    <col min="8213" max="8215" width="7.85546875" style="1093" customWidth="1"/>
    <col min="8216" max="8216" width="11.28515625" style="1093" customWidth="1"/>
    <col min="8217" max="8217" width="12.42578125" style="1093" customWidth="1"/>
    <col min="8218" max="8218" width="11" style="1093" customWidth="1"/>
    <col min="8219" max="8220" width="7.85546875" style="1093" customWidth="1"/>
    <col min="8221" max="8221" width="11" style="1093" customWidth="1"/>
    <col min="8222" max="8222" width="10.5703125" style="1093" customWidth="1"/>
    <col min="8223" max="8224" width="11" style="1093" customWidth="1"/>
    <col min="8225" max="8229" width="7.85546875" style="1093" bestFit="1" customWidth="1"/>
    <col min="8230" max="8230" width="8.42578125" style="1093" bestFit="1" customWidth="1"/>
    <col min="8231" max="8231" width="11.42578125" style="1093" customWidth="1"/>
    <col min="8232" max="8232" width="7.85546875" style="1093" bestFit="1" customWidth="1"/>
    <col min="8233" max="8233" width="9.5703125" style="1093" customWidth="1"/>
    <col min="8234" max="8234" width="7.85546875" style="1093" bestFit="1" customWidth="1"/>
    <col min="8235" max="8235" width="12" style="1093" customWidth="1"/>
    <col min="8236" max="8236" width="13.42578125" style="1093" customWidth="1"/>
    <col min="8237" max="8237" width="9.5703125" style="1093" bestFit="1" customWidth="1"/>
    <col min="8238" max="8244" width="9.140625" style="1093" customWidth="1"/>
    <col min="8245" max="8448" width="9.140625" style="1093"/>
    <col min="8449" max="8449" width="16.7109375" style="1093" customWidth="1"/>
    <col min="8450" max="8450" width="52.5703125" style="1093" customWidth="1"/>
    <col min="8451" max="8451" width="11" style="1093" customWidth="1"/>
    <col min="8452" max="8452" width="13.42578125" style="1093" customWidth="1"/>
    <col min="8453" max="8453" width="11.28515625" style="1093" customWidth="1"/>
    <col min="8454" max="8454" width="10.28515625" style="1093" customWidth="1"/>
    <col min="8455" max="8455" width="13.85546875" style="1093" customWidth="1"/>
    <col min="8456" max="8457" width="7.85546875" style="1093" customWidth="1"/>
    <col min="8458" max="8458" width="10.85546875" style="1093" customWidth="1"/>
    <col min="8459" max="8459" width="13" style="1093" customWidth="1"/>
    <col min="8460" max="8460" width="11.42578125" style="1093" customWidth="1"/>
    <col min="8461" max="8461" width="10" style="1093" customWidth="1"/>
    <col min="8462" max="8462" width="7.85546875" style="1093" customWidth="1"/>
    <col min="8463" max="8463" width="10.140625" style="1093" customWidth="1"/>
    <col min="8464" max="8465" width="7.85546875" style="1093" customWidth="1"/>
    <col min="8466" max="8466" width="10.85546875" style="1093" customWidth="1"/>
    <col min="8467" max="8467" width="10.7109375" style="1093" customWidth="1"/>
    <col min="8468" max="8468" width="11" style="1093" customWidth="1"/>
    <col min="8469" max="8471" width="7.85546875" style="1093" customWidth="1"/>
    <col min="8472" max="8472" width="11.28515625" style="1093" customWidth="1"/>
    <col min="8473" max="8473" width="12.42578125" style="1093" customWidth="1"/>
    <col min="8474" max="8474" width="11" style="1093" customWidth="1"/>
    <col min="8475" max="8476" width="7.85546875" style="1093" customWidth="1"/>
    <col min="8477" max="8477" width="11" style="1093" customWidth="1"/>
    <col min="8478" max="8478" width="10.5703125" style="1093" customWidth="1"/>
    <col min="8479" max="8480" width="11" style="1093" customWidth="1"/>
    <col min="8481" max="8485" width="7.85546875" style="1093" bestFit="1" customWidth="1"/>
    <col min="8486" max="8486" width="8.42578125" style="1093" bestFit="1" customWidth="1"/>
    <col min="8487" max="8487" width="11.42578125" style="1093" customWidth="1"/>
    <col min="8488" max="8488" width="7.85546875" style="1093" bestFit="1" customWidth="1"/>
    <col min="8489" max="8489" width="9.5703125" style="1093" customWidth="1"/>
    <col min="8490" max="8490" width="7.85546875" style="1093" bestFit="1" customWidth="1"/>
    <col min="8491" max="8491" width="12" style="1093" customWidth="1"/>
    <col min="8492" max="8492" width="13.42578125" style="1093" customWidth="1"/>
    <col min="8493" max="8493" width="9.5703125" style="1093" bestFit="1" customWidth="1"/>
    <col min="8494" max="8500" width="9.140625" style="1093" customWidth="1"/>
    <col min="8501" max="8704" width="9.140625" style="1093"/>
    <col min="8705" max="8705" width="16.7109375" style="1093" customWidth="1"/>
    <col min="8706" max="8706" width="52.5703125" style="1093" customWidth="1"/>
    <col min="8707" max="8707" width="11" style="1093" customWidth="1"/>
    <col min="8708" max="8708" width="13.42578125" style="1093" customWidth="1"/>
    <col min="8709" max="8709" width="11.28515625" style="1093" customWidth="1"/>
    <col min="8710" max="8710" width="10.28515625" style="1093" customWidth="1"/>
    <col min="8711" max="8711" width="13.85546875" style="1093" customWidth="1"/>
    <col min="8712" max="8713" width="7.85546875" style="1093" customWidth="1"/>
    <col min="8714" max="8714" width="10.85546875" style="1093" customWidth="1"/>
    <col min="8715" max="8715" width="13" style="1093" customWidth="1"/>
    <col min="8716" max="8716" width="11.42578125" style="1093" customWidth="1"/>
    <col min="8717" max="8717" width="10" style="1093" customWidth="1"/>
    <col min="8718" max="8718" width="7.85546875" style="1093" customWidth="1"/>
    <col min="8719" max="8719" width="10.140625" style="1093" customWidth="1"/>
    <col min="8720" max="8721" width="7.85546875" style="1093" customWidth="1"/>
    <col min="8722" max="8722" width="10.85546875" style="1093" customWidth="1"/>
    <col min="8723" max="8723" width="10.7109375" style="1093" customWidth="1"/>
    <col min="8724" max="8724" width="11" style="1093" customWidth="1"/>
    <col min="8725" max="8727" width="7.85546875" style="1093" customWidth="1"/>
    <col min="8728" max="8728" width="11.28515625" style="1093" customWidth="1"/>
    <col min="8729" max="8729" width="12.42578125" style="1093" customWidth="1"/>
    <col min="8730" max="8730" width="11" style="1093" customWidth="1"/>
    <col min="8731" max="8732" width="7.85546875" style="1093" customWidth="1"/>
    <col min="8733" max="8733" width="11" style="1093" customWidth="1"/>
    <col min="8734" max="8734" width="10.5703125" style="1093" customWidth="1"/>
    <col min="8735" max="8736" width="11" style="1093" customWidth="1"/>
    <col min="8737" max="8741" width="7.85546875" style="1093" bestFit="1" customWidth="1"/>
    <col min="8742" max="8742" width="8.42578125" style="1093" bestFit="1" customWidth="1"/>
    <col min="8743" max="8743" width="11.42578125" style="1093" customWidth="1"/>
    <col min="8744" max="8744" width="7.85546875" style="1093" bestFit="1" customWidth="1"/>
    <col min="8745" max="8745" width="9.5703125" style="1093" customWidth="1"/>
    <col min="8746" max="8746" width="7.85546875" style="1093" bestFit="1" customWidth="1"/>
    <col min="8747" max="8747" width="12" style="1093" customWidth="1"/>
    <col min="8748" max="8748" width="13.42578125" style="1093" customWidth="1"/>
    <col min="8749" max="8749" width="9.5703125" style="1093" bestFit="1" customWidth="1"/>
    <col min="8750" max="8756" width="9.140625" style="1093" customWidth="1"/>
    <col min="8757" max="8960" width="9.140625" style="1093"/>
    <col min="8961" max="8961" width="16.7109375" style="1093" customWidth="1"/>
    <col min="8962" max="8962" width="52.5703125" style="1093" customWidth="1"/>
    <col min="8963" max="8963" width="11" style="1093" customWidth="1"/>
    <col min="8964" max="8964" width="13.42578125" style="1093" customWidth="1"/>
    <col min="8965" max="8965" width="11.28515625" style="1093" customWidth="1"/>
    <col min="8966" max="8966" width="10.28515625" style="1093" customWidth="1"/>
    <col min="8967" max="8967" width="13.85546875" style="1093" customWidth="1"/>
    <col min="8968" max="8969" width="7.85546875" style="1093" customWidth="1"/>
    <col min="8970" max="8970" width="10.85546875" style="1093" customWidth="1"/>
    <col min="8971" max="8971" width="13" style="1093" customWidth="1"/>
    <col min="8972" max="8972" width="11.42578125" style="1093" customWidth="1"/>
    <col min="8973" max="8973" width="10" style="1093" customWidth="1"/>
    <col min="8974" max="8974" width="7.85546875" style="1093" customWidth="1"/>
    <col min="8975" max="8975" width="10.140625" style="1093" customWidth="1"/>
    <col min="8976" max="8977" width="7.85546875" style="1093" customWidth="1"/>
    <col min="8978" max="8978" width="10.85546875" style="1093" customWidth="1"/>
    <col min="8979" max="8979" width="10.7109375" style="1093" customWidth="1"/>
    <col min="8980" max="8980" width="11" style="1093" customWidth="1"/>
    <col min="8981" max="8983" width="7.85546875" style="1093" customWidth="1"/>
    <col min="8984" max="8984" width="11.28515625" style="1093" customWidth="1"/>
    <col min="8985" max="8985" width="12.42578125" style="1093" customWidth="1"/>
    <col min="8986" max="8986" width="11" style="1093" customWidth="1"/>
    <col min="8987" max="8988" width="7.85546875" style="1093" customWidth="1"/>
    <col min="8989" max="8989" width="11" style="1093" customWidth="1"/>
    <col min="8990" max="8990" width="10.5703125" style="1093" customWidth="1"/>
    <col min="8991" max="8992" width="11" style="1093" customWidth="1"/>
    <col min="8993" max="8997" width="7.85546875" style="1093" bestFit="1" customWidth="1"/>
    <col min="8998" max="8998" width="8.42578125" style="1093" bestFit="1" customWidth="1"/>
    <col min="8999" max="8999" width="11.42578125" style="1093" customWidth="1"/>
    <col min="9000" max="9000" width="7.85546875" style="1093" bestFit="1" customWidth="1"/>
    <col min="9001" max="9001" width="9.5703125" style="1093" customWidth="1"/>
    <col min="9002" max="9002" width="7.85546875" style="1093" bestFit="1" customWidth="1"/>
    <col min="9003" max="9003" width="12" style="1093" customWidth="1"/>
    <col min="9004" max="9004" width="13.42578125" style="1093" customWidth="1"/>
    <col min="9005" max="9005" width="9.5703125" style="1093" bestFit="1" customWidth="1"/>
    <col min="9006" max="9012" width="9.140625" style="1093" customWidth="1"/>
    <col min="9013" max="9216" width="9.140625" style="1093"/>
    <col min="9217" max="9217" width="16.7109375" style="1093" customWidth="1"/>
    <col min="9218" max="9218" width="52.5703125" style="1093" customWidth="1"/>
    <col min="9219" max="9219" width="11" style="1093" customWidth="1"/>
    <col min="9220" max="9220" width="13.42578125" style="1093" customWidth="1"/>
    <col min="9221" max="9221" width="11.28515625" style="1093" customWidth="1"/>
    <col min="9222" max="9222" width="10.28515625" style="1093" customWidth="1"/>
    <col min="9223" max="9223" width="13.85546875" style="1093" customWidth="1"/>
    <col min="9224" max="9225" width="7.85546875" style="1093" customWidth="1"/>
    <col min="9226" max="9226" width="10.85546875" style="1093" customWidth="1"/>
    <col min="9227" max="9227" width="13" style="1093" customWidth="1"/>
    <col min="9228" max="9228" width="11.42578125" style="1093" customWidth="1"/>
    <col min="9229" max="9229" width="10" style="1093" customWidth="1"/>
    <col min="9230" max="9230" width="7.85546875" style="1093" customWidth="1"/>
    <col min="9231" max="9231" width="10.140625" style="1093" customWidth="1"/>
    <col min="9232" max="9233" width="7.85546875" style="1093" customWidth="1"/>
    <col min="9234" max="9234" width="10.85546875" style="1093" customWidth="1"/>
    <col min="9235" max="9235" width="10.7109375" style="1093" customWidth="1"/>
    <col min="9236" max="9236" width="11" style="1093" customWidth="1"/>
    <col min="9237" max="9239" width="7.85546875" style="1093" customWidth="1"/>
    <col min="9240" max="9240" width="11.28515625" style="1093" customWidth="1"/>
    <col min="9241" max="9241" width="12.42578125" style="1093" customWidth="1"/>
    <col min="9242" max="9242" width="11" style="1093" customWidth="1"/>
    <col min="9243" max="9244" width="7.85546875" style="1093" customWidth="1"/>
    <col min="9245" max="9245" width="11" style="1093" customWidth="1"/>
    <col min="9246" max="9246" width="10.5703125" style="1093" customWidth="1"/>
    <col min="9247" max="9248" width="11" style="1093" customWidth="1"/>
    <col min="9249" max="9253" width="7.85546875" style="1093" bestFit="1" customWidth="1"/>
    <col min="9254" max="9254" width="8.42578125" style="1093" bestFit="1" customWidth="1"/>
    <col min="9255" max="9255" width="11.42578125" style="1093" customWidth="1"/>
    <col min="9256" max="9256" width="7.85546875" style="1093" bestFit="1" customWidth="1"/>
    <col min="9257" max="9257" width="9.5703125" style="1093" customWidth="1"/>
    <col min="9258" max="9258" width="7.85546875" style="1093" bestFit="1" customWidth="1"/>
    <col min="9259" max="9259" width="12" style="1093" customWidth="1"/>
    <col min="9260" max="9260" width="13.42578125" style="1093" customWidth="1"/>
    <col min="9261" max="9261" width="9.5703125" style="1093" bestFit="1" customWidth="1"/>
    <col min="9262" max="9268" width="9.140625" style="1093" customWidth="1"/>
    <col min="9269" max="9472" width="9.140625" style="1093"/>
    <col min="9473" max="9473" width="16.7109375" style="1093" customWidth="1"/>
    <col min="9474" max="9474" width="52.5703125" style="1093" customWidth="1"/>
    <col min="9475" max="9475" width="11" style="1093" customWidth="1"/>
    <col min="9476" max="9476" width="13.42578125" style="1093" customWidth="1"/>
    <col min="9477" max="9477" width="11.28515625" style="1093" customWidth="1"/>
    <col min="9478" max="9478" width="10.28515625" style="1093" customWidth="1"/>
    <col min="9479" max="9479" width="13.85546875" style="1093" customWidth="1"/>
    <col min="9480" max="9481" width="7.85546875" style="1093" customWidth="1"/>
    <col min="9482" max="9482" width="10.85546875" style="1093" customWidth="1"/>
    <col min="9483" max="9483" width="13" style="1093" customWidth="1"/>
    <col min="9484" max="9484" width="11.42578125" style="1093" customWidth="1"/>
    <col min="9485" max="9485" width="10" style="1093" customWidth="1"/>
    <col min="9486" max="9486" width="7.85546875" style="1093" customWidth="1"/>
    <col min="9487" max="9487" width="10.140625" style="1093" customWidth="1"/>
    <col min="9488" max="9489" width="7.85546875" style="1093" customWidth="1"/>
    <col min="9490" max="9490" width="10.85546875" style="1093" customWidth="1"/>
    <col min="9491" max="9491" width="10.7109375" style="1093" customWidth="1"/>
    <col min="9492" max="9492" width="11" style="1093" customWidth="1"/>
    <col min="9493" max="9495" width="7.85546875" style="1093" customWidth="1"/>
    <col min="9496" max="9496" width="11.28515625" style="1093" customWidth="1"/>
    <col min="9497" max="9497" width="12.42578125" style="1093" customWidth="1"/>
    <col min="9498" max="9498" width="11" style="1093" customWidth="1"/>
    <col min="9499" max="9500" width="7.85546875" style="1093" customWidth="1"/>
    <col min="9501" max="9501" width="11" style="1093" customWidth="1"/>
    <col min="9502" max="9502" width="10.5703125" style="1093" customWidth="1"/>
    <col min="9503" max="9504" width="11" style="1093" customWidth="1"/>
    <col min="9505" max="9509" width="7.85546875" style="1093" bestFit="1" customWidth="1"/>
    <col min="9510" max="9510" width="8.42578125" style="1093" bestFit="1" customWidth="1"/>
    <col min="9511" max="9511" width="11.42578125" style="1093" customWidth="1"/>
    <col min="9512" max="9512" width="7.85546875" style="1093" bestFit="1" customWidth="1"/>
    <col min="9513" max="9513" width="9.5703125" style="1093" customWidth="1"/>
    <col min="9514" max="9514" width="7.85546875" style="1093" bestFit="1" customWidth="1"/>
    <col min="9515" max="9515" width="12" style="1093" customWidth="1"/>
    <col min="9516" max="9516" width="13.42578125" style="1093" customWidth="1"/>
    <col min="9517" max="9517" width="9.5703125" style="1093" bestFit="1" customWidth="1"/>
    <col min="9518" max="9524" width="9.140625" style="1093" customWidth="1"/>
    <col min="9525" max="9728" width="9.140625" style="1093"/>
    <col min="9729" max="9729" width="16.7109375" style="1093" customWidth="1"/>
    <col min="9730" max="9730" width="52.5703125" style="1093" customWidth="1"/>
    <col min="9731" max="9731" width="11" style="1093" customWidth="1"/>
    <col min="9732" max="9732" width="13.42578125" style="1093" customWidth="1"/>
    <col min="9733" max="9733" width="11.28515625" style="1093" customWidth="1"/>
    <col min="9734" max="9734" width="10.28515625" style="1093" customWidth="1"/>
    <col min="9735" max="9735" width="13.85546875" style="1093" customWidth="1"/>
    <col min="9736" max="9737" width="7.85546875" style="1093" customWidth="1"/>
    <col min="9738" max="9738" width="10.85546875" style="1093" customWidth="1"/>
    <col min="9739" max="9739" width="13" style="1093" customWidth="1"/>
    <col min="9740" max="9740" width="11.42578125" style="1093" customWidth="1"/>
    <col min="9741" max="9741" width="10" style="1093" customWidth="1"/>
    <col min="9742" max="9742" width="7.85546875" style="1093" customWidth="1"/>
    <col min="9743" max="9743" width="10.140625" style="1093" customWidth="1"/>
    <col min="9744" max="9745" width="7.85546875" style="1093" customWidth="1"/>
    <col min="9746" max="9746" width="10.85546875" style="1093" customWidth="1"/>
    <col min="9747" max="9747" width="10.7109375" style="1093" customWidth="1"/>
    <col min="9748" max="9748" width="11" style="1093" customWidth="1"/>
    <col min="9749" max="9751" width="7.85546875" style="1093" customWidth="1"/>
    <col min="9752" max="9752" width="11.28515625" style="1093" customWidth="1"/>
    <col min="9753" max="9753" width="12.42578125" style="1093" customWidth="1"/>
    <col min="9754" max="9754" width="11" style="1093" customWidth="1"/>
    <col min="9755" max="9756" width="7.85546875" style="1093" customWidth="1"/>
    <col min="9757" max="9757" width="11" style="1093" customWidth="1"/>
    <col min="9758" max="9758" width="10.5703125" style="1093" customWidth="1"/>
    <col min="9759" max="9760" width="11" style="1093" customWidth="1"/>
    <col min="9761" max="9765" width="7.85546875" style="1093" bestFit="1" customWidth="1"/>
    <col min="9766" max="9766" width="8.42578125" style="1093" bestFit="1" customWidth="1"/>
    <col min="9767" max="9767" width="11.42578125" style="1093" customWidth="1"/>
    <col min="9768" max="9768" width="7.85546875" style="1093" bestFit="1" customWidth="1"/>
    <col min="9769" max="9769" width="9.5703125" style="1093" customWidth="1"/>
    <col min="9770" max="9770" width="7.85546875" style="1093" bestFit="1" customWidth="1"/>
    <col min="9771" max="9771" width="12" style="1093" customWidth="1"/>
    <col min="9772" max="9772" width="13.42578125" style="1093" customWidth="1"/>
    <col min="9773" max="9773" width="9.5703125" style="1093" bestFit="1" customWidth="1"/>
    <col min="9774" max="9780" width="9.140625" style="1093" customWidth="1"/>
    <col min="9781" max="9984" width="9.140625" style="1093"/>
    <col min="9985" max="9985" width="16.7109375" style="1093" customWidth="1"/>
    <col min="9986" max="9986" width="52.5703125" style="1093" customWidth="1"/>
    <col min="9987" max="9987" width="11" style="1093" customWidth="1"/>
    <col min="9988" max="9988" width="13.42578125" style="1093" customWidth="1"/>
    <col min="9989" max="9989" width="11.28515625" style="1093" customWidth="1"/>
    <col min="9990" max="9990" width="10.28515625" style="1093" customWidth="1"/>
    <col min="9991" max="9991" width="13.85546875" style="1093" customWidth="1"/>
    <col min="9992" max="9993" width="7.85546875" style="1093" customWidth="1"/>
    <col min="9994" max="9994" width="10.85546875" style="1093" customWidth="1"/>
    <col min="9995" max="9995" width="13" style="1093" customWidth="1"/>
    <col min="9996" max="9996" width="11.42578125" style="1093" customWidth="1"/>
    <col min="9997" max="9997" width="10" style="1093" customWidth="1"/>
    <col min="9998" max="9998" width="7.85546875" style="1093" customWidth="1"/>
    <col min="9999" max="9999" width="10.140625" style="1093" customWidth="1"/>
    <col min="10000" max="10001" width="7.85546875" style="1093" customWidth="1"/>
    <col min="10002" max="10002" width="10.85546875" style="1093" customWidth="1"/>
    <col min="10003" max="10003" width="10.7109375" style="1093" customWidth="1"/>
    <col min="10004" max="10004" width="11" style="1093" customWidth="1"/>
    <col min="10005" max="10007" width="7.85546875" style="1093" customWidth="1"/>
    <col min="10008" max="10008" width="11.28515625" style="1093" customWidth="1"/>
    <col min="10009" max="10009" width="12.42578125" style="1093" customWidth="1"/>
    <col min="10010" max="10010" width="11" style="1093" customWidth="1"/>
    <col min="10011" max="10012" width="7.85546875" style="1093" customWidth="1"/>
    <col min="10013" max="10013" width="11" style="1093" customWidth="1"/>
    <col min="10014" max="10014" width="10.5703125" style="1093" customWidth="1"/>
    <col min="10015" max="10016" width="11" style="1093" customWidth="1"/>
    <col min="10017" max="10021" width="7.85546875" style="1093" bestFit="1" customWidth="1"/>
    <col min="10022" max="10022" width="8.42578125" style="1093" bestFit="1" customWidth="1"/>
    <col min="10023" max="10023" width="11.42578125" style="1093" customWidth="1"/>
    <col min="10024" max="10024" width="7.85546875" style="1093" bestFit="1" customWidth="1"/>
    <col min="10025" max="10025" width="9.5703125" style="1093" customWidth="1"/>
    <col min="10026" max="10026" width="7.85546875" style="1093" bestFit="1" customWidth="1"/>
    <col min="10027" max="10027" width="12" style="1093" customWidth="1"/>
    <col min="10028" max="10028" width="13.42578125" style="1093" customWidth="1"/>
    <col min="10029" max="10029" width="9.5703125" style="1093" bestFit="1" customWidth="1"/>
    <col min="10030" max="10036" width="9.140625" style="1093" customWidth="1"/>
    <col min="10037" max="10240" width="9.140625" style="1093"/>
    <col min="10241" max="10241" width="16.7109375" style="1093" customWidth="1"/>
    <col min="10242" max="10242" width="52.5703125" style="1093" customWidth="1"/>
    <col min="10243" max="10243" width="11" style="1093" customWidth="1"/>
    <col min="10244" max="10244" width="13.42578125" style="1093" customWidth="1"/>
    <col min="10245" max="10245" width="11.28515625" style="1093" customWidth="1"/>
    <col min="10246" max="10246" width="10.28515625" style="1093" customWidth="1"/>
    <col min="10247" max="10247" width="13.85546875" style="1093" customWidth="1"/>
    <col min="10248" max="10249" width="7.85546875" style="1093" customWidth="1"/>
    <col min="10250" max="10250" width="10.85546875" style="1093" customWidth="1"/>
    <col min="10251" max="10251" width="13" style="1093" customWidth="1"/>
    <col min="10252" max="10252" width="11.42578125" style="1093" customWidth="1"/>
    <col min="10253" max="10253" width="10" style="1093" customWidth="1"/>
    <col min="10254" max="10254" width="7.85546875" style="1093" customWidth="1"/>
    <col min="10255" max="10255" width="10.140625" style="1093" customWidth="1"/>
    <col min="10256" max="10257" width="7.85546875" style="1093" customWidth="1"/>
    <col min="10258" max="10258" width="10.85546875" style="1093" customWidth="1"/>
    <col min="10259" max="10259" width="10.7109375" style="1093" customWidth="1"/>
    <col min="10260" max="10260" width="11" style="1093" customWidth="1"/>
    <col min="10261" max="10263" width="7.85546875" style="1093" customWidth="1"/>
    <col min="10264" max="10264" width="11.28515625" style="1093" customWidth="1"/>
    <col min="10265" max="10265" width="12.42578125" style="1093" customWidth="1"/>
    <col min="10266" max="10266" width="11" style="1093" customWidth="1"/>
    <col min="10267" max="10268" width="7.85546875" style="1093" customWidth="1"/>
    <col min="10269" max="10269" width="11" style="1093" customWidth="1"/>
    <col min="10270" max="10270" width="10.5703125" style="1093" customWidth="1"/>
    <col min="10271" max="10272" width="11" style="1093" customWidth="1"/>
    <col min="10273" max="10277" width="7.85546875" style="1093" bestFit="1" customWidth="1"/>
    <col min="10278" max="10278" width="8.42578125" style="1093" bestFit="1" customWidth="1"/>
    <col min="10279" max="10279" width="11.42578125" style="1093" customWidth="1"/>
    <col min="10280" max="10280" width="7.85546875" style="1093" bestFit="1" customWidth="1"/>
    <col min="10281" max="10281" width="9.5703125" style="1093" customWidth="1"/>
    <col min="10282" max="10282" width="7.85546875" style="1093" bestFit="1" customWidth="1"/>
    <col min="10283" max="10283" width="12" style="1093" customWidth="1"/>
    <col min="10284" max="10284" width="13.42578125" style="1093" customWidth="1"/>
    <col min="10285" max="10285" width="9.5703125" style="1093" bestFit="1" customWidth="1"/>
    <col min="10286" max="10292" width="9.140625" style="1093" customWidth="1"/>
    <col min="10293" max="10496" width="9.140625" style="1093"/>
    <col min="10497" max="10497" width="16.7109375" style="1093" customWidth="1"/>
    <col min="10498" max="10498" width="52.5703125" style="1093" customWidth="1"/>
    <col min="10499" max="10499" width="11" style="1093" customWidth="1"/>
    <col min="10500" max="10500" width="13.42578125" style="1093" customWidth="1"/>
    <col min="10501" max="10501" width="11.28515625" style="1093" customWidth="1"/>
    <col min="10502" max="10502" width="10.28515625" style="1093" customWidth="1"/>
    <col min="10503" max="10503" width="13.85546875" style="1093" customWidth="1"/>
    <col min="10504" max="10505" width="7.85546875" style="1093" customWidth="1"/>
    <col min="10506" max="10506" width="10.85546875" style="1093" customWidth="1"/>
    <col min="10507" max="10507" width="13" style="1093" customWidth="1"/>
    <col min="10508" max="10508" width="11.42578125" style="1093" customWidth="1"/>
    <col min="10509" max="10509" width="10" style="1093" customWidth="1"/>
    <col min="10510" max="10510" width="7.85546875" style="1093" customWidth="1"/>
    <col min="10511" max="10511" width="10.140625" style="1093" customWidth="1"/>
    <col min="10512" max="10513" width="7.85546875" style="1093" customWidth="1"/>
    <col min="10514" max="10514" width="10.85546875" style="1093" customWidth="1"/>
    <col min="10515" max="10515" width="10.7109375" style="1093" customWidth="1"/>
    <col min="10516" max="10516" width="11" style="1093" customWidth="1"/>
    <col min="10517" max="10519" width="7.85546875" style="1093" customWidth="1"/>
    <col min="10520" max="10520" width="11.28515625" style="1093" customWidth="1"/>
    <col min="10521" max="10521" width="12.42578125" style="1093" customWidth="1"/>
    <col min="10522" max="10522" width="11" style="1093" customWidth="1"/>
    <col min="10523" max="10524" width="7.85546875" style="1093" customWidth="1"/>
    <col min="10525" max="10525" width="11" style="1093" customWidth="1"/>
    <col min="10526" max="10526" width="10.5703125" style="1093" customWidth="1"/>
    <col min="10527" max="10528" width="11" style="1093" customWidth="1"/>
    <col min="10529" max="10533" width="7.85546875" style="1093" bestFit="1" customWidth="1"/>
    <col min="10534" max="10534" width="8.42578125" style="1093" bestFit="1" customWidth="1"/>
    <col min="10535" max="10535" width="11.42578125" style="1093" customWidth="1"/>
    <col min="10536" max="10536" width="7.85546875" style="1093" bestFit="1" customWidth="1"/>
    <col min="10537" max="10537" width="9.5703125" style="1093" customWidth="1"/>
    <col min="10538" max="10538" width="7.85546875" style="1093" bestFit="1" customWidth="1"/>
    <col min="10539" max="10539" width="12" style="1093" customWidth="1"/>
    <col min="10540" max="10540" width="13.42578125" style="1093" customWidth="1"/>
    <col min="10541" max="10541" width="9.5703125" style="1093" bestFit="1" customWidth="1"/>
    <col min="10542" max="10548" width="9.140625" style="1093" customWidth="1"/>
    <col min="10549" max="10752" width="9.140625" style="1093"/>
    <col min="10753" max="10753" width="16.7109375" style="1093" customWidth="1"/>
    <col min="10754" max="10754" width="52.5703125" style="1093" customWidth="1"/>
    <col min="10755" max="10755" width="11" style="1093" customWidth="1"/>
    <col min="10756" max="10756" width="13.42578125" style="1093" customWidth="1"/>
    <col min="10757" max="10757" width="11.28515625" style="1093" customWidth="1"/>
    <col min="10758" max="10758" width="10.28515625" style="1093" customWidth="1"/>
    <col min="10759" max="10759" width="13.85546875" style="1093" customWidth="1"/>
    <col min="10760" max="10761" width="7.85546875" style="1093" customWidth="1"/>
    <col min="10762" max="10762" width="10.85546875" style="1093" customWidth="1"/>
    <col min="10763" max="10763" width="13" style="1093" customWidth="1"/>
    <col min="10764" max="10764" width="11.42578125" style="1093" customWidth="1"/>
    <col min="10765" max="10765" width="10" style="1093" customWidth="1"/>
    <col min="10766" max="10766" width="7.85546875" style="1093" customWidth="1"/>
    <col min="10767" max="10767" width="10.140625" style="1093" customWidth="1"/>
    <col min="10768" max="10769" width="7.85546875" style="1093" customWidth="1"/>
    <col min="10770" max="10770" width="10.85546875" style="1093" customWidth="1"/>
    <col min="10771" max="10771" width="10.7109375" style="1093" customWidth="1"/>
    <col min="10772" max="10772" width="11" style="1093" customWidth="1"/>
    <col min="10773" max="10775" width="7.85546875" style="1093" customWidth="1"/>
    <col min="10776" max="10776" width="11.28515625" style="1093" customWidth="1"/>
    <col min="10777" max="10777" width="12.42578125" style="1093" customWidth="1"/>
    <col min="10778" max="10778" width="11" style="1093" customWidth="1"/>
    <col min="10779" max="10780" width="7.85546875" style="1093" customWidth="1"/>
    <col min="10781" max="10781" width="11" style="1093" customWidth="1"/>
    <col min="10782" max="10782" width="10.5703125" style="1093" customWidth="1"/>
    <col min="10783" max="10784" width="11" style="1093" customWidth="1"/>
    <col min="10785" max="10789" width="7.85546875" style="1093" bestFit="1" customWidth="1"/>
    <col min="10790" max="10790" width="8.42578125" style="1093" bestFit="1" customWidth="1"/>
    <col min="10791" max="10791" width="11.42578125" style="1093" customWidth="1"/>
    <col min="10792" max="10792" width="7.85546875" style="1093" bestFit="1" customWidth="1"/>
    <col min="10793" max="10793" width="9.5703125" style="1093" customWidth="1"/>
    <col min="10794" max="10794" width="7.85546875" style="1093" bestFit="1" customWidth="1"/>
    <col min="10795" max="10795" width="12" style="1093" customWidth="1"/>
    <col min="10796" max="10796" width="13.42578125" style="1093" customWidth="1"/>
    <col min="10797" max="10797" width="9.5703125" style="1093" bestFit="1" customWidth="1"/>
    <col min="10798" max="10804" width="9.140625" style="1093" customWidth="1"/>
    <col min="10805" max="11008" width="9.140625" style="1093"/>
    <col min="11009" max="11009" width="16.7109375" style="1093" customWidth="1"/>
    <col min="11010" max="11010" width="52.5703125" style="1093" customWidth="1"/>
    <col min="11011" max="11011" width="11" style="1093" customWidth="1"/>
    <col min="11012" max="11012" width="13.42578125" style="1093" customWidth="1"/>
    <col min="11013" max="11013" width="11.28515625" style="1093" customWidth="1"/>
    <col min="11014" max="11014" width="10.28515625" style="1093" customWidth="1"/>
    <col min="11015" max="11015" width="13.85546875" style="1093" customWidth="1"/>
    <col min="11016" max="11017" width="7.85546875" style="1093" customWidth="1"/>
    <col min="11018" max="11018" width="10.85546875" style="1093" customWidth="1"/>
    <col min="11019" max="11019" width="13" style="1093" customWidth="1"/>
    <col min="11020" max="11020" width="11.42578125" style="1093" customWidth="1"/>
    <col min="11021" max="11021" width="10" style="1093" customWidth="1"/>
    <col min="11022" max="11022" width="7.85546875" style="1093" customWidth="1"/>
    <col min="11023" max="11023" width="10.140625" style="1093" customWidth="1"/>
    <col min="11024" max="11025" width="7.85546875" style="1093" customWidth="1"/>
    <col min="11026" max="11026" width="10.85546875" style="1093" customWidth="1"/>
    <col min="11027" max="11027" width="10.7109375" style="1093" customWidth="1"/>
    <col min="11028" max="11028" width="11" style="1093" customWidth="1"/>
    <col min="11029" max="11031" width="7.85546875" style="1093" customWidth="1"/>
    <col min="11032" max="11032" width="11.28515625" style="1093" customWidth="1"/>
    <col min="11033" max="11033" width="12.42578125" style="1093" customWidth="1"/>
    <col min="11034" max="11034" width="11" style="1093" customWidth="1"/>
    <col min="11035" max="11036" width="7.85546875" style="1093" customWidth="1"/>
    <col min="11037" max="11037" width="11" style="1093" customWidth="1"/>
    <col min="11038" max="11038" width="10.5703125" style="1093" customWidth="1"/>
    <col min="11039" max="11040" width="11" style="1093" customWidth="1"/>
    <col min="11041" max="11045" width="7.85546875" style="1093" bestFit="1" customWidth="1"/>
    <col min="11046" max="11046" width="8.42578125" style="1093" bestFit="1" customWidth="1"/>
    <col min="11047" max="11047" width="11.42578125" style="1093" customWidth="1"/>
    <col min="11048" max="11048" width="7.85546875" style="1093" bestFit="1" customWidth="1"/>
    <col min="11049" max="11049" width="9.5703125" style="1093" customWidth="1"/>
    <col min="11050" max="11050" width="7.85546875" style="1093" bestFit="1" customWidth="1"/>
    <col min="11051" max="11051" width="12" style="1093" customWidth="1"/>
    <col min="11052" max="11052" width="13.42578125" style="1093" customWidth="1"/>
    <col min="11053" max="11053" width="9.5703125" style="1093" bestFit="1" customWidth="1"/>
    <col min="11054" max="11060" width="9.140625" style="1093" customWidth="1"/>
    <col min="11061" max="11264" width="9.140625" style="1093"/>
    <col min="11265" max="11265" width="16.7109375" style="1093" customWidth="1"/>
    <col min="11266" max="11266" width="52.5703125" style="1093" customWidth="1"/>
    <col min="11267" max="11267" width="11" style="1093" customWidth="1"/>
    <col min="11268" max="11268" width="13.42578125" style="1093" customWidth="1"/>
    <col min="11269" max="11269" width="11.28515625" style="1093" customWidth="1"/>
    <col min="11270" max="11270" width="10.28515625" style="1093" customWidth="1"/>
    <col min="11271" max="11271" width="13.85546875" style="1093" customWidth="1"/>
    <col min="11272" max="11273" width="7.85546875" style="1093" customWidth="1"/>
    <col min="11274" max="11274" width="10.85546875" style="1093" customWidth="1"/>
    <col min="11275" max="11275" width="13" style="1093" customWidth="1"/>
    <col min="11276" max="11276" width="11.42578125" style="1093" customWidth="1"/>
    <col min="11277" max="11277" width="10" style="1093" customWidth="1"/>
    <col min="11278" max="11278" width="7.85546875" style="1093" customWidth="1"/>
    <col min="11279" max="11279" width="10.140625" style="1093" customWidth="1"/>
    <col min="11280" max="11281" width="7.85546875" style="1093" customWidth="1"/>
    <col min="11282" max="11282" width="10.85546875" style="1093" customWidth="1"/>
    <col min="11283" max="11283" width="10.7109375" style="1093" customWidth="1"/>
    <col min="11284" max="11284" width="11" style="1093" customWidth="1"/>
    <col min="11285" max="11287" width="7.85546875" style="1093" customWidth="1"/>
    <col min="11288" max="11288" width="11.28515625" style="1093" customWidth="1"/>
    <col min="11289" max="11289" width="12.42578125" style="1093" customWidth="1"/>
    <col min="11290" max="11290" width="11" style="1093" customWidth="1"/>
    <col min="11291" max="11292" width="7.85546875" style="1093" customWidth="1"/>
    <col min="11293" max="11293" width="11" style="1093" customWidth="1"/>
    <col min="11294" max="11294" width="10.5703125" style="1093" customWidth="1"/>
    <col min="11295" max="11296" width="11" style="1093" customWidth="1"/>
    <col min="11297" max="11301" width="7.85546875" style="1093" bestFit="1" customWidth="1"/>
    <col min="11302" max="11302" width="8.42578125" style="1093" bestFit="1" customWidth="1"/>
    <col min="11303" max="11303" width="11.42578125" style="1093" customWidth="1"/>
    <col min="11304" max="11304" width="7.85546875" style="1093" bestFit="1" customWidth="1"/>
    <col min="11305" max="11305" width="9.5703125" style="1093" customWidth="1"/>
    <col min="11306" max="11306" width="7.85546875" style="1093" bestFit="1" customWidth="1"/>
    <col min="11307" max="11307" width="12" style="1093" customWidth="1"/>
    <col min="11308" max="11308" width="13.42578125" style="1093" customWidth="1"/>
    <col min="11309" max="11309" width="9.5703125" style="1093" bestFit="1" customWidth="1"/>
    <col min="11310" max="11316" width="9.140625" style="1093" customWidth="1"/>
    <col min="11317" max="11520" width="9.140625" style="1093"/>
    <col min="11521" max="11521" width="16.7109375" style="1093" customWidth="1"/>
    <col min="11522" max="11522" width="52.5703125" style="1093" customWidth="1"/>
    <col min="11523" max="11523" width="11" style="1093" customWidth="1"/>
    <col min="11524" max="11524" width="13.42578125" style="1093" customWidth="1"/>
    <col min="11525" max="11525" width="11.28515625" style="1093" customWidth="1"/>
    <col min="11526" max="11526" width="10.28515625" style="1093" customWidth="1"/>
    <col min="11527" max="11527" width="13.85546875" style="1093" customWidth="1"/>
    <col min="11528" max="11529" width="7.85546875" style="1093" customWidth="1"/>
    <col min="11530" max="11530" width="10.85546875" style="1093" customWidth="1"/>
    <col min="11531" max="11531" width="13" style="1093" customWidth="1"/>
    <col min="11532" max="11532" width="11.42578125" style="1093" customWidth="1"/>
    <col min="11533" max="11533" width="10" style="1093" customWidth="1"/>
    <col min="11534" max="11534" width="7.85546875" style="1093" customWidth="1"/>
    <col min="11535" max="11535" width="10.140625" style="1093" customWidth="1"/>
    <col min="11536" max="11537" width="7.85546875" style="1093" customWidth="1"/>
    <col min="11538" max="11538" width="10.85546875" style="1093" customWidth="1"/>
    <col min="11539" max="11539" width="10.7109375" style="1093" customWidth="1"/>
    <col min="11540" max="11540" width="11" style="1093" customWidth="1"/>
    <col min="11541" max="11543" width="7.85546875" style="1093" customWidth="1"/>
    <col min="11544" max="11544" width="11.28515625" style="1093" customWidth="1"/>
    <col min="11545" max="11545" width="12.42578125" style="1093" customWidth="1"/>
    <col min="11546" max="11546" width="11" style="1093" customWidth="1"/>
    <col min="11547" max="11548" width="7.85546875" style="1093" customWidth="1"/>
    <col min="11549" max="11549" width="11" style="1093" customWidth="1"/>
    <col min="11550" max="11550" width="10.5703125" style="1093" customWidth="1"/>
    <col min="11551" max="11552" width="11" style="1093" customWidth="1"/>
    <col min="11553" max="11557" width="7.85546875" style="1093" bestFit="1" customWidth="1"/>
    <col min="11558" max="11558" width="8.42578125" style="1093" bestFit="1" customWidth="1"/>
    <col min="11559" max="11559" width="11.42578125" style="1093" customWidth="1"/>
    <col min="11560" max="11560" width="7.85546875" style="1093" bestFit="1" customWidth="1"/>
    <col min="11561" max="11561" width="9.5703125" style="1093" customWidth="1"/>
    <col min="11562" max="11562" width="7.85546875" style="1093" bestFit="1" customWidth="1"/>
    <col min="11563" max="11563" width="12" style="1093" customWidth="1"/>
    <col min="11564" max="11564" width="13.42578125" style="1093" customWidth="1"/>
    <col min="11565" max="11565" width="9.5703125" style="1093" bestFit="1" customWidth="1"/>
    <col min="11566" max="11572" width="9.140625" style="1093" customWidth="1"/>
    <col min="11573" max="11776" width="9.140625" style="1093"/>
    <col min="11777" max="11777" width="16.7109375" style="1093" customWidth="1"/>
    <col min="11778" max="11778" width="52.5703125" style="1093" customWidth="1"/>
    <col min="11779" max="11779" width="11" style="1093" customWidth="1"/>
    <col min="11780" max="11780" width="13.42578125" style="1093" customWidth="1"/>
    <col min="11781" max="11781" width="11.28515625" style="1093" customWidth="1"/>
    <col min="11782" max="11782" width="10.28515625" style="1093" customWidth="1"/>
    <col min="11783" max="11783" width="13.85546875" style="1093" customWidth="1"/>
    <col min="11784" max="11785" width="7.85546875" style="1093" customWidth="1"/>
    <col min="11786" max="11786" width="10.85546875" style="1093" customWidth="1"/>
    <col min="11787" max="11787" width="13" style="1093" customWidth="1"/>
    <col min="11788" max="11788" width="11.42578125" style="1093" customWidth="1"/>
    <col min="11789" max="11789" width="10" style="1093" customWidth="1"/>
    <col min="11790" max="11790" width="7.85546875" style="1093" customWidth="1"/>
    <col min="11791" max="11791" width="10.140625" style="1093" customWidth="1"/>
    <col min="11792" max="11793" width="7.85546875" style="1093" customWidth="1"/>
    <col min="11794" max="11794" width="10.85546875" style="1093" customWidth="1"/>
    <col min="11795" max="11795" width="10.7109375" style="1093" customWidth="1"/>
    <col min="11796" max="11796" width="11" style="1093" customWidth="1"/>
    <col min="11797" max="11799" width="7.85546875" style="1093" customWidth="1"/>
    <col min="11800" max="11800" width="11.28515625" style="1093" customWidth="1"/>
    <col min="11801" max="11801" width="12.42578125" style="1093" customWidth="1"/>
    <col min="11802" max="11802" width="11" style="1093" customWidth="1"/>
    <col min="11803" max="11804" width="7.85546875" style="1093" customWidth="1"/>
    <col min="11805" max="11805" width="11" style="1093" customWidth="1"/>
    <col min="11806" max="11806" width="10.5703125" style="1093" customWidth="1"/>
    <col min="11807" max="11808" width="11" style="1093" customWidth="1"/>
    <col min="11809" max="11813" width="7.85546875" style="1093" bestFit="1" customWidth="1"/>
    <col min="11814" max="11814" width="8.42578125" style="1093" bestFit="1" customWidth="1"/>
    <col min="11815" max="11815" width="11.42578125" style="1093" customWidth="1"/>
    <col min="11816" max="11816" width="7.85546875" style="1093" bestFit="1" customWidth="1"/>
    <col min="11817" max="11817" width="9.5703125" style="1093" customWidth="1"/>
    <col min="11818" max="11818" width="7.85546875" style="1093" bestFit="1" customWidth="1"/>
    <col min="11819" max="11819" width="12" style="1093" customWidth="1"/>
    <col min="11820" max="11820" width="13.42578125" style="1093" customWidth="1"/>
    <col min="11821" max="11821" width="9.5703125" style="1093" bestFit="1" customWidth="1"/>
    <col min="11822" max="11828" width="9.140625" style="1093" customWidth="1"/>
    <col min="11829" max="12032" width="9.140625" style="1093"/>
    <col min="12033" max="12033" width="16.7109375" style="1093" customWidth="1"/>
    <col min="12034" max="12034" width="52.5703125" style="1093" customWidth="1"/>
    <col min="12035" max="12035" width="11" style="1093" customWidth="1"/>
    <col min="12036" max="12036" width="13.42578125" style="1093" customWidth="1"/>
    <col min="12037" max="12037" width="11.28515625" style="1093" customWidth="1"/>
    <col min="12038" max="12038" width="10.28515625" style="1093" customWidth="1"/>
    <col min="12039" max="12039" width="13.85546875" style="1093" customWidth="1"/>
    <col min="12040" max="12041" width="7.85546875" style="1093" customWidth="1"/>
    <col min="12042" max="12042" width="10.85546875" style="1093" customWidth="1"/>
    <col min="12043" max="12043" width="13" style="1093" customWidth="1"/>
    <col min="12044" max="12044" width="11.42578125" style="1093" customWidth="1"/>
    <col min="12045" max="12045" width="10" style="1093" customWidth="1"/>
    <col min="12046" max="12046" width="7.85546875" style="1093" customWidth="1"/>
    <col min="12047" max="12047" width="10.140625" style="1093" customWidth="1"/>
    <col min="12048" max="12049" width="7.85546875" style="1093" customWidth="1"/>
    <col min="12050" max="12050" width="10.85546875" style="1093" customWidth="1"/>
    <col min="12051" max="12051" width="10.7109375" style="1093" customWidth="1"/>
    <col min="12052" max="12052" width="11" style="1093" customWidth="1"/>
    <col min="12053" max="12055" width="7.85546875" style="1093" customWidth="1"/>
    <col min="12056" max="12056" width="11.28515625" style="1093" customWidth="1"/>
    <col min="12057" max="12057" width="12.42578125" style="1093" customWidth="1"/>
    <col min="12058" max="12058" width="11" style="1093" customWidth="1"/>
    <col min="12059" max="12060" width="7.85546875" style="1093" customWidth="1"/>
    <col min="12061" max="12061" width="11" style="1093" customWidth="1"/>
    <col min="12062" max="12062" width="10.5703125" style="1093" customWidth="1"/>
    <col min="12063" max="12064" width="11" style="1093" customWidth="1"/>
    <col min="12065" max="12069" width="7.85546875" style="1093" bestFit="1" customWidth="1"/>
    <col min="12070" max="12070" width="8.42578125" style="1093" bestFit="1" customWidth="1"/>
    <col min="12071" max="12071" width="11.42578125" style="1093" customWidth="1"/>
    <col min="12072" max="12072" width="7.85546875" style="1093" bestFit="1" customWidth="1"/>
    <col min="12073" max="12073" width="9.5703125" style="1093" customWidth="1"/>
    <col min="12074" max="12074" width="7.85546875" style="1093" bestFit="1" customWidth="1"/>
    <col min="12075" max="12075" width="12" style="1093" customWidth="1"/>
    <col min="12076" max="12076" width="13.42578125" style="1093" customWidth="1"/>
    <col min="12077" max="12077" width="9.5703125" style="1093" bestFit="1" customWidth="1"/>
    <col min="12078" max="12084" width="9.140625" style="1093" customWidth="1"/>
    <col min="12085" max="12288" width="9.140625" style="1093"/>
    <col min="12289" max="12289" width="16.7109375" style="1093" customWidth="1"/>
    <col min="12290" max="12290" width="52.5703125" style="1093" customWidth="1"/>
    <col min="12291" max="12291" width="11" style="1093" customWidth="1"/>
    <col min="12292" max="12292" width="13.42578125" style="1093" customWidth="1"/>
    <col min="12293" max="12293" width="11.28515625" style="1093" customWidth="1"/>
    <col min="12294" max="12294" width="10.28515625" style="1093" customWidth="1"/>
    <col min="12295" max="12295" width="13.85546875" style="1093" customWidth="1"/>
    <col min="12296" max="12297" width="7.85546875" style="1093" customWidth="1"/>
    <col min="12298" max="12298" width="10.85546875" style="1093" customWidth="1"/>
    <col min="12299" max="12299" width="13" style="1093" customWidth="1"/>
    <col min="12300" max="12300" width="11.42578125" style="1093" customWidth="1"/>
    <col min="12301" max="12301" width="10" style="1093" customWidth="1"/>
    <col min="12302" max="12302" width="7.85546875" style="1093" customWidth="1"/>
    <col min="12303" max="12303" width="10.140625" style="1093" customWidth="1"/>
    <col min="12304" max="12305" width="7.85546875" style="1093" customWidth="1"/>
    <col min="12306" max="12306" width="10.85546875" style="1093" customWidth="1"/>
    <col min="12307" max="12307" width="10.7109375" style="1093" customWidth="1"/>
    <col min="12308" max="12308" width="11" style="1093" customWidth="1"/>
    <col min="12309" max="12311" width="7.85546875" style="1093" customWidth="1"/>
    <col min="12312" max="12312" width="11.28515625" style="1093" customWidth="1"/>
    <col min="12313" max="12313" width="12.42578125" style="1093" customWidth="1"/>
    <col min="12314" max="12314" width="11" style="1093" customWidth="1"/>
    <col min="12315" max="12316" width="7.85546875" style="1093" customWidth="1"/>
    <col min="12317" max="12317" width="11" style="1093" customWidth="1"/>
    <col min="12318" max="12318" width="10.5703125" style="1093" customWidth="1"/>
    <col min="12319" max="12320" width="11" style="1093" customWidth="1"/>
    <col min="12321" max="12325" width="7.85546875" style="1093" bestFit="1" customWidth="1"/>
    <col min="12326" max="12326" width="8.42578125" style="1093" bestFit="1" customWidth="1"/>
    <col min="12327" max="12327" width="11.42578125" style="1093" customWidth="1"/>
    <col min="12328" max="12328" width="7.85546875" style="1093" bestFit="1" customWidth="1"/>
    <col min="12329" max="12329" width="9.5703125" style="1093" customWidth="1"/>
    <col min="12330" max="12330" width="7.85546875" style="1093" bestFit="1" customWidth="1"/>
    <col min="12331" max="12331" width="12" style="1093" customWidth="1"/>
    <col min="12332" max="12332" width="13.42578125" style="1093" customWidth="1"/>
    <col min="12333" max="12333" width="9.5703125" style="1093" bestFit="1" customWidth="1"/>
    <col min="12334" max="12340" width="9.140625" style="1093" customWidth="1"/>
    <col min="12341" max="12544" width="9.140625" style="1093"/>
    <col min="12545" max="12545" width="16.7109375" style="1093" customWidth="1"/>
    <col min="12546" max="12546" width="52.5703125" style="1093" customWidth="1"/>
    <col min="12547" max="12547" width="11" style="1093" customWidth="1"/>
    <col min="12548" max="12548" width="13.42578125" style="1093" customWidth="1"/>
    <col min="12549" max="12549" width="11.28515625" style="1093" customWidth="1"/>
    <col min="12550" max="12550" width="10.28515625" style="1093" customWidth="1"/>
    <col min="12551" max="12551" width="13.85546875" style="1093" customWidth="1"/>
    <col min="12552" max="12553" width="7.85546875" style="1093" customWidth="1"/>
    <col min="12554" max="12554" width="10.85546875" style="1093" customWidth="1"/>
    <col min="12555" max="12555" width="13" style="1093" customWidth="1"/>
    <col min="12556" max="12556" width="11.42578125" style="1093" customWidth="1"/>
    <col min="12557" max="12557" width="10" style="1093" customWidth="1"/>
    <col min="12558" max="12558" width="7.85546875" style="1093" customWidth="1"/>
    <col min="12559" max="12559" width="10.140625" style="1093" customWidth="1"/>
    <col min="12560" max="12561" width="7.85546875" style="1093" customWidth="1"/>
    <col min="12562" max="12562" width="10.85546875" style="1093" customWidth="1"/>
    <col min="12563" max="12563" width="10.7109375" style="1093" customWidth="1"/>
    <col min="12564" max="12564" width="11" style="1093" customWidth="1"/>
    <col min="12565" max="12567" width="7.85546875" style="1093" customWidth="1"/>
    <col min="12568" max="12568" width="11.28515625" style="1093" customWidth="1"/>
    <col min="12569" max="12569" width="12.42578125" style="1093" customWidth="1"/>
    <col min="12570" max="12570" width="11" style="1093" customWidth="1"/>
    <col min="12571" max="12572" width="7.85546875" style="1093" customWidth="1"/>
    <col min="12573" max="12573" width="11" style="1093" customWidth="1"/>
    <col min="12574" max="12574" width="10.5703125" style="1093" customWidth="1"/>
    <col min="12575" max="12576" width="11" style="1093" customWidth="1"/>
    <col min="12577" max="12581" width="7.85546875" style="1093" bestFit="1" customWidth="1"/>
    <col min="12582" max="12582" width="8.42578125" style="1093" bestFit="1" customWidth="1"/>
    <col min="12583" max="12583" width="11.42578125" style="1093" customWidth="1"/>
    <col min="12584" max="12584" width="7.85546875" style="1093" bestFit="1" customWidth="1"/>
    <col min="12585" max="12585" width="9.5703125" style="1093" customWidth="1"/>
    <col min="12586" max="12586" width="7.85546875" style="1093" bestFit="1" customWidth="1"/>
    <col min="12587" max="12587" width="12" style="1093" customWidth="1"/>
    <col min="12588" max="12588" width="13.42578125" style="1093" customWidth="1"/>
    <col min="12589" max="12589" width="9.5703125" style="1093" bestFit="1" customWidth="1"/>
    <col min="12590" max="12596" width="9.140625" style="1093" customWidth="1"/>
    <col min="12597" max="12800" width="9.140625" style="1093"/>
    <col min="12801" max="12801" width="16.7109375" style="1093" customWidth="1"/>
    <col min="12802" max="12802" width="52.5703125" style="1093" customWidth="1"/>
    <col min="12803" max="12803" width="11" style="1093" customWidth="1"/>
    <col min="12804" max="12804" width="13.42578125" style="1093" customWidth="1"/>
    <col min="12805" max="12805" width="11.28515625" style="1093" customWidth="1"/>
    <col min="12806" max="12806" width="10.28515625" style="1093" customWidth="1"/>
    <col min="12807" max="12807" width="13.85546875" style="1093" customWidth="1"/>
    <col min="12808" max="12809" width="7.85546875" style="1093" customWidth="1"/>
    <col min="12810" max="12810" width="10.85546875" style="1093" customWidth="1"/>
    <col min="12811" max="12811" width="13" style="1093" customWidth="1"/>
    <col min="12812" max="12812" width="11.42578125" style="1093" customWidth="1"/>
    <col min="12813" max="12813" width="10" style="1093" customWidth="1"/>
    <col min="12814" max="12814" width="7.85546875" style="1093" customWidth="1"/>
    <col min="12815" max="12815" width="10.140625" style="1093" customWidth="1"/>
    <col min="12816" max="12817" width="7.85546875" style="1093" customWidth="1"/>
    <col min="12818" max="12818" width="10.85546875" style="1093" customWidth="1"/>
    <col min="12819" max="12819" width="10.7109375" style="1093" customWidth="1"/>
    <col min="12820" max="12820" width="11" style="1093" customWidth="1"/>
    <col min="12821" max="12823" width="7.85546875" style="1093" customWidth="1"/>
    <col min="12824" max="12824" width="11.28515625" style="1093" customWidth="1"/>
    <col min="12825" max="12825" width="12.42578125" style="1093" customWidth="1"/>
    <col min="12826" max="12826" width="11" style="1093" customWidth="1"/>
    <col min="12827" max="12828" width="7.85546875" style="1093" customWidth="1"/>
    <col min="12829" max="12829" width="11" style="1093" customWidth="1"/>
    <col min="12830" max="12830" width="10.5703125" style="1093" customWidth="1"/>
    <col min="12831" max="12832" width="11" style="1093" customWidth="1"/>
    <col min="12833" max="12837" width="7.85546875" style="1093" bestFit="1" customWidth="1"/>
    <col min="12838" max="12838" width="8.42578125" style="1093" bestFit="1" customWidth="1"/>
    <col min="12839" max="12839" width="11.42578125" style="1093" customWidth="1"/>
    <col min="12840" max="12840" width="7.85546875" style="1093" bestFit="1" customWidth="1"/>
    <col min="12841" max="12841" width="9.5703125" style="1093" customWidth="1"/>
    <col min="12842" max="12842" width="7.85546875" style="1093" bestFit="1" customWidth="1"/>
    <col min="12843" max="12843" width="12" style="1093" customWidth="1"/>
    <col min="12844" max="12844" width="13.42578125" style="1093" customWidth="1"/>
    <col min="12845" max="12845" width="9.5703125" style="1093" bestFit="1" customWidth="1"/>
    <col min="12846" max="12852" width="9.140625" style="1093" customWidth="1"/>
    <col min="12853" max="13056" width="9.140625" style="1093"/>
    <col min="13057" max="13057" width="16.7109375" style="1093" customWidth="1"/>
    <col min="13058" max="13058" width="52.5703125" style="1093" customWidth="1"/>
    <col min="13059" max="13059" width="11" style="1093" customWidth="1"/>
    <col min="13060" max="13060" width="13.42578125" style="1093" customWidth="1"/>
    <col min="13061" max="13061" width="11.28515625" style="1093" customWidth="1"/>
    <col min="13062" max="13062" width="10.28515625" style="1093" customWidth="1"/>
    <col min="13063" max="13063" width="13.85546875" style="1093" customWidth="1"/>
    <col min="13064" max="13065" width="7.85546875" style="1093" customWidth="1"/>
    <col min="13066" max="13066" width="10.85546875" style="1093" customWidth="1"/>
    <col min="13067" max="13067" width="13" style="1093" customWidth="1"/>
    <col min="13068" max="13068" width="11.42578125" style="1093" customWidth="1"/>
    <col min="13069" max="13069" width="10" style="1093" customWidth="1"/>
    <col min="13070" max="13070" width="7.85546875" style="1093" customWidth="1"/>
    <col min="13071" max="13071" width="10.140625" style="1093" customWidth="1"/>
    <col min="13072" max="13073" width="7.85546875" style="1093" customWidth="1"/>
    <col min="13074" max="13074" width="10.85546875" style="1093" customWidth="1"/>
    <col min="13075" max="13075" width="10.7109375" style="1093" customWidth="1"/>
    <col min="13076" max="13076" width="11" style="1093" customWidth="1"/>
    <col min="13077" max="13079" width="7.85546875" style="1093" customWidth="1"/>
    <col min="13080" max="13080" width="11.28515625" style="1093" customWidth="1"/>
    <col min="13081" max="13081" width="12.42578125" style="1093" customWidth="1"/>
    <col min="13082" max="13082" width="11" style="1093" customWidth="1"/>
    <col min="13083" max="13084" width="7.85546875" style="1093" customWidth="1"/>
    <col min="13085" max="13085" width="11" style="1093" customWidth="1"/>
    <col min="13086" max="13086" width="10.5703125" style="1093" customWidth="1"/>
    <col min="13087" max="13088" width="11" style="1093" customWidth="1"/>
    <col min="13089" max="13093" width="7.85546875" style="1093" bestFit="1" customWidth="1"/>
    <col min="13094" max="13094" width="8.42578125" style="1093" bestFit="1" customWidth="1"/>
    <col min="13095" max="13095" width="11.42578125" style="1093" customWidth="1"/>
    <col min="13096" max="13096" width="7.85546875" style="1093" bestFit="1" customWidth="1"/>
    <col min="13097" max="13097" width="9.5703125" style="1093" customWidth="1"/>
    <col min="13098" max="13098" width="7.85546875" style="1093" bestFit="1" customWidth="1"/>
    <col min="13099" max="13099" width="12" style="1093" customWidth="1"/>
    <col min="13100" max="13100" width="13.42578125" style="1093" customWidth="1"/>
    <col min="13101" max="13101" width="9.5703125" style="1093" bestFit="1" customWidth="1"/>
    <col min="13102" max="13108" width="9.140625" style="1093" customWidth="1"/>
    <col min="13109" max="13312" width="9.140625" style="1093"/>
    <col min="13313" max="13313" width="16.7109375" style="1093" customWidth="1"/>
    <col min="13314" max="13314" width="52.5703125" style="1093" customWidth="1"/>
    <col min="13315" max="13315" width="11" style="1093" customWidth="1"/>
    <col min="13316" max="13316" width="13.42578125" style="1093" customWidth="1"/>
    <col min="13317" max="13317" width="11.28515625" style="1093" customWidth="1"/>
    <col min="13318" max="13318" width="10.28515625" style="1093" customWidth="1"/>
    <col min="13319" max="13319" width="13.85546875" style="1093" customWidth="1"/>
    <col min="13320" max="13321" width="7.85546875" style="1093" customWidth="1"/>
    <col min="13322" max="13322" width="10.85546875" style="1093" customWidth="1"/>
    <col min="13323" max="13323" width="13" style="1093" customWidth="1"/>
    <col min="13324" max="13324" width="11.42578125" style="1093" customWidth="1"/>
    <col min="13325" max="13325" width="10" style="1093" customWidth="1"/>
    <col min="13326" max="13326" width="7.85546875" style="1093" customWidth="1"/>
    <col min="13327" max="13327" width="10.140625" style="1093" customWidth="1"/>
    <col min="13328" max="13329" width="7.85546875" style="1093" customWidth="1"/>
    <col min="13330" max="13330" width="10.85546875" style="1093" customWidth="1"/>
    <col min="13331" max="13331" width="10.7109375" style="1093" customWidth="1"/>
    <col min="13332" max="13332" width="11" style="1093" customWidth="1"/>
    <col min="13333" max="13335" width="7.85546875" style="1093" customWidth="1"/>
    <col min="13336" max="13336" width="11.28515625" style="1093" customWidth="1"/>
    <col min="13337" max="13337" width="12.42578125" style="1093" customWidth="1"/>
    <col min="13338" max="13338" width="11" style="1093" customWidth="1"/>
    <col min="13339" max="13340" width="7.85546875" style="1093" customWidth="1"/>
    <col min="13341" max="13341" width="11" style="1093" customWidth="1"/>
    <col min="13342" max="13342" width="10.5703125" style="1093" customWidth="1"/>
    <col min="13343" max="13344" width="11" style="1093" customWidth="1"/>
    <col min="13345" max="13349" width="7.85546875" style="1093" bestFit="1" customWidth="1"/>
    <col min="13350" max="13350" width="8.42578125" style="1093" bestFit="1" customWidth="1"/>
    <col min="13351" max="13351" width="11.42578125" style="1093" customWidth="1"/>
    <col min="13352" max="13352" width="7.85546875" style="1093" bestFit="1" customWidth="1"/>
    <col min="13353" max="13353" width="9.5703125" style="1093" customWidth="1"/>
    <col min="13354" max="13354" width="7.85546875" style="1093" bestFit="1" customWidth="1"/>
    <col min="13355" max="13355" width="12" style="1093" customWidth="1"/>
    <col min="13356" max="13356" width="13.42578125" style="1093" customWidth="1"/>
    <col min="13357" max="13357" width="9.5703125" style="1093" bestFit="1" customWidth="1"/>
    <col min="13358" max="13364" width="9.140625" style="1093" customWidth="1"/>
    <col min="13365" max="13568" width="9.140625" style="1093"/>
    <col min="13569" max="13569" width="16.7109375" style="1093" customWidth="1"/>
    <col min="13570" max="13570" width="52.5703125" style="1093" customWidth="1"/>
    <col min="13571" max="13571" width="11" style="1093" customWidth="1"/>
    <col min="13572" max="13572" width="13.42578125" style="1093" customWidth="1"/>
    <col min="13573" max="13573" width="11.28515625" style="1093" customWidth="1"/>
    <col min="13574" max="13574" width="10.28515625" style="1093" customWidth="1"/>
    <col min="13575" max="13575" width="13.85546875" style="1093" customWidth="1"/>
    <col min="13576" max="13577" width="7.85546875" style="1093" customWidth="1"/>
    <col min="13578" max="13578" width="10.85546875" style="1093" customWidth="1"/>
    <col min="13579" max="13579" width="13" style="1093" customWidth="1"/>
    <col min="13580" max="13580" width="11.42578125" style="1093" customWidth="1"/>
    <col min="13581" max="13581" width="10" style="1093" customWidth="1"/>
    <col min="13582" max="13582" width="7.85546875" style="1093" customWidth="1"/>
    <col min="13583" max="13583" width="10.140625" style="1093" customWidth="1"/>
    <col min="13584" max="13585" width="7.85546875" style="1093" customWidth="1"/>
    <col min="13586" max="13586" width="10.85546875" style="1093" customWidth="1"/>
    <col min="13587" max="13587" width="10.7109375" style="1093" customWidth="1"/>
    <col min="13588" max="13588" width="11" style="1093" customWidth="1"/>
    <col min="13589" max="13591" width="7.85546875" style="1093" customWidth="1"/>
    <col min="13592" max="13592" width="11.28515625" style="1093" customWidth="1"/>
    <col min="13593" max="13593" width="12.42578125" style="1093" customWidth="1"/>
    <col min="13594" max="13594" width="11" style="1093" customWidth="1"/>
    <col min="13595" max="13596" width="7.85546875" style="1093" customWidth="1"/>
    <col min="13597" max="13597" width="11" style="1093" customWidth="1"/>
    <col min="13598" max="13598" width="10.5703125" style="1093" customWidth="1"/>
    <col min="13599" max="13600" width="11" style="1093" customWidth="1"/>
    <col min="13601" max="13605" width="7.85546875" style="1093" bestFit="1" customWidth="1"/>
    <col min="13606" max="13606" width="8.42578125" style="1093" bestFit="1" customWidth="1"/>
    <col min="13607" max="13607" width="11.42578125" style="1093" customWidth="1"/>
    <col min="13608" max="13608" width="7.85546875" style="1093" bestFit="1" customWidth="1"/>
    <col min="13609" max="13609" width="9.5703125" style="1093" customWidth="1"/>
    <col min="13610" max="13610" width="7.85546875" style="1093" bestFit="1" customWidth="1"/>
    <col min="13611" max="13611" width="12" style="1093" customWidth="1"/>
    <col min="13612" max="13612" width="13.42578125" style="1093" customWidth="1"/>
    <col min="13613" max="13613" width="9.5703125" style="1093" bestFit="1" customWidth="1"/>
    <col min="13614" max="13620" width="9.140625" style="1093" customWidth="1"/>
    <col min="13621" max="13824" width="9.140625" style="1093"/>
    <col min="13825" max="13825" width="16.7109375" style="1093" customWidth="1"/>
    <col min="13826" max="13826" width="52.5703125" style="1093" customWidth="1"/>
    <col min="13827" max="13827" width="11" style="1093" customWidth="1"/>
    <col min="13828" max="13828" width="13.42578125" style="1093" customWidth="1"/>
    <col min="13829" max="13829" width="11.28515625" style="1093" customWidth="1"/>
    <col min="13830" max="13830" width="10.28515625" style="1093" customWidth="1"/>
    <col min="13831" max="13831" width="13.85546875" style="1093" customWidth="1"/>
    <col min="13832" max="13833" width="7.85546875" style="1093" customWidth="1"/>
    <col min="13834" max="13834" width="10.85546875" style="1093" customWidth="1"/>
    <col min="13835" max="13835" width="13" style="1093" customWidth="1"/>
    <col min="13836" max="13836" width="11.42578125" style="1093" customWidth="1"/>
    <col min="13837" max="13837" width="10" style="1093" customWidth="1"/>
    <col min="13838" max="13838" width="7.85546875" style="1093" customWidth="1"/>
    <col min="13839" max="13839" width="10.140625" style="1093" customWidth="1"/>
    <col min="13840" max="13841" width="7.85546875" style="1093" customWidth="1"/>
    <col min="13842" max="13842" width="10.85546875" style="1093" customWidth="1"/>
    <col min="13843" max="13843" width="10.7109375" style="1093" customWidth="1"/>
    <col min="13844" max="13844" width="11" style="1093" customWidth="1"/>
    <col min="13845" max="13847" width="7.85546875" style="1093" customWidth="1"/>
    <col min="13848" max="13848" width="11.28515625" style="1093" customWidth="1"/>
    <col min="13849" max="13849" width="12.42578125" style="1093" customWidth="1"/>
    <col min="13850" max="13850" width="11" style="1093" customWidth="1"/>
    <col min="13851" max="13852" width="7.85546875" style="1093" customWidth="1"/>
    <col min="13853" max="13853" width="11" style="1093" customWidth="1"/>
    <col min="13854" max="13854" width="10.5703125" style="1093" customWidth="1"/>
    <col min="13855" max="13856" width="11" style="1093" customWidth="1"/>
    <col min="13857" max="13861" width="7.85546875" style="1093" bestFit="1" customWidth="1"/>
    <col min="13862" max="13862" width="8.42578125" style="1093" bestFit="1" customWidth="1"/>
    <col min="13863" max="13863" width="11.42578125" style="1093" customWidth="1"/>
    <col min="13864" max="13864" width="7.85546875" style="1093" bestFit="1" customWidth="1"/>
    <col min="13865" max="13865" width="9.5703125" style="1093" customWidth="1"/>
    <col min="13866" max="13866" width="7.85546875" style="1093" bestFit="1" customWidth="1"/>
    <col min="13867" max="13867" width="12" style="1093" customWidth="1"/>
    <col min="13868" max="13868" width="13.42578125" style="1093" customWidth="1"/>
    <col min="13869" max="13869" width="9.5703125" style="1093" bestFit="1" customWidth="1"/>
    <col min="13870" max="13876" width="9.140625" style="1093" customWidth="1"/>
    <col min="13877" max="14080" width="9.140625" style="1093"/>
    <col min="14081" max="14081" width="16.7109375" style="1093" customWidth="1"/>
    <col min="14082" max="14082" width="52.5703125" style="1093" customWidth="1"/>
    <col min="14083" max="14083" width="11" style="1093" customWidth="1"/>
    <col min="14084" max="14084" width="13.42578125" style="1093" customWidth="1"/>
    <col min="14085" max="14085" width="11.28515625" style="1093" customWidth="1"/>
    <col min="14086" max="14086" width="10.28515625" style="1093" customWidth="1"/>
    <col min="14087" max="14087" width="13.85546875" style="1093" customWidth="1"/>
    <col min="14088" max="14089" width="7.85546875" style="1093" customWidth="1"/>
    <col min="14090" max="14090" width="10.85546875" style="1093" customWidth="1"/>
    <col min="14091" max="14091" width="13" style="1093" customWidth="1"/>
    <col min="14092" max="14092" width="11.42578125" style="1093" customWidth="1"/>
    <col min="14093" max="14093" width="10" style="1093" customWidth="1"/>
    <col min="14094" max="14094" width="7.85546875" style="1093" customWidth="1"/>
    <col min="14095" max="14095" width="10.140625" style="1093" customWidth="1"/>
    <col min="14096" max="14097" width="7.85546875" style="1093" customWidth="1"/>
    <col min="14098" max="14098" width="10.85546875" style="1093" customWidth="1"/>
    <col min="14099" max="14099" width="10.7109375" style="1093" customWidth="1"/>
    <col min="14100" max="14100" width="11" style="1093" customWidth="1"/>
    <col min="14101" max="14103" width="7.85546875" style="1093" customWidth="1"/>
    <col min="14104" max="14104" width="11.28515625" style="1093" customWidth="1"/>
    <col min="14105" max="14105" width="12.42578125" style="1093" customWidth="1"/>
    <col min="14106" max="14106" width="11" style="1093" customWidth="1"/>
    <col min="14107" max="14108" width="7.85546875" style="1093" customWidth="1"/>
    <col min="14109" max="14109" width="11" style="1093" customWidth="1"/>
    <col min="14110" max="14110" width="10.5703125" style="1093" customWidth="1"/>
    <col min="14111" max="14112" width="11" style="1093" customWidth="1"/>
    <col min="14113" max="14117" width="7.85546875" style="1093" bestFit="1" customWidth="1"/>
    <col min="14118" max="14118" width="8.42578125" style="1093" bestFit="1" customWidth="1"/>
    <col min="14119" max="14119" width="11.42578125" style="1093" customWidth="1"/>
    <col min="14120" max="14120" width="7.85546875" style="1093" bestFit="1" customWidth="1"/>
    <col min="14121" max="14121" width="9.5703125" style="1093" customWidth="1"/>
    <col min="14122" max="14122" width="7.85546875" style="1093" bestFit="1" customWidth="1"/>
    <col min="14123" max="14123" width="12" style="1093" customWidth="1"/>
    <col min="14124" max="14124" width="13.42578125" style="1093" customWidth="1"/>
    <col min="14125" max="14125" width="9.5703125" style="1093" bestFit="1" customWidth="1"/>
    <col min="14126" max="14132" width="9.140625" style="1093" customWidth="1"/>
    <col min="14133" max="14336" width="9.140625" style="1093"/>
    <col min="14337" max="14337" width="16.7109375" style="1093" customWidth="1"/>
    <col min="14338" max="14338" width="52.5703125" style="1093" customWidth="1"/>
    <col min="14339" max="14339" width="11" style="1093" customWidth="1"/>
    <col min="14340" max="14340" width="13.42578125" style="1093" customWidth="1"/>
    <col min="14341" max="14341" width="11.28515625" style="1093" customWidth="1"/>
    <col min="14342" max="14342" width="10.28515625" style="1093" customWidth="1"/>
    <col min="14343" max="14343" width="13.85546875" style="1093" customWidth="1"/>
    <col min="14344" max="14345" width="7.85546875" style="1093" customWidth="1"/>
    <col min="14346" max="14346" width="10.85546875" style="1093" customWidth="1"/>
    <col min="14347" max="14347" width="13" style="1093" customWidth="1"/>
    <col min="14348" max="14348" width="11.42578125" style="1093" customWidth="1"/>
    <col min="14349" max="14349" width="10" style="1093" customWidth="1"/>
    <col min="14350" max="14350" width="7.85546875" style="1093" customWidth="1"/>
    <col min="14351" max="14351" width="10.140625" style="1093" customWidth="1"/>
    <col min="14352" max="14353" width="7.85546875" style="1093" customWidth="1"/>
    <col min="14354" max="14354" width="10.85546875" style="1093" customWidth="1"/>
    <col min="14355" max="14355" width="10.7109375" style="1093" customWidth="1"/>
    <col min="14356" max="14356" width="11" style="1093" customWidth="1"/>
    <col min="14357" max="14359" width="7.85546875" style="1093" customWidth="1"/>
    <col min="14360" max="14360" width="11.28515625" style="1093" customWidth="1"/>
    <col min="14361" max="14361" width="12.42578125" style="1093" customWidth="1"/>
    <col min="14362" max="14362" width="11" style="1093" customWidth="1"/>
    <col min="14363" max="14364" width="7.85546875" style="1093" customWidth="1"/>
    <col min="14365" max="14365" width="11" style="1093" customWidth="1"/>
    <col min="14366" max="14366" width="10.5703125" style="1093" customWidth="1"/>
    <col min="14367" max="14368" width="11" style="1093" customWidth="1"/>
    <col min="14369" max="14373" width="7.85546875" style="1093" bestFit="1" customWidth="1"/>
    <col min="14374" max="14374" width="8.42578125" style="1093" bestFit="1" customWidth="1"/>
    <col min="14375" max="14375" width="11.42578125" style="1093" customWidth="1"/>
    <col min="14376" max="14376" width="7.85546875" style="1093" bestFit="1" customWidth="1"/>
    <col min="14377" max="14377" width="9.5703125" style="1093" customWidth="1"/>
    <col min="14378" max="14378" width="7.85546875" style="1093" bestFit="1" customWidth="1"/>
    <col min="14379" max="14379" width="12" style="1093" customWidth="1"/>
    <col min="14380" max="14380" width="13.42578125" style="1093" customWidth="1"/>
    <col min="14381" max="14381" width="9.5703125" style="1093" bestFit="1" customWidth="1"/>
    <col min="14382" max="14388" width="9.140625" style="1093" customWidth="1"/>
    <col min="14389" max="14592" width="9.140625" style="1093"/>
    <col min="14593" max="14593" width="16.7109375" style="1093" customWidth="1"/>
    <col min="14594" max="14594" width="52.5703125" style="1093" customWidth="1"/>
    <col min="14595" max="14595" width="11" style="1093" customWidth="1"/>
    <col min="14596" max="14596" width="13.42578125" style="1093" customWidth="1"/>
    <col min="14597" max="14597" width="11.28515625" style="1093" customWidth="1"/>
    <col min="14598" max="14598" width="10.28515625" style="1093" customWidth="1"/>
    <col min="14599" max="14599" width="13.85546875" style="1093" customWidth="1"/>
    <col min="14600" max="14601" width="7.85546875" style="1093" customWidth="1"/>
    <col min="14602" max="14602" width="10.85546875" style="1093" customWidth="1"/>
    <col min="14603" max="14603" width="13" style="1093" customWidth="1"/>
    <col min="14604" max="14604" width="11.42578125" style="1093" customWidth="1"/>
    <col min="14605" max="14605" width="10" style="1093" customWidth="1"/>
    <col min="14606" max="14606" width="7.85546875" style="1093" customWidth="1"/>
    <col min="14607" max="14607" width="10.140625" style="1093" customWidth="1"/>
    <col min="14608" max="14609" width="7.85546875" style="1093" customWidth="1"/>
    <col min="14610" max="14610" width="10.85546875" style="1093" customWidth="1"/>
    <col min="14611" max="14611" width="10.7109375" style="1093" customWidth="1"/>
    <col min="14612" max="14612" width="11" style="1093" customWidth="1"/>
    <col min="14613" max="14615" width="7.85546875" style="1093" customWidth="1"/>
    <col min="14616" max="14616" width="11.28515625" style="1093" customWidth="1"/>
    <col min="14617" max="14617" width="12.42578125" style="1093" customWidth="1"/>
    <col min="14618" max="14618" width="11" style="1093" customWidth="1"/>
    <col min="14619" max="14620" width="7.85546875" style="1093" customWidth="1"/>
    <col min="14621" max="14621" width="11" style="1093" customWidth="1"/>
    <col min="14622" max="14622" width="10.5703125" style="1093" customWidth="1"/>
    <col min="14623" max="14624" width="11" style="1093" customWidth="1"/>
    <col min="14625" max="14629" width="7.85546875" style="1093" bestFit="1" customWidth="1"/>
    <col min="14630" max="14630" width="8.42578125" style="1093" bestFit="1" customWidth="1"/>
    <col min="14631" max="14631" width="11.42578125" style="1093" customWidth="1"/>
    <col min="14632" max="14632" width="7.85546875" style="1093" bestFit="1" customWidth="1"/>
    <col min="14633" max="14633" width="9.5703125" style="1093" customWidth="1"/>
    <col min="14634" max="14634" width="7.85546875" style="1093" bestFit="1" customWidth="1"/>
    <col min="14635" max="14635" width="12" style="1093" customWidth="1"/>
    <col min="14636" max="14636" width="13.42578125" style="1093" customWidth="1"/>
    <col min="14637" max="14637" width="9.5703125" style="1093" bestFit="1" customWidth="1"/>
    <col min="14638" max="14644" width="9.140625" style="1093" customWidth="1"/>
    <col min="14645" max="14848" width="9.140625" style="1093"/>
    <col min="14849" max="14849" width="16.7109375" style="1093" customWidth="1"/>
    <col min="14850" max="14850" width="52.5703125" style="1093" customWidth="1"/>
    <col min="14851" max="14851" width="11" style="1093" customWidth="1"/>
    <col min="14852" max="14852" width="13.42578125" style="1093" customWidth="1"/>
    <col min="14853" max="14853" width="11.28515625" style="1093" customWidth="1"/>
    <col min="14854" max="14854" width="10.28515625" style="1093" customWidth="1"/>
    <col min="14855" max="14855" width="13.85546875" style="1093" customWidth="1"/>
    <col min="14856" max="14857" width="7.85546875" style="1093" customWidth="1"/>
    <col min="14858" max="14858" width="10.85546875" style="1093" customWidth="1"/>
    <col min="14859" max="14859" width="13" style="1093" customWidth="1"/>
    <col min="14860" max="14860" width="11.42578125" style="1093" customWidth="1"/>
    <col min="14861" max="14861" width="10" style="1093" customWidth="1"/>
    <col min="14862" max="14862" width="7.85546875" style="1093" customWidth="1"/>
    <col min="14863" max="14863" width="10.140625" style="1093" customWidth="1"/>
    <col min="14864" max="14865" width="7.85546875" style="1093" customWidth="1"/>
    <col min="14866" max="14866" width="10.85546875" style="1093" customWidth="1"/>
    <col min="14867" max="14867" width="10.7109375" style="1093" customWidth="1"/>
    <col min="14868" max="14868" width="11" style="1093" customWidth="1"/>
    <col min="14869" max="14871" width="7.85546875" style="1093" customWidth="1"/>
    <col min="14872" max="14872" width="11.28515625" style="1093" customWidth="1"/>
    <col min="14873" max="14873" width="12.42578125" style="1093" customWidth="1"/>
    <col min="14874" max="14874" width="11" style="1093" customWidth="1"/>
    <col min="14875" max="14876" width="7.85546875" style="1093" customWidth="1"/>
    <col min="14877" max="14877" width="11" style="1093" customWidth="1"/>
    <col min="14878" max="14878" width="10.5703125" style="1093" customWidth="1"/>
    <col min="14879" max="14880" width="11" style="1093" customWidth="1"/>
    <col min="14881" max="14885" width="7.85546875" style="1093" bestFit="1" customWidth="1"/>
    <col min="14886" max="14886" width="8.42578125" style="1093" bestFit="1" customWidth="1"/>
    <col min="14887" max="14887" width="11.42578125" style="1093" customWidth="1"/>
    <col min="14888" max="14888" width="7.85546875" style="1093" bestFit="1" customWidth="1"/>
    <col min="14889" max="14889" width="9.5703125" style="1093" customWidth="1"/>
    <col min="14890" max="14890" width="7.85546875" style="1093" bestFit="1" customWidth="1"/>
    <col min="14891" max="14891" width="12" style="1093" customWidth="1"/>
    <col min="14892" max="14892" width="13.42578125" style="1093" customWidth="1"/>
    <col min="14893" max="14893" width="9.5703125" style="1093" bestFit="1" customWidth="1"/>
    <col min="14894" max="14900" width="9.140625" style="1093" customWidth="1"/>
    <col min="14901" max="15104" width="9.140625" style="1093"/>
    <col min="15105" max="15105" width="16.7109375" style="1093" customWidth="1"/>
    <col min="15106" max="15106" width="52.5703125" style="1093" customWidth="1"/>
    <col min="15107" max="15107" width="11" style="1093" customWidth="1"/>
    <col min="15108" max="15108" width="13.42578125" style="1093" customWidth="1"/>
    <col min="15109" max="15109" width="11.28515625" style="1093" customWidth="1"/>
    <col min="15110" max="15110" width="10.28515625" style="1093" customWidth="1"/>
    <col min="15111" max="15111" width="13.85546875" style="1093" customWidth="1"/>
    <col min="15112" max="15113" width="7.85546875" style="1093" customWidth="1"/>
    <col min="15114" max="15114" width="10.85546875" style="1093" customWidth="1"/>
    <col min="15115" max="15115" width="13" style="1093" customWidth="1"/>
    <col min="15116" max="15116" width="11.42578125" style="1093" customWidth="1"/>
    <col min="15117" max="15117" width="10" style="1093" customWidth="1"/>
    <col min="15118" max="15118" width="7.85546875" style="1093" customWidth="1"/>
    <col min="15119" max="15119" width="10.140625" style="1093" customWidth="1"/>
    <col min="15120" max="15121" width="7.85546875" style="1093" customWidth="1"/>
    <col min="15122" max="15122" width="10.85546875" style="1093" customWidth="1"/>
    <col min="15123" max="15123" width="10.7109375" style="1093" customWidth="1"/>
    <col min="15124" max="15124" width="11" style="1093" customWidth="1"/>
    <col min="15125" max="15127" width="7.85546875" style="1093" customWidth="1"/>
    <col min="15128" max="15128" width="11.28515625" style="1093" customWidth="1"/>
    <col min="15129" max="15129" width="12.42578125" style="1093" customWidth="1"/>
    <col min="15130" max="15130" width="11" style="1093" customWidth="1"/>
    <col min="15131" max="15132" width="7.85546875" style="1093" customWidth="1"/>
    <col min="15133" max="15133" width="11" style="1093" customWidth="1"/>
    <col min="15134" max="15134" width="10.5703125" style="1093" customWidth="1"/>
    <col min="15135" max="15136" width="11" style="1093" customWidth="1"/>
    <col min="15137" max="15141" width="7.85546875" style="1093" bestFit="1" customWidth="1"/>
    <col min="15142" max="15142" width="8.42578125" style="1093" bestFit="1" customWidth="1"/>
    <col min="15143" max="15143" width="11.42578125" style="1093" customWidth="1"/>
    <col min="15144" max="15144" width="7.85546875" style="1093" bestFit="1" customWidth="1"/>
    <col min="15145" max="15145" width="9.5703125" style="1093" customWidth="1"/>
    <col min="15146" max="15146" width="7.85546875" style="1093" bestFit="1" customWidth="1"/>
    <col min="15147" max="15147" width="12" style="1093" customWidth="1"/>
    <col min="15148" max="15148" width="13.42578125" style="1093" customWidth="1"/>
    <col min="15149" max="15149" width="9.5703125" style="1093" bestFit="1" customWidth="1"/>
    <col min="15150" max="15156" width="9.140625" style="1093" customWidth="1"/>
    <col min="15157" max="15360" width="9.140625" style="1093"/>
    <col min="15361" max="15361" width="16.7109375" style="1093" customWidth="1"/>
    <col min="15362" max="15362" width="52.5703125" style="1093" customWidth="1"/>
    <col min="15363" max="15363" width="11" style="1093" customWidth="1"/>
    <col min="15364" max="15364" width="13.42578125" style="1093" customWidth="1"/>
    <col min="15365" max="15365" width="11.28515625" style="1093" customWidth="1"/>
    <col min="15366" max="15366" width="10.28515625" style="1093" customWidth="1"/>
    <col min="15367" max="15367" width="13.85546875" style="1093" customWidth="1"/>
    <col min="15368" max="15369" width="7.85546875" style="1093" customWidth="1"/>
    <col min="15370" max="15370" width="10.85546875" style="1093" customWidth="1"/>
    <col min="15371" max="15371" width="13" style="1093" customWidth="1"/>
    <col min="15372" max="15372" width="11.42578125" style="1093" customWidth="1"/>
    <col min="15373" max="15373" width="10" style="1093" customWidth="1"/>
    <col min="15374" max="15374" width="7.85546875" style="1093" customWidth="1"/>
    <col min="15375" max="15375" width="10.140625" style="1093" customWidth="1"/>
    <col min="15376" max="15377" width="7.85546875" style="1093" customWidth="1"/>
    <col min="15378" max="15378" width="10.85546875" style="1093" customWidth="1"/>
    <col min="15379" max="15379" width="10.7109375" style="1093" customWidth="1"/>
    <col min="15380" max="15380" width="11" style="1093" customWidth="1"/>
    <col min="15381" max="15383" width="7.85546875" style="1093" customWidth="1"/>
    <col min="15384" max="15384" width="11.28515625" style="1093" customWidth="1"/>
    <col min="15385" max="15385" width="12.42578125" style="1093" customWidth="1"/>
    <col min="15386" max="15386" width="11" style="1093" customWidth="1"/>
    <col min="15387" max="15388" width="7.85546875" style="1093" customWidth="1"/>
    <col min="15389" max="15389" width="11" style="1093" customWidth="1"/>
    <col min="15390" max="15390" width="10.5703125" style="1093" customWidth="1"/>
    <col min="15391" max="15392" width="11" style="1093" customWidth="1"/>
    <col min="15393" max="15397" width="7.85546875" style="1093" bestFit="1" customWidth="1"/>
    <col min="15398" max="15398" width="8.42578125" style="1093" bestFit="1" customWidth="1"/>
    <col min="15399" max="15399" width="11.42578125" style="1093" customWidth="1"/>
    <col min="15400" max="15400" width="7.85546875" style="1093" bestFit="1" customWidth="1"/>
    <col min="15401" max="15401" width="9.5703125" style="1093" customWidth="1"/>
    <col min="15402" max="15402" width="7.85546875" style="1093" bestFit="1" customWidth="1"/>
    <col min="15403" max="15403" width="12" style="1093" customWidth="1"/>
    <col min="15404" max="15404" width="13.42578125" style="1093" customWidth="1"/>
    <col min="15405" max="15405" width="9.5703125" style="1093" bestFit="1" customWidth="1"/>
    <col min="15406" max="15412" width="9.140625" style="1093" customWidth="1"/>
    <col min="15413" max="15616" width="9.140625" style="1093"/>
    <col min="15617" max="15617" width="16.7109375" style="1093" customWidth="1"/>
    <col min="15618" max="15618" width="52.5703125" style="1093" customWidth="1"/>
    <col min="15619" max="15619" width="11" style="1093" customWidth="1"/>
    <col min="15620" max="15620" width="13.42578125" style="1093" customWidth="1"/>
    <col min="15621" max="15621" width="11.28515625" style="1093" customWidth="1"/>
    <col min="15622" max="15622" width="10.28515625" style="1093" customWidth="1"/>
    <col min="15623" max="15623" width="13.85546875" style="1093" customWidth="1"/>
    <col min="15624" max="15625" width="7.85546875" style="1093" customWidth="1"/>
    <col min="15626" max="15626" width="10.85546875" style="1093" customWidth="1"/>
    <col min="15627" max="15627" width="13" style="1093" customWidth="1"/>
    <col min="15628" max="15628" width="11.42578125" style="1093" customWidth="1"/>
    <col min="15629" max="15629" width="10" style="1093" customWidth="1"/>
    <col min="15630" max="15630" width="7.85546875" style="1093" customWidth="1"/>
    <col min="15631" max="15631" width="10.140625" style="1093" customWidth="1"/>
    <col min="15632" max="15633" width="7.85546875" style="1093" customWidth="1"/>
    <col min="15634" max="15634" width="10.85546875" style="1093" customWidth="1"/>
    <col min="15635" max="15635" width="10.7109375" style="1093" customWidth="1"/>
    <col min="15636" max="15636" width="11" style="1093" customWidth="1"/>
    <col min="15637" max="15639" width="7.85546875" style="1093" customWidth="1"/>
    <col min="15640" max="15640" width="11.28515625" style="1093" customWidth="1"/>
    <col min="15641" max="15641" width="12.42578125" style="1093" customWidth="1"/>
    <col min="15642" max="15642" width="11" style="1093" customWidth="1"/>
    <col min="15643" max="15644" width="7.85546875" style="1093" customWidth="1"/>
    <col min="15645" max="15645" width="11" style="1093" customWidth="1"/>
    <col min="15646" max="15646" width="10.5703125" style="1093" customWidth="1"/>
    <col min="15647" max="15648" width="11" style="1093" customWidth="1"/>
    <col min="15649" max="15653" width="7.85546875" style="1093" bestFit="1" customWidth="1"/>
    <col min="15654" max="15654" width="8.42578125" style="1093" bestFit="1" customWidth="1"/>
    <col min="15655" max="15655" width="11.42578125" style="1093" customWidth="1"/>
    <col min="15656" max="15656" width="7.85546875" style="1093" bestFit="1" customWidth="1"/>
    <col min="15657" max="15657" width="9.5703125" style="1093" customWidth="1"/>
    <col min="15658" max="15658" width="7.85546875" style="1093" bestFit="1" customWidth="1"/>
    <col min="15659" max="15659" width="12" style="1093" customWidth="1"/>
    <col min="15660" max="15660" width="13.42578125" style="1093" customWidth="1"/>
    <col min="15661" max="15661" width="9.5703125" style="1093" bestFit="1" customWidth="1"/>
    <col min="15662" max="15668" width="9.140625" style="1093" customWidth="1"/>
    <col min="15669" max="15872" width="9.140625" style="1093"/>
    <col min="15873" max="15873" width="16.7109375" style="1093" customWidth="1"/>
    <col min="15874" max="15874" width="52.5703125" style="1093" customWidth="1"/>
    <col min="15875" max="15875" width="11" style="1093" customWidth="1"/>
    <col min="15876" max="15876" width="13.42578125" style="1093" customWidth="1"/>
    <col min="15877" max="15877" width="11.28515625" style="1093" customWidth="1"/>
    <col min="15878" max="15878" width="10.28515625" style="1093" customWidth="1"/>
    <col min="15879" max="15879" width="13.85546875" style="1093" customWidth="1"/>
    <col min="15880" max="15881" width="7.85546875" style="1093" customWidth="1"/>
    <col min="15882" max="15882" width="10.85546875" style="1093" customWidth="1"/>
    <col min="15883" max="15883" width="13" style="1093" customWidth="1"/>
    <col min="15884" max="15884" width="11.42578125" style="1093" customWidth="1"/>
    <col min="15885" max="15885" width="10" style="1093" customWidth="1"/>
    <col min="15886" max="15886" width="7.85546875" style="1093" customWidth="1"/>
    <col min="15887" max="15887" width="10.140625" style="1093" customWidth="1"/>
    <col min="15888" max="15889" width="7.85546875" style="1093" customWidth="1"/>
    <col min="15890" max="15890" width="10.85546875" style="1093" customWidth="1"/>
    <col min="15891" max="15891" width="10.7109375" style="1093" customWidth="1"/>
    <col min="15892" max="15892" width="11" style="1093" customWidth="1"/>
    <col min="15893" max="15895" width="7.85546875" style="1093" customWidth="1"/>
    <col min="15896" max="15896" width="11.28515625" style="1093" customWidth="1"/>
    <col min="15897" max="15897" width="12.42578125" style="1093" customWidth="1"/>
    <col min="15898" max="15898" width="11" style="1093" customWidth="1"/>
    <col min="15899" max="15900" width="7.85546875" style="1093" customWidth="1"/>
    <col min="15901" max="15901" width="11" style="1093" customWidth="1"/>
    <col min="15902" max="15902" width="10.5703125" style="1093" customWidth="1"/>
    <col min="15903" max="15904" width="11" style="1093" customWidth="1"/>
    <col min="15905" max="15909" width="7.85546875" style="1093" bestFit="1" customWidth="1"/>
    <col min="15910" max="15910" width="8.42578125" style="1093" bestFit="1" customWidth="1"/>
    <col min="15911" max="15911" width="11.42578125" style="1093" customWidth="1"/>
    <col min="15912" max="15912" width="7.85546875" style="1093" bestFit="1" customWidth="1"/>
    <col min="15913" max="15913" width="9.5703125" style="1093" customWidth="1"/>
    <col min="15914" max="15914" width="7.85546875" style="1093" bestFit="1" customWidth="1"/>
    <col min="15915" max="15915" width="12" style="1093" customWidth="1"/>
    <col min="15916" max="15916" width="13.42578125" style="1093" customWidth="1"/>
    <col min="15917" max="15917" width="9.5703125" style="1093" bestFit="1" customWidth="1"/>
    <col min="15918" max="15924" width="9.140625" style="1093" customWidth="1"/>
    <col min="15925" max="16128" width="9.140625" style="1093"/>
    <col min="16129" max="16129" width="16.7109375" style="1093" customWidth="1"/>
    <col min="16130" max="16130" width="52.5703125" style="1093" customWidth="1"/>
    <col min="16131" max="16131" width="11" style="1093" customWidth="1"/>
    <col min="16132" max="16132" width="13.42578125" style="1093" customWidth="1"/>
    <col min="16133" max="16133" width="11.28515625" style="1093" customWidth="1"/>
    <col min="16134" max="16134" width="10.28515625" style="1093" customWidth="1"/>
    <col min="16135" max="16135" width="13.85546875" style="1093" customWidth="1"/>
    <col min="16136" max="16137" width="7.85546875" style="1093" customWidth="1"/>
    <col min="16138" max="16138" width="10.85546875" style="1093" customWidth="1"/>
    <col min="16139" max="16139" width="13" style="1093" customWidth="1"/>
    <col min="16140" max="16140" width="11.42578125" style="1093" customWidth="1"/>
    <col min="16141" max="16141" width="10" style="1093" customWidth="1"/>
    <col min="16142" max="16142" width="7.85546875" style="1093" customWidth="1"/>
    <col min="16143" max="16143" width="10.140625" style="1093" customWidth="1"/>
    <col min="16144" max="16145" width="7.85546875" style="1093" customWidth="1"/>
    <col min="16146" max="16146" width="10.85546875" style="1093" customWidth="1"/>
    <col min="16147" max="16147" width="10.7109375" style="1093" customWidth="1"/>
    <col min="16148" max="16148" width="11" style="1093" customWidth="1"/>
    <col min="16149" max="16151" width="7.85546875" style="1093" customWidth="1"/>
    <col min="16152" max="16152" width="11.28515625" style="1093" customWidth="1"/>
    <col min="16153" max="16153" width="12.42578125" style="1093" customWidth="1"/>
    <col min="16154" max="16154" width="11" style="1093" customWidth="1"/>
    <col min="16155" max="16156" width="7.85546875" style="1093" customWidth="1"/>
    <col min="16157" max="16157" width="11" style="1093" customWidth="1"/>
    <col min="16158" max="16158" width="10.5703125" style="1093" customWidth="1"/>
    <col min="16159" max="16160" width="11" style="1093" customWidth="1"/>
    <col min="16161" max="16165" width="7.85546875" style="1093" bestFit="1" customWidth="1"/>
    <col min="16166" max="16166" width="8.42578125" style="1093" bestFit="1" customWidth="1"/>
    <col min="16167" max="16167" width="11.42578125" style="1093" customWidth="1"/>
    <col min="16168" max="16168" width="7.85546875" style="1093" bestFit="1" customWidth="1"/>
    <col min="16169" max="16169" width="9.5703125" style="1093" customWidth="1"/>
    <col min="16170" max="16170" width="7.85546875" style="1093" bestFit="1" customWidth="1"/>
    <col min="16171" max="16171" width="12" style="1093" customWidth="1"/>
    <col min="16172" max="16172" width="13.42578125" style="1093" customWidth="1"/>
    <col min="16173" max="16173" width="9.5703125" style="1093" bestFit="1" customWidth="1"/>
    <col min="16174" max="16180" width="9.140625" style="1093" customWidth="1"/>
    <col min="16181" max="16384" width="9.140625" style="1093"/>
  </cols>
  <sheetData>
    <row r="1" spans="1:49" s="1080" customFormat="1" ht="16.5" customHeight="1" thickBot="1">
      <c r="A1" s="1820" t="s">
        <v>1245</v>
      </c>
      <c r="B1" s="1820"/>
      <c r="C1" s="1820"/>
      <c r="D1" s="1820"/>
      <c r="E1" s="1193"/>
      <c r="F1" s="1193"/>
      <c r="G1" s="1193"/>
      <c r="H1" s="1193"/>
      <c r="I1" s="1193"/>
      <c r="J1" s="1193"/>
      <c r="K1" s="1193"/>
      <c r="L1" s="1193"/>
      <c r="M1" s="1193"/>
      <c r="N1" s="1193"/>
      <c r="O1" s="1193"/>
      <c r="P1" s="1193"/>
      <c r="Q1" s="1193"/>
      <c r="R1" s="1193"/>
      <c r="S1" s="1193"/>
      <c r="T1" s="1193"/>
      <c r="U1" s="1193"/>
      <c r="V1" s="1193"/>
      <c r="W1" s="1193"/>
      <c r="X1" s="1193"/>
      <c r="Y1" s="1193"/>
      <c r="Z1" s="1194"/>
      <c r="AA1" s="1194"/>
      <c r="AB1" s="1194"/>
      <c r="AC1" s="1194"/>
      <c r="AD1" s="1194"/>
      <c r="AE1" s="1194"/>
      <c r="AF1" s="1194"/>
      <c r="AG1" s="1194"/>
      <c r="AH1" s="1194"/>
      <c r="AI1" s="1194"/>
      <c r="AJ1" s="1194"/>
      <c r="AK1" s="1194"/>
      <c r="AL1" s="1194"/>
      <c r="AM1" s="1194"/>
      <c r="AN1" s="1194"/>
      <c r="AO1" s="1194"/>
      <c r="AP1" s="1194"/>
      <c r="AQ1" s="1194"/>
      <c r="AR1" s="1194"/>
      <c r="AS1" s="1741"/>
      <c r="AW1" s="1732"/>
    </row>
    <row r="2" spans="1:49" s="1083" customFormat="1" ht="21" customHeight="1">
      <c r="A2" s="1081" t="s">
        <v>682</v>
      </c>
      <c r="B2" s="1082" t="s">
        <v>683</v>
      </c>
      <c r="C2" s="1860" t="s">
        <v>684</v>
      </c>
      <c r="D2" s="1861"/>
      <c r="E2" s="1195"/>
      <c r="F2" s="1195"/>
      <c r="G2" s="1195"/>
      <c r="H2" s="1195"/>
      <c r="I2" s="1195"/>
      <c r="J2" s="1195"/>
      <c r="K2" s="1195"/>
      <c r="L2" s="1195"/>
      <c r="M2" s="1195"/>
      <c r="N2" s="1195"/>
      <c r="O2" s="1195"/>
      <c r="P2" s="1195"/>
      <c r="Q2" s="1195"/>
      <c r="R2" s="1195"/>
      <c r="S2" s="1195"/>
      <c r="T2" s="1195"/>
      <c r="U2" s="1195"/>
      <c r="V2" s="1195"/>
      <c r="W2" s="1195"/>
      <c r="X2" s="1195"/>
      <c r="Y2" s="1195"/>
      <c r="Z2" s="1196"/>
      <c r="AA2" s="1196"/>
      <c r="AB2" s="1196"/>
      <c r="AC2" s="1196"/>
      <c r="AD2" s="1196"/>
      <c r="AE2" s="1196"/>
      <c r="AF2" s="1196"/>
      <c r="AG2" s="1196"/>
      <c r="AH2" s="1196"/>
      <c r="AI2" s="1196"/>
      <c r="AJ2" s="1196"/>
      <c r="AK2" s="1196"/>
      <c r="AL2" s="1196"/>
      <c r="AM2" s="1196"/>
      <c r="AN2" s="1196"/>
      <c r="AO2" s="1196"/>
      <c r="AP2" s="1196"/>
      <c r="AQ2" s="1196"/>
      <c r="AR2" s="1196"/>
      <c r="AS2" s="1742"/>
      <c r="AW2" s="1733"/>
    </row>
    <row r="3" spans="1:49" s="1083" customFormat="1" ht="16.5" thickBot="1">
      <c r="A3" s="1084" t="s">
        <v>685</v>
      </c>
      <c r="B3" s="1085" t="s">
        <v>686</v>
      </c>
      <c r="C3" s="1862"/>
      <c r="D3" s="1863"/>
      <c r="E3" s="1195"/>
      <c r="F3" s="1195"/>
      <c r="G3" s="1195"/>
      <c r="H3" s="1195"/>
      <c r="I3" s="1195"/>
      <c r="J3" s="1195"/>
      <c r="K3" s="1195"/>
      <c r="L3" s="1195"/>
      <c r="M3" s="1195"/>
      <c r="N3" s="1195"/>
      <c r="O3" s="1195"/>
      <c r="P3" s="1195"/>
      <c r="Q3" s="1195"/>
      <c r="R3" s="1195"/>
      <c r="S3" s="1195"/>
      <c r="T3" s="1195"/>
      <c r="U3" s="1195"/>
      <c r="V3" s="1195"/>
      <c r="W3" s="1195"/>
      <c r="X3" s="1195"/>
      <c r="Y3" s="1195"/>
      <c r="Z3" s="1196"/>
      <c r="AA3" s="1196"/>
      <c r="AB3" s="1196"/>
      <c r="AC3" s="1196"/>
      <c r="AD3" s="1196"/>
      <c r="AE3" s="1196"/>
      <c r="AF3" s="1196"/>
      <c r="AG3" s="1196"/>
      <c r="AH3" s="1196"/>
      <c r="AI3" s="1196"/>
      <c r="AJ3" s="1196"/>
      <c r="AK3" s="1196"/>
      <c r="AL3" s="1196"/>
      <c r="AM3" s="1196"/>
      <c r="AN3" s="1196"/>
      <c r="AO3" s="1196"/>
      <c r="AP3" s="1196"/>
      <c r="AQ3" s="1196"/>
      <c r="AR3" s="1196"/>
      <c r="AS3" s="1742"/>
      <c r="AW3" s="1733"/>
    </row>
    <row r="4" spans="1:49" s="1088" customFormat="1" ht="15.95" customHeight="1" thickBot="1">
      <c r="A4" s="1086"/>
      <c r="B4" s="1087"/>
      <c r="C4" s="1825" t="s">
        <v>687</v>
      </c>
      <c r="D4" s="1826"/>
      <c r="E4" s="1197"/>
      <c r="F4" s="1197"/>
      <c r="G4" s="1197"/>
      <c r="H4" s="1197"/>
      <c r="I4" s="1197"/>
      <c r="J4" s="1197"/>
      <c r="K4" s="1197"/>
      <c r="L4" s="1197"/>
      <c r="M4" s="1197"/>
      <c r="N4" s="1197"/>
      <c r="O4" s="1197"/>
      <c r="P4" s="1197"/>
      <c r="Q4" s="1197"/>
      <c r="R4" s="1197"/>
      <c r="S4" s="1197"/>
      <c r="T4" s="1197"/>
      <c r="U4" s="1197"/>
      <c r="V4" s="1197"/>
      <c r="W4" s="1197"/>
      <c r="X4" s="1197"/>
      <c r="Y4" s="1197"/>
      <c r="Z4" s="1198"/>
      <c r="AA4" s="1198"/>
      <c r="AB4" s="1198"/>
      <c r="AC4" s="1198"/>
      <c r="AD4" s="1198"/>
      <c r="AE4" s="1198"/>
      <c r="AF4" s="1198"/>
      <c r="AG4" s="1198"/>
      <c r="AH4" s="1198"/>
      <c r="AI4" s="1198"/>
      <c r="AJ4" s="1198"/>
      <c r="AK4" s="1198"/>
      <c r="AL4" s="1198"/>
      <c r="AM4" s="1198"/>
      <c r="AN4" s="1198"/>
      <c r="AO4" s="1198"/>
      <c r="AP4" s="1198"/>
      <c r="AQ4" s="1198"/>
      <c r="AR4" s="1198"/>
      <c r="AS4" s="1743"/>
      <c r="AW4" s="1734"/>
    </row>
    <row r="5" spans="1:49" ht="36.75" thickBot="1">
      <c r="A5" s="1089" t="s">
        <v>688</v>
      </c>
      <c r="B5" s="1090" t="s">
        <v>689</v>
      </c>
      <c r="C5" s="1091" t="s">
        <v>690</v>
      </c>
      <c r="D5" s="1092" t="s">
        <v>691</v>
      </c>
    </row>
    <row r="6" spans="1:49" s="1098" customFormat="1" ht="12.95" customHeight="1" thickBot="1">
      <c r="A6" s="1094">
        <v>1</v>
      </c>
      <c r="B6" s="1095">
        <v>2</v>
      </c>
      <c r="C6" s="1096">
        <v>3</v>
      </c>
      <c r="D6" s="1097">
        <v>4</v>
      </c>
      <c r="E6" s="1201"/>
      <c r="F6" s="1201"/>
      <c r="G6" s="1201"/>
      <c r="H6" s="1201"/>
      <c r="I6" s="1201"/>
      <c r="J6" s="1201"/>
      <c r="K6" s="1201"/>
      <c r="L6" s="1201"/>
      <c r="M6" s="1201"/>
      <c r="N6" s="1201"/>
      <c r="O6" s="1201"/>
      <c r="P6" s="1201"/>
      <c r="Q6" s="1201"/>
      <c r="R6" s="1201"/>
      <c r="S6" s="1201"/>
      <c r="T6" s="1201"/>
      <c r="U6" s="1201"/>
      <c r="V6" s="1201"/>
      <c r="W6" s="1201"/>
      <c r="X6" s="1201"/>
      <c r="Y6" s="1201"/>
      <c r="Z6" s="1202"/>
      <c r="AA6" s="1202"/>
      <c r="AB6" s="1202"/>
      <c r="AC6" s="1202"/>
      <c r="AD6" s="1202"/>
      <c r="AE6" s="1202"/>
      <c r="AF6" s="1202"/>
      <c r="AG6" s="1202"/>
      <c r="AH6" s="1202"/>
      <c r="AI6" s="1202"/>
      <c r="AJ6" s="1202"/>
      <c r="AK6" s="1202"/>
      <c r="AL6" s="1202"/>
      <c r="AM6" s="1202"/>
      <c r="AN6" s="1202"/>
      <c r="AO6" s="1202"/>
      <c r="AP6" s="1202"/>
      <c r="AQ6" s="1202"/>
      <c r="AR6" s="1202"/>
      <c r="AS6" s="1745"/>
      <c r="AW6" s="1736"/>
    </row>
    <row r="7" spans="1:49" s="1204" customFormat="1" ht="15.95" customHeight="1" thickBot="1">
      <c r="A7" s="1864" t="s">
        <v>692</v>
      </c>
      <c r="B7" s="1865"/>
      <c r="C7" s="1865"/>
      <c r="D7" s="1866"/>
      <c r="E7" s="1201" t="s">
        <v>925</v>
      </c>
      <c r="F7" s="1201" t="s">
        <v>926</v>
      </c>
      <c r="G7" s="1201" t="s">
        <v>927</v>
      </c>
      <c r="H7" s="1203" t="s">
        <v>928</v>
      </c>
      <c r="I7" s="1203" t="s">
        <v>929</v>
      </c>
      <c r="J7" s="1201" t="s">
        <v>930</v>
      </c>
      <c r="K7" s="1201" t="s">
        <v>931</v>
      </c>
      <c r="L7" s="1201" t="s">
        <v>932</v>
      </c>
      <c r="M7" s="1201" t="s">
        <v>933</v>
      </c>
      <c r="N7" s="1201" t="s">
        <v>934</v>
      </c>
      <c r="O7" s="1201" t="s">
        <v>935</v>
      </c>
      <c r="P7" s="1201" t="s">
        <v>936</v>
      </c>
      <c r="Q7" s="1201" t="s">
        <v>937</v>
      </c>
      <c r="R7" s="1201" t="s">
        <v>938</v>
      </c>
      <c r="S7" s="1201" t="s">
        <v>939</v>
      </c>
      <c r="T7" s="1201" t="s">
        <v>940</v>
      </c>
      <c r="U7" s="1201" t="s">
        <v>941</v>
      </c>
      <c r="V7" s="1201" t="s">
        <v>942</v>
      </c>
      <c r="W7" s="1201" t="s">
        <v>943</v>
      </c>
      <c r="X7" s="1201" t="s">
        <v>944</v>
      </c>
      <c r="Y7" s="1201" t="s">
        <v>945</v>
      </c>
      <c r="Z7" s="1202" t="s">
        <v>946</v>
      </c>
      <c r="AA7" s="1202" t="s">
        <v>947</v>
      </c>
      <c r="AB7" s="1202" t="s">
        <v>948</v>
      </c>
      <c r="AC7" s="1202" t="s">
        <v>949</v>
      </c>
      <c r="AD7" s="1202" t="s">
        <v>950</v>
      </c>
      <c r="AE7" s="1202">
        <v>84031</v>
      </c>
      <c r="AF7" s="1202" t="s">
        <v>951</v>
      </c>
      <c r="AG7" s="1204" t="s">
        <v>952</v>
      </c>
      <c r="AH7" s="1202" t="s">
        <v>953</v>
      </c>
      <c r="AI7" s="1202" t="s">
        <v>954</v>
      </c>
      <c r="AJ7" s="1202" t="s">
        <v>955</v>
      </c>
      <c r="AK7" s="1202" t="s">
        <v>956</v>
      </c>
      <c r="AL7" s="1202">
        <v>104031</v>
      </c>
      <c r="AM7" s="1202" t="s">
        <v>957</v>
      </c>
      <c r="AN7" s="1202" t="s">
        <v>958</v>
      </c>
      <c r="AO7" s="1202" t="s">
        <v>959</v>
      </c>
      <c r="AP7" s="1202" t="s">
        <v>960</v>
      </c>
      <c r="AQ7" s="1202">
        <v>107060</v>
      </c>
      <c r="AR7" s="1202" t="s">
        <v>961</v>
      </c>
      <c r="AS7" s="1745" t="s">
        <v>962</v>
      </c>
      <c r="AT7" s="1204" t="s">
        <v>925</v>
      </c>
      <c r="AU7" s="1204" t="s">
        <v>931</v>
      </c>
      <c r="AV7" s="1204" t="s">
        <v>932</v>
      </c>
      <c r="AW7" s="1737" t="s">
        <v>949</v>
      </c>
    </row>
    <row r="8" spans="1:49" s="1098" customFormat="1" ht="12" customHeight="1" thickBot="1">
      <c r="A8" s="1099" t="s">
        <v>693</v>
      </c>
      <c r="B8" s="1100" t="s">
        <v>694</v>
      </c>
      <c r="C8" s="1101">
        <f>+C9+C10+C11+C12+C13+C14</f>
        <v>164069483</v>
      </c>
      <c r="D8" s="1102">
        <f>+D9+D10+D11+D12+D13+D14</f>
        <v>164069483</v>
      </c>
      <c r="E8" s="1205"/>
      <c r="F8" s="1205"/>
      <c r="G8" s="1205"/>
      <c r="H8" s="1205"/>
      <c r="I8" s="1205"/>
      <c r="J8" s="1205"/>
      <c r="K8" s="1205"/>
      <c r="L8" s="1205"/>
      <c r="M8" s="1205"/>
      <c r="N8" s="1205"/>
      <c r="O8" s="1205"/>
      <c r="P8" s="1205"/>
      <c r="Q8" s="1205"/>
      <c r="R8" s="1205"/>
      <c r="S8" s="1205"/>
      <c r="T8" s="1205"/>
      <c r="U8" s="1205"/>
      <c r="V8" s="1205"/>
      <c r="W8" s="1205"/>
      <c r="X8" s="1205"/>
      <c r="Y8" s="1205"/>
      <c r="Z8" s="1205"/>
      <c r="AA8" s="1205"/>
      <c r="AB8" s="1205"/>
      <c r="AC8" s="1205"/>
      <c r="AD8" s="1205"/>
      <c r="AE8" s="1205"/>
      <c r="AF8" s="1205"/>
      <c r="AG8" s="1205"/>
      <c r="AH8" s="1205"/>
      <c r="AI8" s="1205"/>
      <c r="AJ8" s="1205"/>
      <c r="AK8" s="1205"/>
      <c r="AL8" s="1205"/>
      <c r="AM8" s="1205"/>
      <c r="AN8" s="1205"/>
      <c r="AO8" s="1205"/>
      <c r="AP8" s="1205"/>
      <c r="AQ8" s="1205"/>
      <c r="AR8" s="1205"/>
      <c r="AS8" s="1740"/>
      <c r="AW8" s="1736"/>
    </row>
    <row r="9" spans="1:49" s="1107" customFormat="1" ht="12" customHeight="1">
      <c r="A9" s="1103" t="s">
        <v>695</v>
      </c>
      <c r="B9" s="1104" t="s">
        <v>696</v>
      </c>
      <c r="C9" s="1105">
        <f t="shared" ref="C9:C14" si="0">SUM(E9:AS9)</f>
        <v>60698759</v>
      </c>
      <c r="D9" s="1106">
        <f>C9+SUM(AT9:AW9)</f>
        <v>60698759</v>
      </c>
      <c r="E9" s="1199"/>
      <c r="F9" s="1199"/>
      <c r="G9" s="1199"/>
      <c r="H9" s="1199"/>
      <c r="I9" s="1199"/>
      <c r="J9" s="1199"/>
      <c r="K9" s="1199">
        <v>60698759</v>
      </c>
      <c r="L9" s="1199"/>
      <c r="M9" s="1199"/>
      <c r="N9" s="1199"/>
      <c r="O9" s="1199"/>
      <c r="P9" s="1199"/>
      <c r="Q9" s="1199"/>
      <c r="R9" s="1199"/>
      <c r="S9" s="1199"/>
      <c r="T9" s="1199"/>
      <c r="U9" s="1199"/>
      <c r="V9" s="1199"/>
      <c r="W9" s="1199"/>
      <c r="X9" s="1199"/>
      <c r="Y9" s="1199"/>
      <c r="Z9" s="1206"/>
      <c r="AA9" s="1206"/>
      <c r="AB9" s="1206"/>
      <c r="AC9" s="1206"/>
      <c r="AD9" s="1206"/>
      <c r="AE9" s="1206"/>
      <c r="AF9" s="1206"/>
      <c r="AG9" s="1206"/>
      <c r="AH9" s="1206"/>
      <c r="AI9" s="1206"/>
      <c r="AJ9" s="1206"/>
      <c r="AK9" s="1206"/>
      <c r="AL9" s="1206"/>
      <c r="AM9" s="1206"/>
      <c r="AN9" s="1206"/>
      <c r="AO9" s="1206"/>
      <c r="AP9" s="1206"/>
      <c r="AQ9" s="1206"/>
      <c r="AR9" s="1206"/>
      <c r="AS9" s="1746"/>
      <c r="AT9" s="1199"/>
      <c r="AU9" s="1199"/>
      <c r="AV9" s="1199"/>
      <c r="AW9" s="1738"/>
    </row>
    <row r="10" spans="1:49" s="1111" customFormat="1" ht="12" customHeight="1">
      <c r="A10" s="1108" t="s">
        <v>697</v>
      </c>
      <c r="B10" s="1109" t="s">
        <v>698</v>
      </c>
      <c r="C10" s="1105">
        <f t="shared" si="0"/>
        <v>59510000</v>
      </c>
      <c r="D10" s="1106">
        <f t="shared" ref="D10:D14" si="1">C10+SUM(AT10:AW10)</f>
        <v>59510000</v>
      </c>
      <c r="E10" s="1199"/>
      <c r="F10" s="1199"/>
      <c r="G10" s="1199"/>
      <c r="H10" s="1199"/>
      <c r="I10" s="1199"/>
      <c r="J10" s="1199"/>
      <c r="K10" s="1199">
        <v>59510000</v>
      </c>
      <c r="L10" s="1199"/>
      <c r="M10" s="1199"/>
      <c r="N10" s="1199"/>
      <c r="O10" s="1199"/>
      <c r="P10" s="1199"/>
      <c r="Q10" s="1199"/>
      <c r="R10" s="1199"/>
      <c r="S10" s="1199"/>
      <c r="T10" s="1199"/>
      <c r="U10" s="1199"/>
      <c r="V10" s="1199"/>
      <c r="W10" s="1199"/>
      <c r="X10" s="1199"/>
      <c r="Y10" s="1199"/>
      <c r="Z10" s="1199"/>
      <c r="AA10" s="1199"/>
      <c r="AB10" s="1199"/>
      <c r="AC10" s="1199"/>
      <c r="AD10" s="1199"/>
      <c r="AE10" s="1199"/>
      <c r="AF10" s="1199"/>
      <c r="AG10" s="1199"/>
      <c r="AH10" s="1199"/>
      <c r="AI10" s="1199"/>
      <c r="AJ10" s="1199"/>
      <c r="AK10" s="1199"/>
      <c r="AL10" s="1199"/>
      <c r="AM10" s="1199"/>
      <c r="AN10" s="1199"/>
      <c r="AO10" s="1199"/>
      <c r="AP10" s="1199"/>
      <c r="AQ10" s="1199"/>
      <c r="AR10" s="1199"/>
      <c r="AS10" s="1738"/>
      <c r="AT10" s="1199"/>
      <c r="AU10" s="1199"/>
      <c r="AV10" s="1199"/>
      <c r="AW10" s="1738"/>
    </row>
    <row r="11" spans="1:49" s="1111" customFormat="1" ht="12" customHeight="1">
      <c r="A11" s="1108" t="s">
        <v>699</v>
      </c>
      <c r="B11" s="1109" t="s">
        <v>700</v>
      </c>
      <c r="C11" s="1105">
        <f t="shared" si="0"/>
        <v>35217604</v>
      </c>
      <c r="D11" s="1106">
        <f t="shared" si="1"/>
        <v>35217604</v>
      </c>
      <c r="E11" s="1199"/>
      <c r="F11" s="1199"/>
      <c r="G11" s="1199"/>
      <c r="H11" s="1199"/>
      <c r="I11" s="1199"/>
      <c r="J11" s="1199"/>
      <c r="K11" s="1199">
        <v>35217604</v>
      </c>
      <c r="L11" s="1199"/>
      <c r="M11" s="1199"/>
      <c r="N11" s="1199"/>
      <c r="O11" s="1199"/>
      <c r="P11" s="1199"/>
      <c r="Q11" s="1199"/>
      <c r="R11" s="1199"/>
      <c r="S11" s="1199"/>
      <c r="T11" s="1199"/>
      <c r="U11" s="1199"/>
      <c r="V11" s="1199"/>
      <c r="W11" s="1199"/>
      <c r="X11" s="1199"/>
      <c r="Y11" s="1199"/>
      <c r="Z11" s="1199"/>
      <c r="AA11" s="1199"/>
      <c r="AB11" s="1199"/>
      <c r="AC11" s="1199"/>
      <c r="AD11" s="1199"/>
      <c r="AE11" s="1199"/>
      <c r="AF11" s="1199"/>
      <c r="AG11" s="1199"/>
      <c r="AH11" s="1199"/>
      <c r="AI11" s="1199"/>
      <c r="AJ11" s="1199"/>
      <c r="AK11" s="1199"/>
      <c r="AL11" s="1199"/>
      <c r="AM11" s="1199"/>
      <c r="AN11" s="1199"/>
      <c r="AO11" s="1199"/>
      <c r="AP11" s="1199"/>
      <c r="AQ11" s="1199"/>
      <c r="AR11" s="1199"/>
      <c r="AS11" s="1738"/>
      <c r="AT11" s="1199"/>
      <c r="AU11" s="1199"/>
      <c r="AV11" s="1199"/>
      <c r="AW11" s="1738"/>
    </row>
    <row r="12" spans="1:49" s="1111" customFormat="1" ht="12" customHeight="1">
      <c r="A12" s="1108" t="s">
        <v>701</v>
      </c>
      <c r="B12" s="1109" t="s">
        <v>702</v>
      </c>
      <c r="C12" s="1105">
        <f t="shared" si="0"/>
        <v>3717120</v>
      </c>
      <c r="D12" s="1106">
        <f t="shared" si="1"/>
        <v>3717120</v>
      </c>
      <c r="E12" s="1199"/>
      <c r="F12" s="1199"/>
      <c r="G12" s="1199"/>
      <c r="H12" s="1199"/>
      <c r="I12" s="1199"/>
      <c r="J12" s="1199"/>
      <c r="K12" s="1199">
        <v>3717120</v>
      </c>
      <c r="L12" s="1199"/>
      <c r="M12" s="1199"/>
      <c r="N12" s="1199"/>
      <c r="O12" s="1199"/>
      <c r="P12" s="1199"/>
      <c r="Q12" s="1199"/>
      <c r="R12" s="1199"/>
      <c r="S12" s="1199"/>
      <c r="T12" s="1199"/>
      <c r="U12" s="1199"/>
      <c r="V12" s="1199"/>
      <c r="W12" s="1199"/>
      <c r="X12" s="1199"/>
      <c r="Y12" s="1199"/>
      <c r="Z12" s="1199"/>
      <c r="AA12" s="1199"/>
      <c r="AB12" s="1199"/>
      <c r="AC12" s="1199"/>
      <c r="AD12" s="1199"/>
      <c r="AE12" s="1199"/>
      <c r="AF12" s="1199"/>
      <c r="AG12" s="1199"/>
      <c r="AH12" s="1199"/>
      <c r="AI12" s="1199"/>
      <c r="AJ12" s="1199"/>
      <c r="AK12" s="1199"/>
      <c r="AL12" s="1199"/>
      <c r="AM12" s="1199"/>
      <c r="AN12" s="1199"/>
      <c r="AO12" s="1199"/>
      <c r="AP12" s="1199"/>
      <c r="AQ12" s="1199"/>
      <c r="AR12" s="1199"/>
      <c r="AS12" s="1738"/>
      <c r="AT12" s="1199"/>
      <c r="AU12" s="1199"/>
      <c r="AV12" s="1199"/>
      <c r="AW12" s="1738"/>
    </row>
    <row r="13" spans="1:49" s="1111" customFormat="1" ht="12" customHeight="1">
      <c r="A13" s="1108" t="s">
        <v>703</v>
      </c>
      <c r="B13" s="1109" t="s">
        <v>704</v>
      </c>
      <c r="C13" s="1105">
        <f t="shared" si="0"/>
        <v>4926000</v>
      </c>
      <c r="D13" s="1106">
        <f t="shared" si="1"/>
        <v>4926000</v>
      </c>
      <c r="E13" s="1199"/>
      <c r="F13" s="1199"/>
      <c r="G13" s="1199"/>
      <c r="H13" s="1199"/>
      <c r="I13" s="1199"/>
      <c r="J13" s="1199"/>
      <c r="K13" s="1199">
        <v>4926000</v>
      </c>
      <c r="L13" s="1199"/>
      <c r="M13" s="1199"/>
      <c r="N13" s="1199"/>
      <c r="O13" s="1199"/>
      <c r="P13" s="1199"/>
      <c r="Q13" s="1199"/>
      <c r="R13" s="1199"/>
      <c r="S13" s="1199"/>
      <c r="T13" s="1199"/>
      <c r="U13" s="1199"/>
      <c r="V13" s="1199"/>
      <c r="W13" s="1199"/>
      <c r="X13" s="1199"/>
      <c r="Y13" s="1199"/>
      <c r="Z13" s="1199"/>
      <c r="AA13" s="1199"/>
      <c r="AB13" s="1199"/>
      <c r="AC13" s="1199"/>
      <c r="AD13" s="1199"/>
      <c r="AE13" s="1199"/>
      <c r="AF13" s="1199"/>
      <c r="AG13" s="1199"/>
      <c r="AH13" s="1199"/>
      <c r="AI13" s="1199"/>
      <c r="AJ13" s="1199"/>
      <c r="AK13" s="1199"/>
      <c r="AL13" s="1199"/>
      <c r="AM13" s="1199"/>
      <c r="AN13" s="1199"/>
      <c r="AO13" s="1199"/>
      <c r="AP13" s="1199"/>
      <c r="AQ13" s="1199"/>
      <c r="AR13" s="1199"/>
      <c r="AS13" s="1738"/>
      <c r="AT13" s="1199"/>
      <c r="AU13" s="1199"/>
      <c r="AV13" s="1199"/>
      <c r="AW13" s="1738"/>
    </row>
    <row r="14" spans="1:49" s="1107" customFormat="1" ht="12" customHeight="1" thickBot="1">
      <c r="A14" s="1112" t="s">
        <v>705</v>
      </c>
      <c r="B14" s="1113" t="s">
        <v>706</v>
      </c>
      <c r="C14" s="1105">
        <f t="shared" si="0"/>
        <v>0</v>
      </c>
      <c r="D14" s="1106">
        <f t="shared" si="1"/>
        <v>0</v>
      </c>
      <c r="E14" s="1199"/>
      <c r="F14" s="1199"/>
      <c r="G14" s="1199"/>
      <c r="H14" s="1199"/>
      <c r="I14" s="1199"/>
      <c r="J14" s="1199"/>
      <c r="K14" s="1199"/>
      <c r="L14" s="1199"/>
      <c r="M14" s="1199"/>
      <c r="N14" s="1199"/>
      <c r="O14" s="1199"/>
      <c r="P14" s="1199"/>
      <c r="Q14" s="1199"/>
      <c r="R14" s="1199"/>
      <c r="S14" s="1199"/>
      <c r="T14" s="1199"/>
      <c r="U14" s="1199"/>
      <c r="V14" s="1199"/>
      <c r="W14" s="1199"/>
      <c r="X14" s="1199"/>
      <c r="Y14" s="1199"/>
      <c r="Z14" s="1206"/>
      <c r="AA14" s="1206"/>
      <c r="AB14" s="1206"/>
      <c r="AC14" s="1206"/>
      <c r="AD14" s="1206"/>
      <c r="AE14" s="1206"/>
      <c r="AF14" s="1206"/>
      <c r="AG14" s="1206"/>
      <c r="AH14" s="1206"/>
      <c r="AI14" s="1206"/>
      <c r="AJ14" s="1206"/>
      <c r="AK14" s="1206"/>
      <c r="AL14" s="1206"/>
      <c r="AM14" s="1206"/>
      <c r="AN14" s="1206"/>
      <c r="AO14" s="1206"/>
      <c r="AP14" s="1206"/>
      <c r="AQ14" s="1206"/>
      <c r="AR14" s="1206"/>
      <c r="AS14" s="1746"/>
      <c r="AT14" s="1199"/>
      <c r="AU14" s="1199"/>
      <c r="AV14" s="1199"/>
      <c r="AW14" s="1738"/>
    </row>
    <row r="15" spans="1:49" s="1107" customFormat="1" ht="21.75" customHeight="1" thickBot="1">
      <c r="A15" s="1099" t="s">
        <v>707</v>
      </c>
      <c r="B15" s="1114" t="s">
        <v>708</v>
      </c>
      <c r="C15" s="1101">
        <f>+C16+C17+C18+C19+C20</f>
        <v>6235000</v>
      </c>
      <c r="D15" s="1102">
        <f>+D16+D17+D18+D19+D20</f>
        <v>11213240</v>
      </c>
      <c r="E15" s="1199"/>
      <c r="F15" s="1199"/>
      <c r="G15" s="1199"/>
      <c r="H15" s="1199"/>
      <c r="I15" s="1199"/>
      <c r="J15" s="1199"/>
      <c r="K15" s="1199"/>
      <c r="L15" s="1199"/>
      <c r="M15" s="1199"/>
      <c r="N15" s="1199"/>
      <c r="O15" s="1199"/>
      <c r="P15" s="1199"/>
      <c r="Q15" s="1199"/>
      <c r="R15" s="1199"/>
      <c r="S15" s="1199"/>
      <c r="T15" s="1199"/>
      <c r="U15" s="1199"/>
      <c r="V15" s="1199"/>
      <c r="W15" s="1199"/>
      <c r="X15" s="1199"/>
      <c r="Y15" s="1199"/>
      <c r="Z15" s="1206"/>
      <c r="AA15" s="1206"/>
      <c r="AB15" s="1206"/>
      <c r="AC15" s="1206"/>
      <c r="AD15" s="1206"/>
      <c r="AE15" s="1206"/>
      <c r="AF15" s="1206"/>
      <c r="AG15" s="1206"/>
      <c r="AH15" s="1206"/>
      <c r="AI15" s="1206"/>
      <c r="AJ15" s="1206"/>
      <c r="AK15" s="1206"/>
      <c r="AL15" s="1206"/>
      <c r="AM15" s="1206"/>
      <c r="AN15" s="1206"/>
      <c r="AO15" s="1206"/>
      <c r="AP15" s="1206"/>
      <c r="AQ15" s="1206"/>
      <c r="AR15" s="1206"/>
      <c r="AS15" s="1746"/>
      <c r="AT15" s="1199"/>
      <c r="AU15" s="1199"/>
      <c r="AV15" s="1199"/>
      <c r="AW15" s="1738"/>
    </row>
    <row r="16" spans="1:49" s="1107" customFormat="1" ht="12" customHeight="1">
      <c r="A16" s="1103" t="s">
        <v>709</v>
      </c>
      <c r="B16" s="1104" t="s">
        <v>710</v>
      </c>
      <c r="C16" s="1207">
        <f t="shared" ref="C16:C21" si="2">SUM(E16:AS16)</f>
        <v>0</v>
      </c>
      <c r="D16" s="1106">
        <f t="shared" ref="D16:D21" si="3">C16+SUM(AT16:AW16)</f>
        <v>0</v>
      </c>
      <c r="E16" s="1199"/>
      <c r="F16" s="1199"/>
      <c r="G16" s="1199"/>
      <c r="H16" s="1199"/>
      <c r="I16" s="1199"/>
      <c r="J16" s="1199"/>
      <c r="K16" s="1199"/>
      <c r="L16" s="1199"/>
      <c r="M16" s="1199"/>
      <c r="N16" s="1199"/>
      <c r="O16" s="1199"/>
      <c r="P16" s="1199"/>
      <c r="Q16" s="1199"/>
      <c r="R16" s="1199"/>
      <c r="S16" s="1199"/>
      <c r="T16" s="1199"/>
      <c r="U16" s="1199"/>
      <c r="V16" s="1199"/>
      <c r="W16" s="1199"/>
      <c r="X16" s="1199"/>
      <c r="Y16" s="1199"/>
      <c r="Z16" s="1206"/>
      <c r="AA16" s="1206"/>
      <c r="AB16" s="1206"/>
      <c r="AC16" s="1206"/>
      <c r="AD16" s="1206"/>
      <c r="AE16" s="1206"/>
      <c r="AF16" s="1206"/>
      <c r="AG16" s="1206"/>
      <c r="AH16" s="1206"/>
      <c r="AI16" s="1206"/>
      <c r="AJ16" s="1206"/>
      <c r="AK16" s="1206"/>
      <c r="AL16" s="1206"/>
      <c r="AM16" s="1206"/>
      <c r="AN16" s="1206"/>
      <c r="AO16" s="1206"/>
      <c r="AP16" s="1206"/>
      <c r="AQ16" s="1206"/>
      <c r="AR16" s="1206"/>
      <c r="AS16" s="1746"/>
      <c r="AT16" s="1199"/>
      <c r="AU16" s="1199"/>
      <c r="AV16" s="1199"/>
      <c r="AW16" s="1738"/>
    </row>
    <row r="17" spans="1:49" s="1107" customFormat="1" ht="12" customHeight="1">
      <c r="A17" s="1108" t="s">
        <v>711</v>
      </c>
      <c r="B17" s="1109" t="s">
        <v>712</v>
      </c>
      <c r="C17" s="1207">
        <f t="shared" si="2"/>
        <v>0</v>
      </c>
      <c r="D17" s="1106">
        <f t="shared" si="3"/>
        <v>0</v>
      </c>
      <c r="E17" s="1199"/>
      <c r="F17" s="1199"/>
      <c r="G17" s="1199"/>
      <c r="H17" s="1199"/>
      <c r="I17" s="1199"/>
      <c r="J17" s="1199"/>
      <c r="K17" s="1199"/>
      <c r="L17" s="1199"/>
      <c r="M17" s="1199"/>
      <c r="N17" s="1199"/>
      <c r="O17" s="1199"/>
      <c r="P17" s="1199"/>
      <c r="Q17" s="1199"/>
      <c r="R17" s="1199"/>
      <c r="S17" s="1199"/>
      <c r="T17" s="1199"/>
      <c r="U17" s="1199"/>
      <c r="V17" s="1199"/>
      <c r="W17" s="1199"/>
      <c r="X17" s="1199"/>
      <c r="Y17" s="1199"/>
      <c r="Z17" s="1206"/>
      <c r="AA17" s="1206"/>
      <c r="AB17" s="1206"/>
      <c r="AC17" s="1206"/>
      <c r="AD17" s="1206"/>
      <c r="AE17" s="1206"/>
      <c r="AF17" s="1206"/>
      <c r="AG17" s="1206"/>
      <c r="AH17" s="1206"/>
      <c r="AI17" s="1206"/>
      <c r="AJ17" s="1206"/>
      <c r="AK17" s="1206"/>
      <c r="AL17" s="1206"/>
      <c r="AM17" s="1206"/>
      <c r="AN17" s="1206"/>
      <c r="AO17" s="1206"/>
      <c r="AP17" s="1206"/>
      <c r="AQ17" s="1206"/>
      <c r="AR17" s="1206"/>
      <c r="AS17" s="1746"/>
      <c r="AT17" s="1199"/>
      <c r="AU17" s="1199"/>
      <c r="AV17" s="1199"/>
      <c r="AW17" s="1738"/>
    </row>
    <row r="18" spans="1:49" s="1107" customFormat="1" ht="12" customHeight="1">
      <c r="A18" s="1108" t="s">
        <v>713</v>
      </c>
      <c r="B18" s="1109" t="s">
        <v>714</v>
      </c>
      <c r="C18" s="1207">
        <f t="shared" si="2"/>
        <v>0</v>
      </c>
      <c r="D18" s="1106">
        <f t="shared" si="3"/>
        <v>0</v>
      </c>
      <c r="E18" s="1199"/>
      <c r="F18" s="1199"/>
      <c r="G18" s="1199"/>
      <c r="H18" s="1199"/>
      <c r="I18" s="1199"/>
      <c r="J18" s="1199"/>
      <c r="K18" s="1199"/>
      <c r="L18" s="1199"/>
      <c r="M18" s="1199"/>
      <c r="N18" s="1199"/>
      <c r="O18" s="1199"/>
      <c r="P18" s="1199"/>
      <c r="Q18" s="1199"/>
      <c r="R18" s="1199"/>
      <c r="S18" s="1199"/>
      <c r="T18" s="1199"/>
      <c r="U18" s="1199"/>
      <c r="V18" s="1199"/>
      <c r="W18" s="1199"/>
      <c r="X18" s="1199"/>
      <c r="Y18" s="1199"/>
      <c r="Z18" s="1206"/>
      <c r="AA18" s="1206"/>
      <c r="AB18" s="1206"/>
      <c r="AC18" s="1206"/>
      <c r="AD18" s="1206"/>
      <c r="AE18" s="1206"/>
      <c r="AF18" s="1206"/>
      <c r="AG18" s="1206"/>
      <c r="AH18" s="1206"/>
      <c r="AI18" s="1206"/>
      <c r="AJ18" s="1206"/>
      <c r="AK18" s="1206"/>
      <c r="AL18" s="1206"/>
      <c r="AM18" s="1206"/>
      <c r="AN18" s="1206"/>
      <c r="AO18" s="1206"/>
      <c r="AP18" s="1206"/>
      <c r="AQ18" s="1206"/>
      <c r="AR18" s="1206"/>
      <c r="AS18" s="1746"/>
      <c r="AT18" s="1199"/>
      <c r="AU18" s="1199"/>
      <c r="AV18" s="1199"/>
      <c r="AW18" s="1738"/>
    </row>
    <row r="19" spans="1:49" s="1107" customFormat="1" ht="12" customHeight="1">
      <c r="A19" s="1108" t="s">
        <v>715</v>
      </c>
      <c r="B19" s="1109" t="s">
        <v>716</v>
      </c>
      <c r="C19" s="1207">
        <f t="shared" si="2"/>
        <v>0</v>
      </c>
      <c r="D19" s="1106">
        <f t="shared" si="3"/>
        <v>0</v>
      </c>
      <c r="E19" s="1199"/>
      <c r="F19" s="1199"/>
      <c r="G19" s="1199"/>
      <c r="H19" s="1199"/>
      <c r="I19" s="1199"/>
      <c r="J19" s="1199"/>
      <c r="K19" s="1199"/>
      <c r="L19" s="1199"/>
      <c r="M19" s="1199"/>
      <c r="N19" s="1199"/>
      <c r="O19" s="1199"/>
      <c r="P19" s="1199"/>
      <c r="Q19" s="1199"/>
      <c r="R19" s="1199"/>
      <c r="S19" s="1199"/>
      <c r="T19" s="1199"/>
      <c r="U19" s="1199"/>
      <c r="V19" s="1199"/>
      <c r="W19" s="1199"/>
      <c r="X19" s="1199"/>
      <c r="Y19" s="1199"/>
      <c r="Z19" s="1206"/>
      <c r="AA19" s="1206"/>
      <c r="AB19" s="1206"/>
      <c r="AC19" s="1206"/>
      <c r="AD19" s="1206"/>
      <c r="AE19" s="1206"/>
      <c r="AF19" s="1206"/>
      <c r="AG19" s="1206"/>
      <c r="AH19" s="1206"/>
      <c r="AI19" s="1206"/>
      <c r="AJ19" s="1206"/>
      <c r="AK19" s="1206"/>
      <c r="AL19" s="1206"/>
      <c r="AM19" s="1206"/>
      <c r="AN19" s="1206"/>
      <c r="AO19" s="1206"/>
      <c r="AP19" s="1206"/>
      <c r="AQ19" s="1206"/>
      <c r="AR19" s="1206"/>
      <c r="AS19" s="1746"/>
      <c r="AT19" s="1199"/>
      <c r="AU19" s="1199"/>
      <c r="AV19" s="1199"/>
      <c r="AW19" s="1738"/>
    </row>
    <row r="20" spans="1:49" s="1107" customFormat="1" ht="12" customHeight="1">
      <c r="A20" s="1108" t="s">
        <v>717</v>
      </c>
      <c r="B20" s="1109" t="s">
        <v>718</v>
      </c>
      <c r="C20" s="1207">
        <f t="shared" si="2"/>
        <v>6235000</v>
      </c>
      <c r="D20" s="1106">
        <f t="shared" si="3"/>
        <v>11213240</v>
      </c>
      <c r="E20" s="1199">
        <v>140000</v>
      </c>
      <c r="F20" s="1199"/>
      <c r="G20" s="1199"/>
      <c r="H20" s="1199"/>
      <c r="I20" s="1199"/>
      <c r="J20" s="1199"/>
      <c r="K20" s="1199"/>
      <c r="L20" s="1199"/>
      <c r="M20" s="1199">
        <v>807000</v>
      </c>
      <c r="N20" s="1199"/>
      <c r="O20" s="1199"/>
      <c r="P20" s="1199"/>
      <c r="Q20" s="1199"/>
      <c r="R20" s="1199"/>
      <c r="S20" s="1199"/>
      <c r="T20" s="1199"/>
      <c r="U20" s="1199"/>
      <c r="V20" s="1199"/>
      <c r="W20" s="1199"/>
      <c r="X20" s="1199">
        <v>1138000</v>
      </c>
      <c r="Y20" s="1199">
        <v>4030000</v>
      </c>
      <c r="Z20" s="1206"/>
      <c r="AA20" s="1206"/>
      <c r="AB20" s="1206"/>
      <c r="AC20" s="1206"/>
      <c r="AD20" s="1206"/>
      <c r="AE20" s="1206"/>
      <c r="AF20" s="1206"/>
      <c r="AG20" s="1206"/>
      <c r="AH20" s="1206"/>
      <c r="AI20" s="1206"/>
      <c r="AJ20" s="1206"/>
      <c r="AK20" s="1206"/>
      <c r="AL20" s="1199"/>
      <c r="AM20" s="1199">
        <v>120000</v>
      </c>
      <c r="AN20" s="1206"/>
      <c r="AO20" s="1206"/>
      <c r="AP20" s="1206"/>
      <c r="AQ20" s="1206"/>
      <c r="AR20" s="1206"/>
      <c r="AS20" s="1746"/>
      <c r="AT20" s="1199"/>
      <c r="AU20" s="1199"/>
      <c r="AV20" s="1199"/>
      <c r="AW20" s="1738">
        <v>4978240</v>
      </c>
    </row>
    <row r="21" spans="1:49" s="1111" customFormat="1" ht="12" customHeight="1" thickBot="1">
      <c r="A21" s="1112" t="s">
        <v>719</v>
      </c>
      <c r="B21" s="1113" t="s">
        <v>720</v>
      </c>
      <c r="C21" s="1207">
        <f t="shared" si="2"/>
        <v>0</v>
      </c>
      <c r="D21" s="1106">
        <f t="shared" si="3"/>
        <v>0</v>
      </c>
      <c r="E21" s="1199"/>
      <c r="F21" s="1199"/>
      <c r="G21" s="1199"/>
      <c r="H21" s="1199"/>
      <c r="I21" s="1199"/>
      <c r="J21" s="1199"/>
      <c r="K21" s="1199"/>
      <c r="L21" s="1199"/>
      <c r="M21" s="1199"/>
      <c r="N21" s="1199"/>
      <c r="O21" s="1199"/>
      <c r="P21" s="1199"/>
      <c r="Q21" s="1199"/>
      <c r="R21" s="1199"/>
      <c r="S21" s="1199"/>
      <c r="T21" s="1199"/>
      <c r="U21" s="1199"/>
      <c r="V21" s="1199"/>
      <c r="W21" s="1199"/>
      <c r="X21" s="1199"/>
      <c r="Y21" s="1199"/>
      <c r="Z21" s="1199"/>
      <c r="AA21" s="1199"/>
      <c r="AB21" s="1199"/>
      <c r="AC21" s="1199"/>
      <c r="AD21" s="1199"/>
      <c r="AE21" s="1199"/>
      <c r="AF21" s="1199"/>
      <c r="AG21" s="1199"/>
      <c r="AH21" s="1199"/>
      <c r="AI21" s="1199"/>
      <c r="AJ21" s="1199"/>
      <c r="AK21" s="1199"/>
      <c r="AL21" s="1199"/>
      <c r="AM21" s="1199"/>
      <c r="AN21" s="1199"/>
      <c r="AO21" s="1199"/>
      <c r="AP21" s="1199"/>
      <c r="AQ21" s="1199"/>
      <c r="AR21" s="1199"/>
      <c r="AS21" s="1738"/>
      <c r="AT21" s="1199"/>
      <c r="AU21" s="1199"/>
      <c r="AV21" s="1199"/>
      <c r="AW21" s="1738"/>
    </row>
    <row r="22" spans="1:49" s="1111" customFormat="1" ht="23.25" customHeight="1" thickBot="1">
      <c r="A22" s="1099" t="s">
        <v>721</v>
      </c>
      <c r="B22" s="1100" t="s">
        <v>722</v>
      </c>
      <c r="C22" s="1101">
        <f>+C23+C24+C25+C26+C27</f>
        <v>0</v>
      </c>
      <c r="D22" s="1102">
        <f>+D23+D24+D25+D26+D27</f>
        <v>0</v>
      </c>
      <c r="E22" s="1199"/>
      <c r="F22" s="1199"/>
      <c r="G22" s="1199"/>
      <c r="H22" s="1199"/>
      <c r="I22" s="1199"/>
      <c r="J22" s="1199"/>
      <c r="K22" s="1199"/>
      <c r="L22" s="1199"/>
      <c r="M22" s="1199"/>
      <c r="N22" s="1199"/>
      <c r="O22" s="1199"/>
      <c r="P22" s="1199"/>
      <c r="Q22" s="1199"/>
      <c r="R22" s="1199"/>
      <c r="S22" s="1199"/>
      <c r="T22" s="1199"/>
      <c r="U22" s="1199"/>
      <c r="V22" s="1199"/>
      <c r="W22" s="1199"/>
      <c r="X22" s="1199"/>
      <c r="Y22" s="1199"/>
      <c r="Z22" s="1199"/>
      <c r="AA22" s="1199"/>
      <c r="AB22" s="1199"/>
      <c r="AC22" s="1199"/>
      <c r="AD22" s="1199"/>
      <c r="AE22" s="1199"/>
      <c r="AF22" s="1199"/>
      <c r="AG22" s="1199"/>
      <c r="AH22" s="1199"/>
      <c r="AI22" s="1199"/>
      <c r="AJ22" s="1199"/>
      <c r="AK22" s="1199"/>
      <c r="AL22" s="1199"/>
      <c r="AM22" s="1199"/>
      <c r="AN22" s="1199"/>
      <c r="AO22" s="1199"/>
      <c r="AP22" s="1199"/>
      <c r="AQ22" s="1199"/>
      <c r="AR22" s="1199"/>
      <c r="AS22" s="1738"/>
      <c r="AT22" s="1199"/>
      <c r="AU22" s="1199"/>
      <c r="AV22" s="1199"/>
      <c r="AW22" s="1738"/>
    </row>
    <row r="23" spans="1:49" s="1111" customFormat="1" ht="12" customHeight="1">
      <c r="A23" s="1103" t="s">
        <v>723</v>
      </c>
      <c r="B23" s="1104" t="s">
        <v>724</v>
      </c>
      <c r="C23" s="1207">
        <f t="shared" ref="C23:C28" si="4">SUM(E23:AS23)</f>
        <v>0</v>
      </c>
      <c r="D23" s="1106">
        <f t="shared" ref="D23:D28" si="5">C23+SUM(AT23:AW23)</f>
        <v>0</v>
      </c>
      <c r="E23" s="1199"/>
      <c r="F23" s="1199"/>
      <c r="G23" s="1199"/>
      <c r="H23" s="1199"/>
      <c r="I23" s="1199"/>
      <c r="J23" s="1199"/>
      <c r="K23" s="1199"/>
      <c r="L23" s="1199"/>
      <c r="M23" s="1199"/>
      <c r="N23" s="1199"/>
      <c r="O23" s="1199"/>
      <c r="P23" s="1199"/>
      <c r="Q23" s="1199"/>
      <c r="R23" s="1199"/>
      <c r="S23" s="1199"/>
      <c r="T23" s="1199"/>
      <c r="U23" s="1199"/>
      <c r="V23" s="1199"/>
      <c r="W23" s="1199"/>
      <c r="X23" s="1199"/>
      <c r="Y23" s="1199"/>
      <c r="Z23" s="1199"/>
      <c r="AA23" s="1199"/>
      <c r="AB23" s="1199"/>
      <c r="AC23" s="1199"/>
      <c r="AD23" s="1199"/>
      <c r="AE23" s="1199"/>
      <c r="AF23" s="1199"/>
      <c r="AG23" s="1199"/>
      <c r="AH23" s="1199"/>
      <c r="AI23" s="1199"/>
      <c r="AJ23" s="1199"/>
      <c r="AK23" s="1199"/>
      <c r="AL23" s="1199"/>
      <c r="AM23" s="1199"/>
      <c r="AN23" s="1199"/>
      <c r="AO23" s="1199"/>
      <c r="AP23" s="1199"/>
      <c r="AQ23" s="1199"/>
      <c r="AR23" s="1199"/>
      <c r="AS23" s="1738"/>
      <c r="AT23" s="1199"/>
      <c r="AU23" s="1199"/>
      <c r="AV23" s="1199"/>
      <c r="AW23" s="1738"/>
    </row>
    <row r="24" spans="1:49" s="1107" customFormat="1" ht="12" customHeight="1">
      <c r="A24" s="1108" t="s">
        <v>725</v>
      </c>
      <c r="B24" s="1109" t="s">
        <v>726</v>
      </c>
      <c r="C24" s="1207">
        <f t="shared" si="4"/>
        <v>0</v>
      </c>
      <c r="D24" s="1106">
        <f t="shared" si="5"/>
        <v>0</v>
      </c>
      <c r="E24" s="1199"/>
      <c r="F24" s="1199"/>
      <c r="G24" s="1199"/>
      <c r="H24" s="1199"/>
      <c r="I24" s="1199"/>
      <c r="J24" s="1199"/>
      <c r="K24" s="1199"/>
      <c r="L24" s="1199"/>
      <c r="M24" s="1199"/>
      <c r="N24" s="1199"/>
      <c r="O24" s="1199"/>
      <c r="P24" s="1199"/>
      <c r="Q24" s="1199"/>
      <c r="R24" s="1199"/>
      <c r="S24" s="1199"/>
      <c r="T24" s="1199"/>
      <c r="U24" s="1199"/>
      <c r="V24" s="1199"/>
      <c r="W24" s="1199"/>
      <c r="X24" s="1199"/>
      <c r="Y24" s="1199"/>
      <c r="Z24" s="1206"/>
      <c r="AA24" s="1206"/>
      <c r="AB24" s="1206"/>
      <c r="AC24" s="1206"/>
      <c r="AD24" s="1206"/>
      <c r="AE24" s="1206"/>
      <c r="AF24" s="1206"/>
      <c r="AG24" s="1206"/>
      <c r="AH24" s="1206"/>
      <c r="AI24" s="1206"/>
      <c r="AJ24" s="1206"/>
      <c r="AK24" s="1206"/>
      <c r="AL24" s="1206"/>
      <c r="AM24" s="1206"/>
      <c r="AN24" s="1206"/>
      <c r="AO24" s="1206"/>
      <c r="AP24" s="1206"/>
      <c r="AQ24" s="1206"/>
      <c r="AR24" s="1206"/>
      <c r="AS24" s="1746"/>
      <c r="AT24" s="1199"/>
      <c r="AU24" s="1199"/>
      <c r="AV24" s="1199"/>
      <c r="AW24" s="1738"/>
    </row>
    <row r="25" spans="1:49" s="1111" customFormat="1" ht="12" customHeight="1">
      <c r="A25" s="1108" t="s">
        <v>727</v>
      </c>
      <c r="B25" s="1109" t="s">
        <v>728</v>
      </c>
      <c r="C25" s="1207">
        <f t="shared" si="4"/>
        <v>0</v>
      </c>
      <c r="D25" s="1106">
        <f t="shared" si="5"/>
        <v>0</v>
      </c>
      <c r="E25" s="1199"/>
      <c r="F25" s="1199"/>
      <c r="G25" s="1199"/>
      <c r="H25" s="1199"/>
      <c r="I25" s="1199"/>
      <c r="J25" s="1199"/>
      <c r="K25" s="1199"/>
      <c r="L25" s="1199"/>
      <c r="M25" s="1199"/>
      <c r="N25" s="1199"/>
      <c r="O25" s="1199"/>
      <c r="P25" s="1199"/>
      <c r="Q25" s="1199"/>
      <c r="R25" s="1199"/>
      <c r="S25" s="1199"/>
      <c r="T25" s="1199"/>
      <c r="U25" s="1199"/>
      <c r="V25" s="1199"/>
      <c r="W25" s="1199"/>
      <c r="X25" s="1199"/>
      <c r="Y25" s="1199"/>
      <c r="Z25" s="1199"/>
      <c r="AA25" s="1199"/>
      <c r="AB25" s="1199"/>
      <c r="AC25" s="1199"/>
      <c r="AD25" s="1199"/>
      <c r="AE25" s="1199"/>
      <c r="AF25" s="1199"/>
      <c r="AG25" s="1199"/>
      <c r="AH25" s="1199"/>
      <c r="AI25" s="1199"/>
      <c r="AJ25" s="1199"/>
      <c r="AK25" s="1199"/>
      <c r="AL25" s="1199"/>
      <c r="AM25" s="1199"/>
      <c r="AN25" s="1199"/>
      <c r="AO25" s="1199"/>
      <c r="AP25" s="1199"/>
      <c r="AQ25" s="1199"/>
      <c r="AR25" s="1199"/>
      <c r="AS25" s="1738"/>
      <c r="AT25" s="1199"/>
      <c r="AU25" s="1199"/>
      <c r="AV25" s="1199"/>
      <c r="AW25" s="1738"/>
    </row>
    <row r="26" spans="1:49" s="1111" customFormat="1" ht="12" customHeight="1">
      <c r="A26" s="1108" t="s">
        <v>729</v>
      </c>
      <c r="B26" s="1109" t="s">
        <v>730</v>
      </c>
      <c r="C26" s="1207">
        <f t="shared" si="4"/>
        <v>0</v>
      </c>
      <c r="D26" s="1106">
        <f t="shared" si="5"/>
        <v>0</v>
      </c>
      <c r="E26" s="1199"/>
      <c r="F26" s="1199"/>
      <c r="G26" s="1199"/>
      <c r="H26" s="1199"/>
      <c r="I26" s="1199"/>
      <c r="J26" s="1199"/>
      <c r="K26" s="1199"/>
      <c r="L26" s="1199"/>
      <c r="M26" s="1199"/>
      <c r="N26" s="1199"/>
      <c r="O26" s="1199"/>
      <c r="P26" s="1199"/>
      <c r="Q26" s="1199"/>
      <c r="R26" s="1199"/>
      <c r="S26" s="1199"/>
      <c r="T26" s="1199"/>
      <c r="U26" s="1199"/>
      <c r="V26" s="1199"/>
      <c r="W26" s="1199"/>
      <c r="X26" s="1199"/>
      <c r="Y26" s="1199"/>
      <c r="Z26" s="1199"/>
      <c r="AA26" s="1199"/>
      <c r="AB26" s="1199"/>
      <c r="AC26" s="1199"/>
      <c r="AD26" s="1199"/>
      <c r="AE26" s="1199"/>
      <c r="AF26" s="1199"/>
      <c r="AG26" s="1199"/>
      <c r="AH26" s="1199"/>
      <c r="AI26" s="1199"/>
      <c r="AJ26" s="1199"/>
      <c r="AK26" s="1199"/>
      <c r="AL26" s="1199"/>
      <c r="AM26" s="1199"/>
      <c r="AN26" s="1199"/>
      <c r="AO26" s="1199"/>
      <c r="AP26" s="1199"/>
      <c r="AQ26" s="1199"/>
      <c r="AR26" s="1199"/>
      <c r="AS26" s="1738"/>
      <c r="AT26" s="1199"/>
      <c r="AU26" s="1199"/>
      <c r="AV26" s="1199"/>
      <c r="AW26" s="1738"/>
    </row>
    <row r="27" spans="1:49" s="1111" customFormat="1" ht="12" customHeight="1">
      <c r="A27" s="1108" t="s">
        <v>731</v>
      </c>
      <c r="B27" s="1109" t="s">
        <v>732</v>
      </c>
      <c r="C27" s="1207">
        <f t="shared" si="4"/>
        <v>0</v>
      </c>
      <c r="D27" s="1106">
        <f t="shared" si="5"/>
        <v>0</v>
      </c>
      <c r="E27" s="1199"/>
      <c r="F27" s="1199"/>
      <c r="G27" s="1199"/>
      <c r="H27" s="1199"/>
      <c r="I27" s="1199"/>
      <c r="J27" s="1199"/>
      <c r="K27" s="1199"/>
      <c r="L27" s="1199"/>
      <c r="M27" s="1199"/>
      <c r="N27" s="1199"/>
      <c r="O27" s="1199"/>
      <c r="P27" s="1199"/>
      <c r="Q27" s="1199"/>
      <c r="R27" s="1199"/>
      <c r="S27" s="1199"/>
      <c r="T27" s="1199"/>
      <c r="U27" s="1199"/>
      <c r="V27" s="1199"/>
      <c r="W27" s="1199"/>
      <c r="X27" s="1199"/>
      <c r="Y27" s="1199"/>
      <c r="Z27" s="1199"/>
      <c r="AA27" s="1199"/>
      <c r="AB27" s="1199"/>
      <c r="AC27" s="1199"/>
      <c r="AD27" s="1199"/>
      <c r="AE27" s="1199"/>
      <c r="AF27" s="1199"/>
      <c r="AG27" s="1199"/>
      <c r="AH27" s="1199"/>
      <c r="AI27" s="1199"/>
      <c r="AJ27" s="1199"/>
      <c r="AK27" s="1199"/>
      <c r="AL27" s="1199"/>
      <c r="AM27" s="1199"/>
      <c r="AN27" s="1199"/>
      <c r="AO27" s="1199"/>
      <c r="AP27" s="1199"/>
      <c r="AQ27" s="1199"/>
      <c r="AR27" s="1199"/>
      <c r="AS27" s="1738"/>
      <c r="AT27" s="1199"/>
      <c r="AU27" s="1199"/>
      <c r="AV27" s="1199"/>
      <c r="AW27" s="1738"/>
    </row>
    <row r="28" spans="1:49" s="1111" customFormat="1" ht="12" customHeight="1" thickBot="1">
      <c r="A28" s="1112" t="s">
        <v>733</v>
      </c>
      <c r="B28" s="1113" t="s">
        <v>734</v>
      </c>
      <c r="C28" s="1207">
        <f t="shared" si="4"/>
        <v>0</v>
      </c>
      <c r="D28" s="1106">
        <f t="shared" si="5"/>
        <v>0</v>
      </c>
      <c r="E28" s="1199"/>
      <c r="F28" s="1199"/>
      <c r="G28" s="1199"/>
      <c r="H28" s="1199"/>
      <c r="I28" s="1199"/>
      <c r="J28" s="1199"/>
      <c r="K28" s="1199"/>
      <c r="L28" s="1199"/>
      <c r="M28" s="1199"/>
      <c r="N28" s="1199"/>
      <c r="O28" s="1199"/>
      <c r="P28" s="1199"/>
      <c r="Q28" s="1199"/>
      <c r="R28" s="1199"/>
      <c r="S28" s="1199"/>
      <c r="T28" s="1199"/>
      <c r="U28" s="1199"/>
      <c r="V28" s="1199"/>
      <c r="W28" s="1199"/>
      <c r="X28" s="1199"/>
      <c r="Y28" s="1199"/>
      <c r="Z28" s="1199"/>
      <c r="AA28" s="1199"/>
      <c r="AB28" s="1199"/>
      <c r="AC28" s="1199"/>
      <c r="AD28" s="1199"/>
      <c r="AE28" s="1199"/>
      <c r="AF28" s="1199"/>
      <c r="AG28" s="1199"/>
      <c r="AH28" s="1199"/>
      <c r="AI28" s="1199"/>
      <c r="AJ28" s="1199"/>
      <c r="AK28" s="1199"/>
      <c r="AL28" s="1199"/>
      <c r="AM28" s="1199"/>
      <c r="AN28" s="1199"/>
      <c r="AO28" s="1199"/>
      <c r="AP28" s="1199"/>
      <c r="AQ28" s="1199"/>
      <c r="AR28" s="1199"/>
      <c r="AS28" s="1738"/>
      <c r="AT28" s="1199"/>
      <c r="AU28" s="1199"/>
      <c r="AV28" s="1199"/>
      <c r="AW28" s="1738"/>
    </row>
    <row r="29" spans="1:49" s="1111" customFormat="1" ht="12" customHeight="1" thickBot="1">
      <c r="A29" s="1099" t="s">
        <v>735</v>
      </c>
      <c r="B29" s="1100" t="s">
        <v>963</v>
      </c>
      <c r="C29" s="1118">
        <f>+C30+C36</f>
        <v>72845000</v>
      </c>
      <c r="D29" s="1119">
        <f>+D30+D36</f>
        <v>72845000</v>
      </c>
      <c r="E29" s="1199"/>
      <c r="F29" s="1199"/>
      <c r="G29" s="1199"/>
      <c r="H29" s="1199"/>
      <c r="I29" s="1199"/>
      <c r="J29" s="1199"/>
      <c r="K29" s="1199"/>
      <c r="L29" s="1199"/>
      <c r="M29" s="1199"/>
      <c r="N29" s="1199"/>
      <c r="O29" s="1199"/>
      <c r="P29" s="1199"/>
      <c r="Q29" s="1199"/>
      <c r="R29" s="1199"/>
      <c r="S29" s="1199"/>
      <c r="T29" s="1199"/>
      <c r="U29" s="1199"/>
      <c r="V29" s="1199"/>
      <c r="W29" s="1199"/>
      <c r="X29" s="1199"/>
      <c r="Y29" s="1199"/>
      <c r="Z29" s="1199"/>
      <c r="AA29" s="1199"/>
      <c r="AB29" s="1199"/>
      <c r="AC29" s="1199"/>
      <c r="AD29" s="1199"/>
      <c r="AE29" s="1199"/>
      <c r="AF29" s="1199"/>
      <c r="AG29" s="1199"/>
      <c r="AH29" s="1199"/>
      <c r="AI29" s="1199"/>
      <c r="AJ29" s="1199"/>
      <c r="AK29" s="1199"/>
      <c r="AL29" s="1199"/>
      <c r="AM29" s="1199"/>
      <c r="AN29" s="1199"/>
      <c r="AO29" s="1199"/>
      <c r="AP29" s="1199"/>
      <c r="AQ29" s="1199"/>
      <c r="AR29" s="1199"/>
      <c r="AS29" s="1738"/>
      <c r="AT29" s="1199"/>
      <c r="AU29" s="1199"/>
      <c r="AV29" s="1199"/>
      <c r="AW29" s="1738"/>
    </row>
    <row r="30" spans="1:49" s="1111" customFormat="1" ht="12" customHeight="1">
      <c r="A30" s="1103" t="s">
        <v>737</v>
      </c>
      <c r="B30" s="1104" t="s">
        <v>738</v>
      </c>
      <c r="C30" s="1120">
        <f>C32+C33+C34+C35+C31</f>
        <v>72153000</v>
      </c>
      <c r="D30" s="1106">
        <f t="shared" ref="D30:D36" si="6">C30+SUM(AT30:AW30)</f>
        <v>72153000</v>
      </c>
      <c r="E30" s="1199"/>
      <c r="F30" s="1199"/>
      <c r="G30" s="1199"/>
      <c r="H30" s="1199"/>
      <c r="I30" s="1199"/>
      <c r="J30" s="1199"/>
      <c r="K30" s="1199"/>
      <c r="L30" s="1199"/>
      <c r="M30" s="1199"/>
      <c r="N30" s="1199"/>
      <c r="O30" s="1199"/>
      <c r="P30" s="1199"/>
      <c r="Q30" s="1199"/>
      <c r="R30" s="1199"/>
      <c r="S30" s="1199"/>
      <c r="T30" s="1199"/>
      <c r="U30" s="1199"/>
      <c r="V30" s="1199"/>
      <c r="W30" s="1199"/>
      <c r="X30" s="1199"/>
      <c r="Y30" s="1199"/>
      <c r="Z30" s="1199"/>
      <c r="AA30" s="1199"/>
      <c r="AB30" s="1199"/>
      <c r="AC30" s="1199"/>
      <c r="AD30" s="1199"/>
      <c r="AE30" s="1199"/>
      <c r="AF30" s="1199"/>
      <c r="AG30" s="1199"/>
      <c r="AH30" s="1199"/>
      <c r="AI30" s="1199"/>
      <c r="AJ30" s="1199"/>
      <c r="AK30" s="1199"/>
      <c r="AL30" s="1199"/>
      <c r="AM30" s="1199"/>
      <c r="AN30" s="1199"/>
      <c r="AO30" s="1199"/>
      <c r="AP30" s="1199"/>
      <c r="AQ30" s="1199"/>
      <c r="AR30" s="1199"/>
      <c r="AS30" s="1738"/>
      <c r="AT30" s="1199"/>
      <c r="AU30" s="1199"/>
      <c r="AV30" s="1199"/>
      <c r="AW30" s="1738"/>
    </row>
    <row r="31" spans="1:49" s="1111" customFormat="1" ht="12" customHeight="1">
      <c r="A31" s="1108" t="s">
        <v>739</v>
      </c>
      <c r="B31" s="1122" t="s">
        <v>740</v>
      </c>
      <c r="C31" s="1208">
        <f t="shared" ref="C31:C36" si="7">SUM(E31:AS31)</f>
        <v>30000</v>
      </c>
      <c r="D31" s="1106">
        <f t="shared" si="6"/>
        <v>30000</v>
      </c>
      <c r="E31" s="1199"/>
      <c r="F31" s="1199"/>
      <c r="G31" s="1199"/>
      <c r="H31" s="1199"/>
      <c r="I31" s="1199"/>
      <c r="J31" s="1199"/>
      <c r="K31" s="1199"/>
      <c r="L31" s="1199"/>
      <c r="M31" s="1199"/>
      <c r="N31" s="1199"/>
      <c r="O31" s="1199"/>
      <c r="P31" s="1199"/>
      <c r="Q31" s="1199"/>
      <c r="R31" s="1199"/>
      <c r="S31" s="1199"/>
      <c r="T31" s="1199"/>
      <c r="U31" s="1199"/>
      <c r="V31" s="1199"/>
      <c r="W31" s="1199"/>
      <c r="X31" s="1199"/>
      <c r="Y31" s="1199"/>
      <c r="Z31" s="1199"/>
      <c r="AA31" s="1199"/>
      <c r="AB31" s="1199"/>
      <c r="AC31" s="1199"/>
      <c r="AD31" s="1199"/>
      <c r="AE31" s="1199"/>
      <c r="AF31" s="1199"/>
      <c r="AG31" s="1199"/>
      <c r="AH31" s="1199"/>
      <c r="AI31" s="1199"/>
      <c r="AJ31" s="1199"/>
      <c r="AK31" s="1199"/>
      <c r="AL31" s="1199"/>
      <c r="AM31" s="1199"/>
      <c r="AN31" s="1199"/>
      <c r="AO31" s="1199"/>
      <c r="AP31" s="1199"/>
      <c r="AQ31" s="1199"/>
      <c r="AR31" s="1199">
        <v>30000</v>
      </c>
      <c r="AS31" s="1738"/>
      <c r="AT31" s="1199"/>
      <c r="AU31" s="1199"/>
      <c r="AV31" s="1199"/>
      <c r="AW31" s="1738"/>
    </row>
    <row r="32" spans="1:49" s="1111" customFormat="1" ht="12" customHeight="1">
      <c r="A32" s="1108" t="s">
        <v>741</v>
      </c>
      <c r="B32" s="1109" t="s">
        <v>742</v>
      </c>
      <c r="C32" s="1208">
        <f t="shared" si="7"/>
        <v>6941000</v>
      </c>
      <c r="D32" s="1106">
        <f t="shared" si="6"/>
        <v>6941000</v>
      </c>
      <c r="E32" s="1199"/>
      <c r="F32" s="1199"/>
      <c r="G32" s="1199"/>
      <c r="H32" s="1199"/>
      <c r="I32" s="1199"/>
      <c r="J32" s="1199"/>
      <c r="K32" s="1199"/>
      <c r="L32" s="1199"/>
      <c r="M32" s="1199"/>
      <c r="N32" s="1199"/>
      <c r="O32" s="1199"/>
      <c r="P32" s="1199"/>
      <c r="Q32" s="1199"/>
      <c r="R32" s="1199"/>
      <c r="S32" s="1199"/>
      <c r="T32" s="1199"/>
      <c r="U32" s="1199"/>
      <c r="V32" s="1199"/>
      <c r="W32" s="1199"/>
      <c r="X32" s="1199"/>
      <c r="Y32" s="1199"/>
      <c r="Z32" s="1199"/>
      <c r="AA32" s="1199"/>
      <c r="AB32" s="1199"/>
      <c r="AC32" s="1199"/>
      <c r="AD32" s="1199"/>
      <c r="AE32" s="1199"/>
      <c r="AF32" s="1199"/>
      <c r="AG32" s="1199"/>
      <c r="AH32" s="1199"/>
      <c r="AI32" s="1199"/>
      <c r="AJ32" s="1199"/>
      <c r="AK32" s="1199"/>
      <c r="AL32" s="1199"/>
      <c r="AM32" s="1199"/>
      <c r="AN32" s="1199"/>
      <c r="AO32" s="1199"/>
      <c r="AP32" s="1199"/>
      <c r="AQ32" s="1199"/>
      <c r="AR32" s="1199">
        <v>6941000</v>
      </c>
      <c r="AS32" s="1738"/>
      <c r="AT32" s="1199"/>
      <c r="AU32" s="1199"/>
      <c r="AV32" s="1199"/>
      <c r="AW32" s="1738"/>
    </row>
    <row r="33" spans="1:49" s="1111" customFormat="1" ht="12" customHeight="1">
      <c r="A33" s="1108" t="s">
        <v>743</v>
      </c>
      <c r="B33" s="1122" t="s">
        <v>744</v>
      </c>
      <c r="C33" s="1208">
        <f t="shared" si="7"/>
        <v>55713000</v>
      </c>
      <c r="D33" s="1106">
        <f t="shared" si="6"/>
        <v>55713000</v>
      </c>
      <c r="E33" s="1199"/>
      <c r="F33" s="1199"/>
      <c r="G33" s="1199"/>
      <c r="H33" s="1199"/>
      <c r="I33" s="1199"/>
      <c r="J33" s="1199"/>
      <c r="K33" s="1199"/>
      <c r="L33" s="1199"/>
      <c r="M33" s="1199"/>
      <c r="N33" s="1199"/>
      <c r="O33" s="1199"/>
      <c r="P33" s="1199"/>
      <c r="Q33" s="1199"/>
      <c r="R33" s="1199"/>
      <c r="S33" s="1199"/>
      <c r="T33" s="1199"/>
      <c r="U33" s="1199"/>
      <c r="V33" s="1199"/>
      <c r="W33" s="1199"/>
      <c r="X33" s="1199"/>
      <c r="Y33" s="1199"/>
      <c r="Z33" s="1199"/>
      <c r="AA33" s="1199"/>
      <c r="AB33" s="1199"/>
      <c r="AC33" s="1199"/>
      <c r="AD33" s="1199"/>
      <c r="AE33" s="1199"/>
      <c r="AF33" s="1199"/>
      <c r="AG33" s="1199"/>
      <c r="AH33" s="1199"/>
      <c r="AI33" s="1199"/>
      <c r="AJ33" s="1199"/>
      <c r="AK33" s="1199"/>
      <c r="AL33" s="1199"/>
      <c r="AM33" s="1199"/>
      <c r="AN33" s="1199"/>
      <c r="AO33" s="1199"/>
      <c r="AP33" s="1199"/>
      <c r="AQ33" s="1199"/>
      <c r="AR33" s="1199">
        <v>55713000</v>
      </c>
      <c r="AS33" s="1738"/>
      <c r="AT33" s="1199"/>
      <c r="AU33" s="1199"/>
      <c r="AV33" s="1199"/>
      <c r="AW33" s="1738"/>
    </row>
    <row r="34" spans="1:49" s="1111" customFormat="1" ht="12" customHeight="1">
      <c r="A34" s="1108" t="s">
        <v>745</v>
      </c>
      <c r="B34" s="1122" t="s">
        <v>746</v>
      </c>
      <c r="C34" s="1208">
        <f t="shared" si="7"/>
        <v>9302000</v>
      </c>
      <c r="D34" s="1106">
        <f t="shared" si="6"/>
        <v>9302000</v>
      </c>
      <c r="E34" s="1199"/>
      <c r="F34" s="1199"/>
      <c r="G34" s="1199"/>
      <c r="H34" s="1199"/>
      <c r="I34" s="1199"/>
      <c r="J34" s="1199"/>
      <c r="K34" s="1199"/>
      <c r="L34" s="1199"/>
      <c r="M34" s="1199"/>
      <c r="N34" s="1199"/>
      <c r="O34" s="1199"/>
      <c r="P34" s="1199"/>
      <c r="Q34" s="1199"/>
      <c r="R34" s="1199"/>
      <c r="S34" s="1199"/>
      <c r="T34" s="1199"/>
      <c r="U34" s="1199"/>
      <c r="V34" s="1199"/>
      <c r="W34" s="1199"/>
      <c r="X34" s="1199"/>
      <c r="Y34" s="1199"/>
      <c r="Z34" s="1199"/>
      <c r="AA34" s="1199"/>
      <c r="AB34" s="1199"/>
      <c r="AC34" s="1199"/>
      <c r="AD34" s="1199"/>
      <c r="AE34" s="1199"/>
      <c r="AF34" s="1199"/>
      <c r="AG34" s="1199"/>
      <c r="AH34" s="1199"/>
      <c r="AI34" s="1199"/>
      <c r="AJ34" s="1199"/>
      <c r="AK34" s="1199"/>
      <c r="AL34" s="1199"/>
      <c r="AM34" s="1199"/>
      <c r="AN34" s="1199"/>
      <c r="AO34" s="1199"/>
      <c r="AP34" s="1199"/>
      <c r="AQ34" s="1199"/>
      <c r="AR34" s="1199">
        <v>9302000</v>
      </c>
      <c r="AS34" s="1738"/>
      <c r="AT34" s="1199"/>
      <c r="AU34" s="1199"/>
      <c r="AV34" s="1199"/>
      <c r="AW34" s="1738"/>
    </row>
    <row r="35" spans="1:49" s="1111" customFormat="1" ht="12" customHeight="1">
      <c r="A35" s="1108" t="s">
        <v>747</v>
      </c>
      <c r="B35" s="1122" t="s">
        <v>748</v>
      </c>
      <c r="C35" s="1208">
        <f t="shared" si="7"/>
        <v>167000</v>
      </c>
      <c r="D35" s="1106">
        <f t="shared" si="6"/>
        <v>167000</v>
      </c>
      <c r="E35" s="1199"/>
      <c r="F35" s="1199"/>
      <c r="G35" s="1199"/>
      <c r="H35" s="1199"/>
      <c r="I35" s="1199"/>
      <c r="J35" s="1199"/>
      <c r="K35" s="1199"/>
      <c r="L35" s="1199"/>
      <c r="M35" s="1199"/>
      <c r="N35" s="1199"/>
      <c r="O35" s="1199"/>
      <c r="P35" s="1199"/>
      <c r="Q35" s="1199"/>
      <c r="R35" s="1199"/>
      <c r="S35" s="1199"/>
      <c r="T35" s="1199"/>
      <c r="U35" s="1199"/>
      <c r="V35" s="1199"/>
      <c r="W35" s="1199"/>
      <c r="X35" s="1199"/>
      <c r="Y35" s="1199"/>
      <c r="Z35" s="1199"/>
      <c r="AA35" s="1199"/>
      <c r="AB35" s="1199"/>
      <c r="AC35" s="1199"/>
      <c r="AD35" s="1199"/>
      <c r="AE35" s="1199"/>
      <c r="AF35" s="1199"/>
      <c r="AG35" s="1199"/>
      <c r="AH35" s="1199"/>
      <c r="AI35" s="1199"/>
      <c r="AJ35" s="1199"/>
      <c r="AK35" s="1199"/>
      <c r="AL35" s="1199"/>
      <c r="AM35" s="1199"/>
      <c r="AN35" s="1199"/>
      <c r="AO35" s="1199"/>
      <c r="AP35" s="1199"/>
      <c r="AQ35" s="1199"/>
      <c r="AR35" s="1199">
        <v>167000</v>
      </c>
      <c r="AS35" s="1738"/>
      <c r="AT35" s="1199"/>
      <c r="AU35" s="1199"/>
      <c r="AV35" s="1199"/>
      <c r="AW35" s="1738"/>
    </row>
    <row r="36" spans="1:49" s="1111" customFormat="1" ht="12" customHeight="1" thickBot="1">
      <c r="A36" s="1112" t="s">
        <v>749</v>
      </c>
      <c r="B36" s="1113" t="s">
        <v>280</v>
      </c>
      <c r="C36" s="1208">
        <f t="shared" si="7"/>
        <v>692000</v>
      </c>
      <c r="D36" s="1106">
        <f t="shared" si="6"/>
        <v>692000</v>
      </c>
      <c r="E36" s="1199"/>
      <c r="F36" s="1199"/>
      <c r="G36" s="1199"/>
      <c r="H36" s="1199"/>
      <c r="I36" s="1199"/>
      <c r="J36" s="1199"/>
      <c r="K36" s="1199"/>
      <c r="L36" s="1199"/>
      <c r="M36" s="1199"/>
      <c r="N36" s="1199"/>
      <c r="O36" s="1199"/>
      <c r="P36" s="1199"/>
      <c r="Q36" s="1199"/>
      <c r="R36" s="1199"/>
      <c r="S36" s="1199"/>
      <c r="T36" s="1199"/>
      <c r="U36" s="1199"/>
      <c r="V36" s="1199"/>
      <c r="W36" s="1199"/>
      <c r="X36" s="1199"/>
      <c r="Y36" s="1199"/>
      <c r="Z36" s="1199"/>
      <c r="AA36" s="1199"/>
      <c r="AB36" s="1199"/>
      <c r="AC36" s="1199"/>
      <c r="AD36" s="1199"/>
      <c r="AE36" s="1199"/>
      <c r="AF36" s="1199"/>
      <c r="AG36" s="1199"/>
      <c r="AH36" s="1199"/>
      <c r="AI36" s="1199"/>
      <c r="AJ36" s="1199"/>
      <c r="AK36" s="1199"/>
      <c r="AL36" s="1199"/>
      <c r="AM36" s="1199"/>
      <c r="AN36" s="1199"/>
      <c r="AO36" s="1199"/>
      <c r="AP36" s="1199"/>
      <c r="AQ36" s="1199"/>
      <c r="AR36" s="1199">
        <v>692000</v>
      </c>
      <c r="AS36" s="1738"/>
      <c r="AT36" s="1199"/>
      <c r="AU36" s="1199"/>
      <c r="AV36" s="1199"/>
      <c r="AW36" s="1738"/>
    </row>
    <row r="37" spans="1:49" s="1111" customFormat="1" ht="12" customHeight="1" thickBot="1">
      <c r="A37" s="1099" t="s">
        <v>750</v>
      </c>
      <c r="B37" s="1100" t="s">
        <v>751</v>
      </c>
      <c r="C37" s="1101">
        <f>SUM(C38:C47)</f>
        <v>68814000</v>
      </c>
      <c r="D37" s="1102">
        <f>SUM(D38:D47)</f>
        <v>68814000</v>
      </c>
      <c r="E37" s="1199"/>
      <c r="F37" s="1199"/>
      <c r="G37" s="1199"/>
      <c r="H37" s="1199"/>
      <c r="I37" s="1199"/>
      <c r="J37" s="1199"/>
      <c r="K37" s="1199"/>
      <c r="L37" s="1199"/>
      <c r="M37" s="1199"/>
      <c r="N37" s="1199"/>
      <c r="O37" s="1199"/>
      <c r="P37" s="1199"/>
      <c r="Q37" s="1199"/>
      <c r="R37" s="1199"/>
      <c r="S37" s="1199"/>
      <c r="T37" s="1199"/>
      <c r="U37" s="1199"/>
      <c r="V37" s="1199"/>
      <c r="W37" s="1199"/>
      <c r="X37" s="1199"/>
      <c r="Y37" s="1199"/>
      <c r="Z37" s="1199"/>
      <c r="AA37" s="1199"/>
      <c r="AB37" s="1199"/>
      <c r="AC37" s="1199"/>
      <c r="AD37" s="1199"/>
      <c r="AE37" s="1199"/>
      <c r="AF37" s="1199"/>
      <c r="AG37" s="1199"/>
      <c r="AH37" s="1199"/>
      <c r="AI37" s="1199"/>
      <c r="AJ37" s="1199"/>
      <c r="AK37" s="1199"/>
      <c r="AL37" s="1199"/>
      <c r="AM37" s="1199"/>
      <c r="AN37" s="1199"/>
      <c r="AO37" s="1199"/>
      <c r="AP37" s="1199"/>
      <c r="AQ37" s="1199"/>
      <c r="AR37" s="1199"/>
      <c r="AS37" s="1738"/>
      <c r="AT37" s="1199"/>
      <c r="AU37" s="1199"/>
      <c r="AV37" s="1199"/>
      <c r="AW37" s="1738"/>
    </row>
    <row r="38" spans="1:49" s="1111" customFormat="1" ht="12" customHeight="1">
      <c r="A38" s="1103" t="s">
        <v>752</v>
      </c>
      <c r="B38" s="1104" t="s">
        <v>753</v>
      </c>
      <c r="C38" s="1209">
        <f>SUM(E38:AS38)</f>
        <v>1700000</v>
      </c>
      <c r="D38" s="1106">
        <f t="shared" ref="D38:D47" si="8">C38+SUM(AT38:AW38)</f>
        <v>1700000</v>
      </c>
      <c r="E38" s="1199"/>
      <c r="F38" s="1199"/>
      <c r="G38" s="1199">
        <v>1700000</v>
      </c>
      <c r="H38" s="1199"/>
      <c r="I38" s="1199"/>
      <c r="J38" s="1199"/>
      <c r="K38" s="1199"/>
      <c r="L38" s="1199"/>
      <c r="M38" s="1199"/>
      <c r="N38" s="1199"/>
      <c r="O38" s="1199"/>
      <c r="P38" s="1199"/>
      <c r="Q38" s="1199"/>
      <c r="R38" s="1199"/>
      <c r="S38" s="1199"/>
      <c r="T38" s="1199"/>
      <c r="U38" s="1199"/>
      <c r="V38" s="1199"/>
      <c r="W38" s="1199"/>
      <c r="X38" s="1199"/>
      <c r="Y38" s="1199"/>
      <c r="Z38" s="1199"/>
      <c r="AA38" s="1199"/>
      <c r="AB38" s="1199"/>
      <c r="AC38" s="1199"/>
      <c r="AD38" s="1199"/>
      <c r="AE38" s="1199"/>
      <c r="AF38" s="1199"/>
      <c r="AG38" s="1199"/>
      <c r="AH38" s="1199"/>
      <c r="AI38" s="1199"/>
      <c r="AJ38" s="1199"/>
      <c r="AK38" s="1199"/>
      <c r="AL38" s="1199"/>
      <c r="AM38" s="1199"/>
      <c r="AN38" s="1199"/>
      <c r="AO38" s="1199"/>
      <c r="AP38" s="1199"/>
      <c r="AQ38" s="1199"/>
      <c r="AR38" s="1199"/>
      <c r="AS38" s="1738"/>
      <c r="AT38" s="1199"/>
      <c r="AU38" s="1199"/>
      <c r="AV38" s="1199"/>
      <c r="AW38" s="1738"/>
    </row>
    <row r="39" spans="1:49" s="1111" customFormat="1" ht="12" customHeight="1">
      <c r="A39" s="1108" t="s">
        <v>754</v>
      </c>
      <c r="B39" s="1109" t="s">
        <v>755</v>
      </c>
      <c r="C39" s="1209">
        <f t="shared" ref="C39:C47" si="9">SUM(E39:AS39)</f>
        <v>2676000</v>
      </c>
      <c r="D39" s="1106">
        <f t="shared" si="8"/>
        <v>2676000</v>
      </c>
      <c r="E39" s="1199"/>
      <c r="F39" s="1199">
        <v>423000</v>
      </c>
      <c r="G39" s="1199">
        <v>2065000</v>
      </c>
      <c r="H39" s="1199"/>
      <c r="I39" s="1199"/>
      <c r="J39" s="1199"/>
      <c r="K39" s="1199"/>
      <c r="L39" s="1199"/>
      <c r="M39" s="1199"/>
      <c r="N39" s="1199"/>
      <c r="O39" s="1199"/>
      <c r="P39" s="1199"/>
      <c r="Q39" s="1199"/>
      <c r="R39" s="1199"/>
      <c r="S39" s="1199">
        <v>188000</v>
      </c>
      <c r="T39" s="1199"/>
      <c r="U39" s="1199"/>
      <c r="V39" s="1199"/>
      <c r="W39" s="1199"/>
      <c r="X39" s="1199"/>
      <c r="Y39" s="1199"/>
      <c r="Z39" s="1199"/>
      <c r="AA39" s="1199"/>
      <c r="AB39" s="1199"/>
      <c r="AC39" s="1199"/>
      <c r="AD39" s="1199"/>
      <c r="AE39" s="1199"/>
      <c r="AF39" s="1199"/>
      <c r="AG39" s="1199"/>
      <c r="AH39" s="1199"/>
      <c r="AI39" s="1199"/>
      <c r="AJ39" s="1199"/>
      <c r="AK39" s="1199"/>
      <c r="AL39" s="1199"/>
      <c r="AM39" s="1199"/>
      <c r="AN39" s="1199"/>
      <c r="AO39" s="1199"/>
      <c r="AP39" s="1199"/>
      <c r="AQ39" s="1199"/>
      <c r="AR39" s="1199"/>
      <c r="AS39" s="1738"/>
      <c r="AT39" s="1199"/>
      <c r="AU39" s="1199"/>
      <c r="AV39" s="1199"/>
      <c r="AW39" s="1738"/>
    </row>
    <row r="40" spans="1:49" s="1111" customFormat="1" ht="12" customHeight="1">
      <c r="A40" s="1108" t="s">
        <v>756</v>
      </c>
      <c r="B40" s="1109" t="s">
        <v>757</v>
      </c>
      <c r="C40" s="1209">
        <f t="shared" si="9"/>
        <v>440000</v>
      </c>
      <c r="D40" s="1106">
        <f t="shared" si="8"/>
        <v>440000</v>
      </c>
      <c r="E40" s="1199">
        <v>240000</v>
      </c>
      <c r="F40" s="1199"/>
      <c r="G40" s="1199">
        <v>200000</v>
      </c>
      <c r="H40" s="1199"/>
      <c r="I40" s="1199"/>
      <c r="J40" s="1199"/>
      <c r="K40" s="1199"/>
      <c r="L40" s="1199"/>
      <c r="M40" s="1199"/>
      <c r="N40" s="1199"/>
      <c r="O40" s="1199"/>
      <c r="P40" s="1199"/>
      <c r="Q40" s="1199"/>
      <c r="R40" s="1199"/>
      <c r="S40" s="1199"/>
      <c r="T40" s="1199"/>
      <c r="U40" s="1199"/>
      <c r="V40" s="1199"/>
      <c r="W40" s="1199"/>
      <c r="X40" s="1199"/>
      <c r="Y40" s="1199"/>
      <c r="Z40" s="1199"/>
      <c r="AA40" s="1199"/>
      <c r="AB40" s="1199"/>
      <c r="AC40" s="1199"/>
      <c r="AD40" s="1199"/>
      <c r="AE40" s="1199"/>
      <c r="AF40" s="1199"/>
      <c r="AG40" s="1199"/>
      <c r="AH40" s="1199"/>
      <c r="AI40" s="1199"/>
      <c r="AJ40" s="1199"/>
      <c r="AK40" s="1199"/>
      <c r="AL40" s="1199"/>
      <c r="AM40" s="1199"/>
      <c r="AN40" s="1199"/>
      <c r="AO40" s="1199"/>
      <c r="AP40" s="1199"/>
      <c r="AQ40" s="1199"/>
      <c r="AR40" s="1199"/>
      <c r="AS40" s="1738"/>
      <c r="AT40" s="1199"/>
      <c r="AU40" s="1199"/>
      <c r="AV40" s="1199"/>
      <c r="AW40" s="1738"/>
    </row>
    <row r="41" spans="1:49" s="1111" customFormat="1" ht="12" customHeight="1">
      <c r="A41" s="1108" t="s">
        <v>758</v>
      </c>
      <c r="B41" s="1109" t="s">
        <v>759</v>
      </c>
      <c r="C41" s="1209">
        <f t="shared" si="9"/>
        <v>0</v>
      </c>
      <c r="D41" s="1106">
        <f t="shared" si="8"/>
        <v>0</v>
      </c>
      <c r="E41" s="1199"/>
      <c r="F41" s="1199"/>
      <c r="G41" s="1199"/>
      <c r="H41" s="1199"/>
      <c r="I41" s="1199"/>
      <c r="J41" s="1199"/>
      <c r="K41" s="1199"/>
      <c r="L41" s="1199"/>
      <c r="M41" s="1199"/>
      <c r="N41" s="1199"/>
      <c r="O41" s="1199"/>
      <c r="P41" s="1199"/>
      <c r="Q41" s="1199"/>
      <c r="R41" s="1199"/>
      <c r="S41" s="1199"/>
      <c r="T41" s="1199"/>
      <c r="U41" s="1199"/>
      <c r="V41" s="1199"/>
      <c r="W41" s="1199"/>
      <c r="X41" s="1199"/>
      <c r="Y41" s="1199"/>
      <c r="Z41" s="1199"/>
      <c r="AA41" s="1199"/>
      <c r="AB41" s="1199"/>
      <c r="AC41" s="1199"/>
      <c r="AD41" s="1199"/>
      <c r="AE41" s="1199"/>
      <c r="AF41" s="1199"/>
      <c r="AG41" s="1199"/>
      <c r="AH41" s="1199"/>
      <c r="AI41" s="1199"/>
      <c r="AJ41" s="1199"/>
      <c r="AK41" s="1199"/>
      <c r="AL41" s="1199"/>
      <c r="AM41" s="1199"/>
      <c r="AN41" s="1199"/>
      <c r="AO41" s="1199"/>
      <c r="AP41" s="1199"/>
      <c r="AQ41" s="1199"/>
      <c r="AR41" s="1199"/>
      <c r="AS41" s="1738"/>
      <c r="AT41" s="1199"/>
      <c r="AU41" s="1199"/>
      <c r="AV41" s="1199"/>
      <c r="AW41" s="1738"/>
    </row>
    <row r="42" spans="1:49" s="1111" customFormat="1" ht="12" customHeight="1">
      <c r="A42" s="1108" t="s">
        <v>760</v>
      </c>
      <c r="B42" s="1109" t="s">
        <v>761</v>
      </c>
      <c r="C42" s="1209">
        <f t="shared" si="9"/>
        <v>0</v>
      </c>
      <c r="D42" s="1106">
        <f t="shared" si="8"/>
        <v>0</v>
      </c>
      <c r="E42" s="1199"/>
      <c r="F42" s="1199"/>
      <c r="G42" s="1199"/>
      <c r="H42" s="1199"/>
      <c r="I42" s="1199"/>
      <c r="J42" s="1199"/>
      <c r="K42" s="1199"/>
      <c r="L42" s="1199"/>
      <c r="M42" s="1199"/>
      <c r="N42" s="1199"/>
      <c r="O42" s="1199"/>
      <c r="P42" s="1199"/>
      <c r="Q42" s="1199"/>
      <c r="R42" s="1199"/>
      <c r="S42" s="1199"/>
      <c r="T42" s="1199"/>
      <c r="U42" s="1199"/>
      <c r="V42" s="1199"/>
      <c r="W42" s="1199"/>
      <c r="X42" s="1199"/>
      <c r="Y42" s="1199"/>
      <c r="Z42" s="1199"/>
      <c r="AA42" s="1199"/>
      <c r="AB42" s="1199"/>
      <c r="AC42" s="1199"/>
      <c r="AD42" s="1199"/>
      <c r="AE42" s="1199"/>
      <c r="AF42" s="1199"/>
      <c r="AG42" s="1199"/>
      <c r="AH42" s="1199"/>
      <c r="AI42" s="1199"/>
      <c r="AJ42" s="1199"/>
      <c r="AK42" s="1199"/>
      <c r="AL42" s="1199"/>
      <c r="AM42" s="1199"/>
      <c r="AN42" s="1199"/>
      <c r="AO42" s="1199"/>
      <c r="AP42" s="1199"/>
      <c r="AQ42" s="1199"/>
      <c r="AR42" s="1199"/>
      <c r="AS42" s="1738"/>
      <c r="AT42" s="1199"/>
      <c r="AU42" s="1199"/>
      <c r="AV42" s="1199"/>
      <c r="AW42" s="1738"/>
    </row>
    <row r="43" spans="1:49" s="1111" customFormat="1" ht="12" customHeight="1">
      <c r="A43" s="1108" t="s">
        <v>762</v>
      </c>
      <c r="B43" s="1109" t="s">
        <v>763</v>
      </c>
      <c r="C43" s="1209">
        <f t="shared" si="9"/>
        <v>843000</v>
      </c>
      <c r="D43" s="1106">
        <f t="shared" si="8"/>
        <v>843000</v>
      </c>
      <c r="E43" s="1199">
        <v>65000</v>
      </c>
      <c r="F43" s="1199">
        <v>115000</v>
      </c>
      <c r="G43" s="1199">
        <v>612000</v>
      </c>
      <c r="H43" s="1199"/>
      <c r="I43" s="1199"/>
      <c r="J43" s="1199"/>
      <c r="K43" s="1199"/>
      <c r="L43" s="1199"/>
      <c r="M43" s="1199"/>
      <c r="N43" s="1199"/>
      <c r="O43" s="1199"/>
      <c r="P43" s="1199"/>
      <c r="Q43" s="1199"/>
      <c r="R43" s="1199"/>
      <c r="S43" s="1199">
        <v>51000</v>
      </c>
      <c r="T43" s="1199"/>
      <c r="U43" s="1199"/>
      <c r="V43" s="1199"/>
      <c r="W43" s="1199"/>
      <c r="X43" s="1199"/>
      <c r="Y43" s="1199"/>
      <c r="Z43" s="1199"/>
      <c r="AA43" s="1199"/>
      <c r="AB43" s="1199"/>
      <c r="AC43" s="1199"/>
      <c r="AD43" s="1199"/>
      <c r="AE43" s="1199"/>
      <c r="AF43" s="1199"/>
      <c r="AG43" s="1199"/>
      <c r="AH43" s="1199"/>
      <c r="AI43" s="1199"/>
      <c r="AJ43" s="1199"/>
      <c r="AK43" s="1199"/>
      <c r="AL43" s="1199"/>
      <c r="AM43" s="1199"/>
      <c r="AN43" s="1199"/>
      <c r="AO43" s="1199"/>
      <c r="AP43" s="1199"/>
      <c r="AQ43" s="1199"/>
      <c r="AR43" s="1199"/>
      <c r="AS43" s="1738"/>
      <c r="AT43" s="1199"/>
      <c r="AU43" s="1199"/>
      <c r="AV43" s="1199"/>
      <c r="AW43" s="1738"/>
    </row>
    <row r="44" spans="1:49" s="1111" customFormat="1" ht="12" customHeight="1">
      <c r="A44" s="1108" t="s">
        <v>764</v>
      </c>
      <c r="B44" s="1109" t="s">
        <v>765</v>
      </c>
      <c r="C44" s="1209">
        <f t="shared" si="9"/>
        <v>0</v>
      </c>
      <c r="D44" s="1106">
        <f t="shared" si="8"/>
        <v>0</v>
      </c>
      <c r="E44" s="1199"/>
      <c r="F44" s="1199"/>
      <c r="G44" s="1199"/>
      <c r="H44" s="1199"/>
      <c r="I44" s="1199"/>
      <c r="J44" s="1199"/>
      <c r="K44" s="1199"/>
      <c r="L44" s="1199"/>
      <c r="M44" s="1199"/>
      <c r="N44" s="1199"/>
      <c r="O44" s="1199"/>
      <c r="P44" s="1199"/>
      <c r="Q44" s="1199"/>
      <c r="R44" s="1199"/>
      <c r="S44" s="1199"/>
      <c r="T44" s="1199"/>
      <c r="U44" s="1199"/>
      <c r="V44" s="1199"/>
      <c r="W44" s="1199"/>
      <c r="X44" s="1199"/>
      <c r="Y44" s="1199"/>
      <c r="Z44" s="1199"/>
      <c r="AA44" s="1199"/>
      <c r="AB44" s="1199"/>
      <c r="AC44" s="1199"/>
      <c r="AD44" s="1199"/>
      <c r="AE44" s="1199"/>
      <c r="AF44" s="1199"/>
      <c r="AG44" s="1199"/>
      <c r="AH44" s="1199"/>
      <c r="AI44" s="1199"/>
      <c r="AJ44" s="1199"/>
      <c r="AK44" s="1199"/>
      <c r="AL44" s="1199"/>
      <c r="AM44" s="1199"/>
      <c r="AN44" s="1199"/>
      <c r="AO44" s="1199"/>
      <c r="AP44" s="1199"/>
      <c r="AQ44" s="1199"/>
      <c r="AR44" s="1199"/>
      <c r="AS44" s="1738"/>
      <c r="AT44" s="1199"/>
      <c r="AU44" s="1199"/>
      <c r="AV44" s="1199"/>
      <c r="AW44" s="1738"/>
    </row>
    <row r="45" spans="1:49" s="1111" customFormat="1" ht="12" customHeight="1">
      <c r="A45" s="1108" t="s">
        <v>766</v>
      </c>
      <c r="B45" s="1109" t="s">
        <v>767</v>
      </c>
      <c r="C45" s="1209">
        <f t="shared" si="9"/>
        <v>5000</v>
      </c>
      <c r="D45" s="1106">
        <f t="shared" si="8"/>
        <v>5000</v>
      </c>
      <c r="E45" s="1199">
        <v>5000</v>
      </c>
      <c r="F45" s="1199"/>
      <c r="G45" s="1199"/>
      <c r="H45" s="1199"/>
      <c r="I45" s="1199"/>
      <c r="J45" s="1199"/>
      <c r="K45" s="1199"/>
      <c r="L45" s="1199"/>
      <c r="M45" s="1199"/>
      <c r="N45" s="1199"/>
      <c r="O45" s="1199"/>
      <c r="P45" s="1199"/>
      <c r="Q45" s="1199"/>
      <c r="R45" s="1199"/>
      <c r="S45" s="1199"/>
      <c r="T45" s="1199"/>
      <c r="U45" s="1199"/>
      <c r="V45" s="1199"/>
      <c r="W45" s="1199"/>
      <c r="X45" s="1199"/>
      <c r="Y45" s="1199"/>
      <c r="Z45" s="1199"/>
      <c r="AA45" s="1199"/>
      <c r="AB45" s="1199"/>
      <c r="AC45" s="1199"/>
      <c r="AD45" s="1199"/>
      <c r="AE45" s="1199"/>
      <c r="AF45" s="1199"/>
      <c r="AG45" s="1199"/>
      <c r="AH45" s="1199"/>
      <c r="AI45" s="1199"/>
      <c r="AJ45" s="1199"/>
      <c r="AK45" s="1199"/>
      <c r="AL45" s="1199"/>
      <c r="AM45" s="1199"/>
      <c r="AN45" s="1199"/>
      <c r="AO45" s="1199"/>
      <c r="AP45" s="1199"/>
      <c r="AQ45" s="1199"/>
      <c r="AR45" s="1199"/>
      <c r="AS45" s="1738"/>
      <c r="AT45" s="1199"/>
      <c r="AU45" s="1199"/>
      <c r="AV45" s="1199"/>
      <c r="AW45" s="1738"/>
    </row>
    <row r="46" spans="1:49" s="1111" customFormat="1" ht="12" customHeight="1">
      <c r="A46" s="1108" t="s">
        <v>768</v>
      </c>
      <c r="B46" s="1109" t="s">
        <v>769</v>
      </c>
      <c r="C46" s="1209">
        <f t="shared" si="9"/>
        <v>0</v>
      </c>
      <c r="D46" s="1106">
        <f t="shared" si="8"/>
        <v>0</v>
      </c>
      <c r="E46" s="1199"/>
      <c r="F46" s="1199"/>
      <c r="G46" s="1199"/>
      <c r="H46" s="1199"/>
      <c r="I46" s="1199"/>
      <c r="J46" s="1199"/>
      <c r="K46" s="1199"/>
      <c r="L46" s="1199"/>
      <c r="M46" s="1199"/>
      <c r="N46" s="1199"/>
      <c r="O46" s="1199"/>
      <c r="P46" s="1199"/>
      <c r="Q46" s="1199"/>
      <c r="R46" s="1199"/>
      <c r="S46" s="1199"/>
      <c r="T46" s="1199"/>
      <c r="U46" s="1199"/>
      <c r="V46" s="1199"/>
      <c r="W46" s="1199"/>
      <c r="X46" s="1199"/>
      <c r="Y46" s="1199"/>
      <c r="Z46" s="1199"/>
      <c r="AA46" s="1199"/>
      <c r="AB46" s="1199"/>
      <c r="AC46" s="1199"/>
      <c r="AD46" s="1199"/>
      <c r="AE46" s="1199"/>
      <c r="AF46" s="1199"/>
      <c r="AG46" s="1199"/>
      <c r="AH46" s="1199"/>
      <c r="AI46" s="1199"/>
      <c r="AJ46" s="1199"/>
      <c r="AK46" s="1199"/>
      <c r="AL46" s="1199"/>
      <c r="AM46" s="1199"/>
      <c r="AN46" s="1199"/>
      <c r="AO46" s="1199"/>
      <c r="AP46" s="1199"/>
      <c r="AQ46" s="1199"/>
      <c r="AR46" s="1199"/>
      <c r="AS46" s="1738"/>
      <c r="AT46" s="1199"/>
      <c r="AU46" s="1199"/>
      <c r="AV46" s="1199"/>
      <c r="AW46" s="1738"/>
    </row>
    <row r="47" spans="1:49" s="1111" customFormat="1" ht="12" customHeight="1" thickBot="1">
      <c r="A47" s="1112" t="s">
        <v>770</v>
      </c>
      <c r="B47" s="1113" t="s">
        <v>771</v>
      </c>
      <c r="C47" s="1209">
        <f t="shared" si="9"/>
        <v>63150000</v>
      </c>
      <c r="D47" s="1106">
        <f t="shared" si="8"/>
        <v>63150000</v>
      </c>
      <c r="E47" s="1199">
        <v>63150000</v>
      </c>
      <c r="F47" s="1199"/>
      <c r="G47" s="1199"/>
      <c r="H47" s="1199"/>
      <c r="I47" s="1199"/>
      <c r="J47" s="1199"/>
      <c r="K47" s="1199"/>
      <c r="L47" s="1199"/>
      <c r="M47" s="1199"/>
      <c r="N47" s="1199"/>
      <c r="O47" s="1199"/>
      <c r="P47" s="1199"/>
      <c r="Q47" s="1199"/>
      <c r="R47" s="1199"/>
      <c r="S47" s="1199"/>
      <c r="T47" s="1199"/>
      <c r="U47" s="1199"/>
      <c r="V47" s="1199"/>
      <c r="W47" s="1199"/>
      <c r="X47" s="1199"/>
      <c r="Y47" s="1199"/>
      <c r="Z47" s="1199"/>
      <c r="AA47" s="1199"/>
      <c r="AB47" s="1199"/>
      <c r="AC47" s="1199"/>
      <c r="AD47" s="1199"/>
      <c r="AE47" s="1199"/>
      <c r="AF47" s="1199"/>
      <c r="AG47" s="1199"/>
      <c r="AH47" s="1199"/>
      <c r="AI47" s="1199"/>
      <c r="AJ47" s="1199"/>
      <c r="AK47" s="1199"/>
      <c r="AL47" s="1199"/>
      <c r="AM47" s="1199"/>
      <c r="AN47" s="1199"/>
      <c r="AO47" s="1199"/>
      <c r="AP47" s="1199"/>
      <c r="AQ47" s="1199"/>
      <c r="AR47" s="1199"/>
      <c r="AS47" s="1738"/>
      <c r="AT47" s="1199"/>
      <c r="AU47" s="1199"/>
      <c r="AV47" s="1199"/>
      <c r="AW47" s="1738"/>
    </row>
    <row r="48" spans="1:49" s="1111" customFormat="1" ht="12" customHeight="1" thickBot="1">
      <c r="A48" s="1099" t="s">
        <v>772</v>
      </c>
      <c r="B48" s="1100" t="s">
        <v>773</v>
      </c>
      <c r="C48" s="1101">
        <f>SUM(C49:C53)</f>
        <v>35000000</v>
      </c>
      <c r="D48" s="1102">
        <f>SUM(D49:D53)</f>
        <v>35000000</v>
      </c>
      <c r="E48" s="1199"/>
      <c r="F48" s="1199"/>
      <c r="G48" s="1199"/>
      <c r="H48" s="1199"/>
      <c r="I48" s="1199"/>
      <c r="J48" s="1199"/>
      <c r="K48" s="1199"/>
      <c r="L48" s="1199"/>
      <c r="M48" s="1199"/>
      <c r="N48" s="1199"/>
      <c r="O48" s="1199"/>
      <c r="P48" s="1199"/>
      <c r="Q48" s="1199"/>
      <c r="R48" s="1199"/>
      <c r="S48" s="1199"/>
      <c r="T48" s="1199"/>
      <c r="U48" s="1199"/>
      <c r="V48" s="1199"/>
      <c r="W48" s="1199"/>
      <c r="X48" s="1199"/>
      <c r="Y48" s="1199"/>
      <c r="Z48" s="1199"/>
      <c r="AA48" s="1199"/>
      <c r="AB48" s="1199"/>
      <c r="AC48" s="1199"/>
      <c r="AD48" s="1199"/>
      <c r="AE48" s="1199"/>
      <c r="AF48" s="1199"/>
      <c r="AG48" s="1199"/>
      <c r="AH48" s="1199"/>
      <c r="AI48" s="1199"/>
      <c r="AJ48" s="1199"/>
      <c r="AK48" s="1199"/>
      <c r="AL48" s="1199"/>
      <c r="AM48" s="1199"/>
      <c r="AN48" s="1199"/>
      <c r="AO48" s="1199"/>
      <c r="AP48" s="1199"/>
      <c r="AQ48" s="1199"/>
      <c r="AR48" s="1199"/>
      <c r="AS48" s="1738"/>
      <c r="AT48" s="1199"/>
      <c r="AU48" s="1199"/>
      <c r="AV48" s="1199"/>
      <c r="AW48" s="1738"/>
    </row>
    <row r="49" spans="1:49" s="1111" customFormat="1" ht="12" customHeight="1">
      <c r="A49" s="1103" t="s">
        <v>774</v>
      </c>
      <c r="B49" s="1104" t="s">
        <v>775</v>
      </c>
      <c r="C49" s="1210">
        <f>SUM(E49:AS49)</f>
        <v>0</v>
      </c>
      <c r="D49" s="1106">
        <f t="shared" ref="D49:D53" si="10">C49+SUM(AT49:AW49)</f>
        <v>0</v>
      </c>
      <c r="E49" s="1199"/>
      <c r="F49" s="1199"/>
      <c r="G49" s="1199"/>
      <c r="H49" s="1199"/>
      <c r="I49" s="1199"/>
      <c r="J49" s="1199"/>
      <c r="K49" s="1199"/>
      <c r="L49" s="1199"/>
      <c r="M49" s="1199"/>
      <c r="N49" s="1199"/>
      <c r="O49" s="1199"/>
      <c r="P49" s="1199"/>
      <c r="Q49" s="1199"/>
      <c r="R49" s="1199"/>
      <c r="S49" s="1199"/>
      <c r="T49" s="1199"/>
      <c r="U49" s="1199"/>
      <c r="V49" s="1199"/>
      <c r="W49" s="1199"/>
      <c r="X49" s="1199"/>
      <c r="Y49" s="1199"/>
      <c r="Z49" s="1199"/>
      <c r="AA49" s="1199"/>
      <c r="AB49" s="1199"/>
      <c r="AC49" s="1199"/>
      <c r="AD49" s="1199"/>
      <c r="AE49" s="1199"/>
      <c r="AF49" s="1199"/>
      <c r="AG49" s="1199"/>
      <c r="AH49" s="1199"/>
      <c r="AI49" s="1199"/>
      <c r="AJ49" s="1199"/>
      <c r="AK49" s="1199"/>
      <c r="AL49" s="1199"/>
      <c r="AM49" s="1199"/>
      <c r="AN49" s="1199"/>
      <c r="AO49" s="1199"/>
      <c r="AP49" s="1199"/>
      <c r="AQ49" s="1199"/>
      <c r="AR49" s="1199"/>
      <c r="AS49" s="1738"/>
      <c r="AT49" s="1199"/>
      <c r="AU49" s="1199"/>
      <c r="AV49" s="1199"/>
      <c r="AW49" s="1738"/>
    </row>
    <row r="50" spans="1:49" s="1111" customFormat="1" ht="12" customHeight="1">
      <c r="A50" s="1108" t="s">
        <v>776</v>
      </c>
      <c r="B50" s="1109" t="s">
        <v>655</v>
      </c>
      <c r="C50" s="1210">
        <f>SUM(E50:AS50)</f>
        <v>35000000</v>
      </c>
      <c r="D50" s="1106">
        <f t="shared" si="10"/>
        <v>35000000</v>
      </c>
      <c r="E50" s="1199"/>
      <c r="F50" s="1199"/>
      <c r="G50" s="1199">
        <v>35000000</v>
      </c>
      <c r="H50" s="1199"/>
      <c r="I50" s="1199"/>
      <c r="J50" s="1199"/>
      <c r="K50" s="1199"/>
      <c r="L50" s="1199"/>
      <c r="M50" s="1199"/>
      <c r="N50" s="1199"/>
      <c r="O50" s="1199"/>
      <c r="P50" s="1199"/>
      <c r="Q50" s="1199"/>
      <c r="R50" s="1199"/>
      <c r="S50" s="1199"/>
      <c r="T50" s="1199"/>
      <c r="U50" s="1199"/>
      <c r="V50" s="1199"/>
      <c r="W50" s="1199"/>
      <c r="X50" s="1199"/>
      <c r="Y50" s="1199"/>
      <c r="Z50" s="1199"/>
      <c r="AA50" s="1199"/>
      <c r="AB50" s="1199"/>
      <c r="AC50" s="1199"/>
      <c r="AD50" s="1199"/>
      <c r="AE50" s="1199"/>
      <c r="AF50" s="1199"/>
      <c r="AG50" s="1199"/>
      <c r="AH50" s="1199"/>
      <c r="AI50" s="1199"/>
      <c r="AJ50" s="1199"/>
      <c r="AK50" s="1199"/>
      <c r="AL50" s="1199"/>
      <c r="AM50" s="1199"/>
      <c r="AN50" s="1199"/>
      <c r="AO50" s="1199"/>
      <c r="AP50" s="1199"/>
      <c r="AQ50" s="1199"/>
      <c r="AR50" s="1199"/>
      <c r="AS50" s="1738"/>
      <c r="AT50" s="1199"/>
      <c r="AU50" s="1199"/>
      <c r="AV50" s="1199"/>
      <c r="AW50" s="1738"/>
    </row>
    <row r="51" spans="1:49" s="1111" customFormat="1" ht="12" customHeight="1">
      <c r="A51" s="1108" t="s">
        <v>777</v>
      </c>
      <c r="B51" s="1109" t="s">
        <v>778</v>
      </c>
      <c r="C51" s="1210">
        <f>SUM(E51:AS51)</f>
        <v>0</v>
      </c>
      <c r="D51" s="1106">
        <f t="shared" si="10"/>
        <v>0</v>
      </c>
      <c r="E51" s="1199"/>
      <c r="F51" s="1199"/>
      <c r="G51" s="1199"/>
      <c r="H51" s="1199"/>
      <c r="I51" s="1199"/>
      <c r="J51" s="1199"/>
      <c r="K51" s="1199"/>
      <c r="L51" s="1199"/>
      <c r="M51" s="1199"/>
      <c r="N51" s="1199"/>
      <c r="O51" s="1199"/>
      <c r="P51" s="1199"/>
      <c r="Q51" s="1199"/>
      <c r="R51" s="1199"/>
      <c r="S51" s="1199"/>
      <c r="T51" s="1199"/>
      <c r="U51" s="1199"/>
      <c r="V51" s="1199"/>
      <c r="W51" s="1199"/>
      <c r="X51" s="1199"/>
      <c r="Y51" s="1199"/>
      <c r="Z51" s="1199"/>
      <c r="AA51" s="1199"/>
      <c r="AB51" s="1199"/>
      <c r="AC51" s="1199"/>
      <c r="AD51" s="1199"/>
      <c r="AE51" s="1199"/>
      <c r="AF51" s="1199"/>
      <c r="AG51" s="1199"/>
      <c r="AH51" s="1199"/>
      <c r="AI51" s="1199"/>
      <c r="AJ51" s="1199"/>
      <c r="AK51" s="1199"/>
      <c r="AL51" s="1199"/>
      <c r="AM51" s="1199"/>
      <c r="AN51" s="1199"/>
      <c r="AO51" s="1199"/>
      <c r="AP51" s="1199"/>
      <c r="AQ51" s="1199"/>
      <c r="AR51" s="1199"/>
      <c r="AS51" s="1738"/>
      <c r="AT51" s="1199"/>
      <c r="AU51" s="1199"/>
      <c r="AV51" s="1199"/>
      <c r="AW51" s="1738"/>
    </row>
    <row r="52" spans="1:49" s="1111" customFormat="1" ht="12" customHeight="1">
      <c r="A52" s="1108" t="s">
        <v>779</v>
      </c>
      <c r="B52" s="1109" t="s">
        <v>780</v>
      </c>
      <c r="C52" s="1210">
        <f>SUM(E52:AS52)</f>
        <v>0</v>
      </c>
      <c r="D52" s="1106">
        <f t="shared" si="10"/>
        <v>0</v>
      </c>
      <c r="E52" s="1199"/>
      <c r="F52" s="1199"/>
      <c r="G52" s="1199"/>
      <c r="H52" s="1199"/>
      <c r="I52" s="1199"/>
      <c r="J52" s="1199"/>
      <c r="K52" s="1199"/>
      <c r="L52" s="1199"/>
      <c r="M52" s="1199"/>
      <c r="N52" s="1199"/>
      <c r="O52" s="1199"/>
      <c r="P52" s="1199"/>
      <c r="Q52" s="1199"/>
      <c r="R52" s="1199"/>
      <c r="S52" s="1199"/>
      <c r="T52" s="1199"/>
      <c r="U52" s="1199"/>
      <c r="V52" s="1199"/>
      <c r="W52" s="1199"/>
      <c r="X52" s="1199"/>
      <c r="Y52" s="1199"/>
      <c r="Z52" s="1199"/>
      <c r="AA52" s="1199"/>
      <c r="AB52" s="1199"/>
      <c r="AC52" s="1199"/>
      <c r="AD52" s="1199"/>
      <c r="AE52" s="1199"/>
      <c r="AF52" s="1199"/>
      <c r="AG52" s="1199"/>
      <c r="AH52" s="1199"/>
      <c r="AI52" s="1199"/>
      <c r="AJ52" s="1199"/>
      <c r="AK52" s="1199"/>
      <c r="AL52" s="1199"/>
      <c r="AM52" s="1199"/>
      <c r="AN52" s="1199"/>
      <c r="AO52" s="1199"/>
      <c r="AP52" s="1199"/>
      <c r="AQ52" s="1199"/>
      <c r="AR52" s="1199"/>
      <c r="AS52" s="1738"/>
      <c r="AT52" s="1199"/>
      <c r="AU52" s="1199"/>
      <c r="AV52" s="1199"/>
      <c r="AW52" s="1738"/>
    </row>
    <row r="53" spans="1:49" s="1111" customFormat="1" ht="12" customHeight="1" thickBot="1">
      <c r="A53" s="1112" t="s">
        <v>781</v>
      </c>
      <c r="B53" s="1113" t="s">
        <v>782</v>
      </c>
      <c r="C53" s="1210">
        <f>SUM(E53:AS53)</f>
        <v>0</v>
      </c>
      <c r="D53" s="1106">
        <f t="shared" si="10"/>
        <v>0</v>
      </c>
      <c r="E53" s="1199"/>
      <c r="F53" s="1199"/>
      <c r="G53" s="1199"/>
      <c r="H53" s="1199"/>
      <c r="I53" s="1199"/>
      <c r="J53" s="1199"/>
      <c r="K53" s="1199"/>
      <c r="L53" s="1199"/>
      <c r="M53" s="1199"/>
      <c r="N53" s="1199"/>
      <c r="O53" s="1199"/>
      <c r="P53" s="1199"/>
      <c r="Q53" s="1199"/>
      <c r="R53" s="1199"/>
      <c r="S53" s="1199"/>
      <c r="T53" s="1199"/>
      <c r="U53" s="1199"/>
      <c r="V53" s="1199"/>
      <c r="W53" s="1199"/>
      <c r="X53" s="1199"/>
      <c r="Y53" s="1199"/>
      <c r="Z53" s="1199"/>
      <c r="AA53" s="1199"/>
      <c r="AB53" s="1199"/>
      <c r="AC53" s="1199"/>
      <c r="AD53" s="1199"/>
      <c r="AE53" s="1199"/>
      <c r="AF53" s="1199"/>
      <c r="AG53" s="1199"/>
      <c r="AH53" s="1199"/>
      <c r="AI53" s="1199"/>
      <c r="AJ53" s="1199"/>
      <c r="AK53" s="1199"/>
      <c r="AL53" s="1199"/>
      <c r="AM53" s="1199"/>
      <c r="AN53" s="1199"/>
      <c r="AO53" s="1199"/>
      <c r="AP53" s="1199"/>
      <c r="AQ53" s="1199"/>
      <c r="AR53" s="1199"/>
      <c r="AS53" s="1738"/>
      <c r="AT53" s="1199"/>
      <c r="AU53" s="1199"/>
      <c r="AV53" s="1199"/>
      <c r="AW53" s="1738"/>
    </row>
    <row r="54" spans="1:49" s="1111" customFormat="1" ht="12" customHeight="1" thickBot="1">
      <c r="A54" s="1099" t="s">
        <v>783</v>
      </c>
      <c r="B54" s="1100" t="s">
        <v>784</v>
      </c>
      <c r="C54" s="1101">
        <f>SUM(C55:C57)</f>
        <v>0</v>
      </c>
      <c r="D54" s="1102">
        <f>SUM(D55:D57)</f>
        <v>0</v>
      </c>
      <c r="E54" s="1199"/>
      <c r="F54" s="1199"/>
      <c r="G54" s="1199"/>
      <c r="H54" s="1199"/>
      <c r="I54" s="1199"/>
      <c r="J54" s="1199"/>
      <c r="K54" s="1199"/>
      <c r="L54" s="1199"/>
      <c r="M54" s="1199"/>
      <c r="N54" s="1199"/>
      <c r="O54" s="1199"/>
      <c r="P54" s="1199"/>
      <c r="Q54" s="1199"/>
      <c r="R54" s="1199"/>
      <c r="S54" s="1199"/>
      <c r="T54" s="1199"/>
      <c r="U54" s="1199"/>
      <c r="V54" s="1199"/>
      <c r="W54" s="1199"/>
      <c r="X54" s="1199"/>
      <c r="Y54" s="1199"/>
      <c r="Z54" s="1199"/>
      <c r="AA54" s="1199"/>
      <c r="AB54" s="1199"/>
      <c r="AC54" s="1199"/>
      <c r="AD54" s="1199"/>
      <c r="AE54" s="1199"/>
      <c r="AF54" s="1199"/>
      <c r="AG54" s="1199"/>
      <c r="AH54" s="1199"/>
      <c r="AI54" s="1199"/>
      <c r="AJ54" s="1199"/>
      <c r="AK54" s="1199"/>
      <c r="AL54" s="1199"/>
      <c r="AM54" s="1199"/>
      <c r="AN54" s="1199"/>
      <c r="AO54" s="1199"/>
      <c r="AP54" s="1199"/>
      <c r="AQ54" s="1199"/>
      <c r="AR54" s="1199"/>
      <c r="AS54" s="1738"/>
      <c r="AT54" s="1199"/>
      <c r="AU54" s="1199"/>
      <c r="AV54" s="1199"/>
      <c r="AW54" s="1738"/>
    </row>
    <row r="55" spans="1:49" s="1111" customFormat="1" ht="12" customHeight="1">
      <c r="A55" s="1103" t="s">
        <v>785</v>
      </c>
      <c r="B55" s="1104" t="s">
        <v>786</v>
      </c>
      <c r="C55" s="1207">
        <f>SUM(E55:AS55)</f>
        <v>0</v>
      </c>
      <c r="D55" s="1106">
        <f t="shared" ref="D55:D58" si="11">C55+SUM(AT55:AW55)</f>
        <v>0</v>
      </c>
      <c r="E55" s="1199"/>
      <c r="F55" s="1199"/>
      <c r="G55" s="1199"/>
      <c r="H55" s="1199"/>
      <c r="I55" s="1199"/>
      <c r="J55" s="1199"/>
      <c r="K55" s="1199"/>
      <c r="L55" s="1199"/>
      <c r="M55" s="1199"/>
      <c r="N55" s="1199"/>
      <c r="O55" s="1199"/>
      <c r="P55" s="1199"/>
      <c r="Q55" s="1199"/>
      <c r="R55" s="1199"/>
      <c r="S55" s="1199"/>
      <c r="T55" s="1199"/>
      <c r="U55" s="1199"/>
      <c r="V55" s="1199"/>
      <c r="W55" s="1199"/>
      <c r="X55" s="1199"/>
      <c r="Y55" s="1199"/>
      <c r="Z55" s="1199"/>
      <c r="AA55" s="1199"/>
      <c r="AB55" s="1199"/>
      <c r="AC55" s="1199"/>
      <c r="AD55" s="1199"/>
      <c r="AE55" s="1199"/>
      <c r="AF55" s="1199"/>
      <c r="AG55" s="1199"/>
      <c r="AH55" s="1199"/>
      <c r="AI55" s="1199"/>
      <c r="AJ55" s="1199"/>
      <c r="AK55" s="1199"/>
      <c r="AL55" s="1199"/>
      <c r="AM55" s="1199"/>
      <c r="AN55" s="1199"/>
      <c r="AO55" s="1199"/>
      <c r="AP55" s="1199"/>
      <c r="AQ55" s="1199"/>
      <c r="AR55" s="1199"/>
      <c r="AS55" s="1738"/>
      <c r="AT55" s="1199"/>
      <c r="AU55" s="1199"/>
      <c r="AV55" s="1199"/>
      <c r="AW55" s="1738"/>
    </row>
    <row r="56" spans="1:49" s="1111" customFormat="1" ht="12" customHeight="1">
      <c r="A56" s="1108" t="s">
        <v>787</v>
      </c>
      <c r="B56" s="1109" t="s">
        <v>788</v>
      </c>
      <c r="C56" s="1207">
        <f>SUM(E56:AS56)</f>
        <v>0</v>
      </c>
      <c r="D56" s="1106">
        <f t="shared" si="11"/>
        <v>0</v>
      </c>
      <c r="E56" s="1199"/>
      <c r="F56" s="1199"/>
      <c r="G56" s="1199"/>
      <c r="H56" s="1199"/>
      <c r="I56" s="1199"/>
      <c r="J56" s="1199"/>
      <c r="K56" s="1199"/>
      <c r="L56" s="1199"/>
      <c r="M56" s="1199"/>
      <c r="N56" s="1199"/>
      <c r="O56" s="1199"/>
      <c r="P56" s="1199"/>
      <c r="Q56" s="1199"/>
      <c r="R56" s="1199"/>
      <c r="S56" s="1199"/>
      <c r="T56" s="1199"/>
      <c r="U56" s="1199"/>
      <c r="V56" s="1199"/>
      <c r="W56" s="1199"/>
      <c r="X56" s="1199"/>
      <c r="Y56" s="1199"/>
      <c r="Z56" s="1199"/>
      <c r="AA56" s="1199"/>
      <c r="AB56" s="1199"/>
      <c r="AC56" s="1199"/>
      <c r="AD56" s="1199"/>
      <c r="AE56" s="1199"/>
      <c r="AF56" s="1199"/>
      <c r="AG56" s="1199"/>
      <c r="AH56" s="1199"/>
      <c r="AI56" s="1199"/>
      <c r="AJ56" s="1199"/>
      <c r="AK56" s="1199"/>
      <c r="AL56" s="1199"/>
      <c r="AM56" s="1199"/>
      <c r="AN56" s="1199"/>
      <c r="AO56" s="1199"/>
      <c r="AP56" s="1199"/>
      <c r="AQ56" s="1199"/>
      <c r="AR56" s="1199"/>
      <c r="AS56" s="1738"/>
      <c r="AT56" s="1199"/>
      <c r="AU56" s="1199"/>
      <c r="AV56" s="1199"/>
      <c r="AW56" s="1738"/>
    </row>
    <row r="57" spans="1:49" s="1111" customFormat="1" ht="12" customHeight="1">
      <c r="A57" s="1108" t="s">
        <v>789</v>
      </c>
      <c r="B57" s="1109" t="s">
        <v>790</v>
      </c>
      <c r="C57" s="1207">
        <f>SUM(E57:AS57)</f>
        <v>0</v>
      </c>
      <c r="D57" s="1106">
        <f t="shared" si="11"/>
        <v>0</v>
      </c>
      <c r="E57" s="1199"/>
      <c r="F57" s="1199"/>
      <c r="G57" s="1199"/>
      <c r="H57" s="1199"/>
      <c r="I57" s="1199"/>
      <c r="J57" s="1199"/>
      <c r="K57" s="1199"/>
      <c r="L57" s="1199"/>
      <c r="M57" s="1199"/>
      <c r="N57" s="1199"/>
      <c r="O57" s="1199"/>
      <c r="P57" s="1199"/>
      <c r="Q57" s="1199"/>
      <c r="R57" s="1199"/>
      <c r="S57" s="1199"/>
      <c r="T57" s="1199"/>
      <c r="U57" s="1199"/>
      <c r="V57" s="1199"/>
      <c r="W57" s="1199"/>
      <c r="X57" s="1199"/>
      <c r="Y57" s="1199"/>
      <c r="Z57" s="1199"/>
      <c r="AA57" s="1199"/>
      <c r="AB57" s="1199"/>
      <c r="AC57" s="1199"/>
      <c r="AD57" s="1199"/>
      <c r="AE57" s="1199"/>
      <c r="AF57" s="1199"/>
      <c r="AG57" s="1199"/>
      <c r="AH57" s="1199"/>
      <c r="AI57" s="1199"/>
      <c r="AJ57" s="1199"/>
      <c r="AK57" s="1199"/>
      <c r="AL57" s="1199"/>
      <c r="AM57" s="1199"/>
      <c r="AN57" s="1199"/>
      <c r="AO57" s="1199"/>
      <c r="AP57" s="1199"/>
      <c r="AQ57" s="1199"/>
      <c r="AR57" s="1199"/>
      <c r="AS57" s="1738"/>
      <c r="AT57" s="1199"/>
      <c r="AU57" s="1199"/>
      <c r="AV57" s="1199"/>
      <c r="AW57" s="1738"/>
    </row>
    <row r="58" spans="1:49" s="1111" customFormat="1" ht="12" customHeight="1" thickBot="1">
      <c r="A58" s="1112" t="s">
        <v>791</v>
      </c>
      <c r="B58" s="1113" t="s">
        <v>792</v>
      </c>
      <c r="C58" s="1207">
        <f>SUM(E58:AS58)</f>
        <v>0</v>
      </c>
      <c r="D58" s="1106">
        <f t="shared" si="11"/>
        <v>0</v>
      </c>
      <c r="E58" s="1199"/>
      <c r="F58" s="1199"/>
      <c r="G58" s="1199"/>
      <c r="H58" s="1199"/>
      <c r="I58" s="1199"/>
      <c r="J58" s="1199"/>
      <c r="K58" s="1199"/>
      <c r="L58" s="1199"/>
      <c r="M58" s="1199"/>
      <c r="N58" s="1199"/>
      <c r="O58" s="1199"/>
      <c r="P58" s="1199"/>
      <c r="Q58" s="1199"/>
      <c r="R58" s="1199"/>
      <c r="S58" s="1199"/>
      <c r="T58" s="1199"/>
      <c r="U58" s="1199"/>
      <c r="V58" s="1199"/>
      <c r="W58" s="1199"/>
      <c r="X58" s="1199"/>
      <c r="Y58" s="1199"/>
      <c r="Z58" s="1199"/>
      <c r="AA58" s="1199"/>
      <c r="AB58" s="1199"/>
      <c r="AC58" s="1199"/>
      <c r="AD58" s="1199"/>
      <c r="AE58" s="1199"/>
      <c r="AF58" s="1199"/>
      <c r="AG58" s="1199"/>
      <c r="AH58" s="1199"/>
      <c r="AI58" s="1199"/>
      <c r="AJ58" s="1199"/>
      <c r="AK58" s="1199"/>
      <c r="AL58" s="1199"/>
      <c r="AM58" s="1199"/>
      <c r="AN58" s="1199"/>
      <c r="AO58" s="1199"/>
      <c r="AP58" s="1199"/>
      <c r="AQ58" s="1199"/>
      <c r="AR58" s="1199"/>
      <c r="AS58" s="1738"/>
      <c r="AT58" s="1199"/>
      <c r="AU58" s="1199"/>
      <c r="AV58" s="1199"/>
      <c r="AW58" s="1738"/>
    </row>
    <row r="59" spans="1:49" s="1111" customFormat="1" ht="12" customHeight="1" thickBot="1">
      <c r="A59" s="1099" t="s">
        <v>793</v>
      </c>
      <c r="B59" s="1114" t="s">
        <v>794</v>
      </c>
      <c r="C59" s="1101">
        <f>SUM(C60:C62)</f>
        <v>0</v>
      </c>
      <c r="D59" s="1127">
        <f>SUM(D60:D62)</f>
        <v>0</v>
      </c>
      <c r="E59" s="1199"/>
      <c r="F59" s="1199"/>
      <c r="G59" s="1199"/>
      <c r="H59" s="1199"/>
      <c r="I59" s="1199"/>
      <c r="J59" s="1199"/>
      <c r="K59" s="1199"/>
      <c r="L59" s="1199"/>
      <c r="M59" s="1199"/>
      <c r="N59" s="1199"/>
      <c r="O59" s="1199"/>
      <c r="P59" s="1199"/>
      <c r="Q59" s="1199"/>
      <c r="R59" s="1199"/>
      <c r="S59" s="1199"/>
      <c r="T59" s="1199"/>
      <c r="U59" s="1199"/>
      <c r="V59" s="1199"/>
      <c r="W59" s="1199"/>
      <c r="X59" s="1199"/>
      <c r="Y59" s="1199"/>
      <c r="Z59" s="1199"/>
      <c r="AA59" s="1199"/>
      <c r="AB59" s="1199"/>
      <c r="AC59" s="1199"/>
      <c r="AD59" s="1199"/>
      <c r="AE59" s="1199"/>
      <c r="AF59" s="1199"/>
      <c r="AG59" s="1199"/>
      <c r="AH59" s="1199"/>
      <c r="AI59" s="1199"/>
      <c r="AJ59" s="1199"/>
      <c r="AK59" s="1199"/>
      <c r="AL59" s="1199"/>
      <c r="AM59" s="1199"/>
      <c r="AN59" s="1199"/>
      <c r="AO59" s="1199"/>
      <c r="AP59" s="1199"/>
      <c r="AQ59" s="1199"/>
      <c r="AR59" s="1199"/>
      <c r="AS59" s="1738"/>
      <c r="AT59" s="1199"/>
      <c r="AU59" s="1199"/>
      <c r="AV59" s="1199"/>
      <c r="AW59" s="1738"/>
    </row>
    <row r="60" spans="1:49" s="1111" customFormat="1" ht="12" customHeight="1">
      <c r="A60" s="1103" t="s">
        <v>795</v>
      </c>
      <c r="B60" s="1104" t="s">
        <v>796</v>
      </c>
      <c r="C60" s="1211">
        <f>SUM(E60:AS60)</f>
        <v>0</v>
      </c>
      <c r="D60" s="1106">
        <f t="shared" ref="D60:D63" si="12">C60+SUM(AT60:AW60)</f>
        <v>0</v>
      </c>
      <c r="E60" s="1199"/>
      <c r="F60" s="1199"/>
      <c r="G60" s="1199"/>
      <c r="H60" s="1199"/>
      <c r="I60" s="1199"/>
      <c r="J60" s="1199"/>
      <c r="K60" s="1199"/>
      <c r="L60" s="1199"/>
      <c r="M60" s="1199"/>
      <c r="N60" s="1199"/>
      <c r="O60" s="1199"/>
      <c r="P60" s="1199"/>
      <c r="Q60" s="1199"/>
      <c r="R60" s="1199"/>
      <c r="S60" s="1199"/>
      <c r="T60" s="1199"/>
      <c r="U60" s="1199"/>
      <c r="V60" s="1199"/>
      <c r="W60" s="1199"/>
      <c r="X60" s="1199"/>
      <c r="Y60" s="1199"/>
      <c r="Z60" s="1199"/>
      <c r="AA60" s="1199"/>
      <c r="AB60" s="1199"/>
      <c r="AC60" s="1199"/>
      <c r="AD60" s="1199"/>
      <c r="AE60" s="1199"/>
      <c r="AF60" s="1199"/>
      <c r="AG60" s="1199"/>
      <c r="AH60" s="1199"/>
      <c r="AI60" s="1199"/>
      <c r="AJ60" s="1199"/>
      <c r="AK60" s="1199"/>
      <c r="AL60" s="1199"/>
      <c r="AM60" s="1199"/>
      <c r="AN60" s="1199"/>
      <c r="AO60" s="1199"/>
      <c r="AP60" s="1199"/>
      <c r="AQ60" s="1199"/>
      <c r="AR60" s="1199"/>
      <c r="AS60" s="1738"/>
      <c r="AT60" s="1199"/>
      <c r="AU60" s="1199"/>
      <c r="AV60" s="1199"/>
      <c r="AW60" s="1738"/>
    </row>
    <row r="61" spans="1:49" s="1111" customFormat="1" ht="12" customHeight="1">
      <c r="A61" s="1108" t="s">
        <v>797</v>
      </c>
      <c r="B61" s="1109" t="s">
        <v>798</v>
      </c>
      <c r="C61" s="1211">
        <f>SUM(E61:AS61)</f>
        <v>0</v>
      </c>
      <c r="D61" s="1106">
        <f t="shared" si="12"/>
        <v>0</v>
      </c>
      <c r="E61" s="1199"/>
      <c r="F61" s="1199"/>
      <c r="G61" s="1199"/>
      <c r="H61" s="1199"/>
      <c r="I61" s="1199"/>
      <c r="J61" s="1199"/>
      <c r="K61" s="1199"/>
      <c r="L61" s="1199"/>
      <c r="M61" s="1199"/>
      <c r="N61" s="1199"/>
      <c r="O61" s="1199"/>
      <c r="P61" s="1199"/>
      <c r="Q61" s="1199"/>
      <c r="R61" s="1199"/>
      <c r="S61" s="1199"/>
      <c r="T61" s="1199"/>
      <c r="U61" s="1199"/>
      <c r="V61" s="1199"/>
      <c r="W61" s="1199"/>
      <c r="X61" s="1199"/>
      <c r="Y61" s="1199"/>
      <c r="Z61" s="1199"/>
      <c r="AA61" s="1199"/>
      <c r="AB61" s="1199"/>
      <c r="AC61" s="1199"/>
      <c r="AD61" s="1199"/>
      <c r="AE61" s="1199"/>
      <c r="AF61" s="1199"/>
      <c r="AG61" s="1199"/>
      <c r="AH61" s="1199"/>
      <c r="AI61" s="1199"/>
      <c r="AJ61" s="1199"/>
      <c r="AK61" s="1199"/>
      <c r="AL61" s="1199"/>
      <c r="AM61" s="1199"/>
      <c r="AN61" s="1199"/>
      <c r="AO61" s="1199"/>
      <c r="AP61" s="1199"/>
      <c r="AQ61" s="1199"/>
      <c r="AR61" s="1199"/>
      <c r="AS61" s="1738"/>
      <c r="AT61" s="1199"/>
      <c r="AU61" s="1199"/>
      <c r="AV61" s="1199"/>
      <c r="AW61" s="1738"/>
    </row>
    <row r="62" spans="1:49" s="1111" customFormat="1" ht="12" customHeight="1">
      <c r="A62" s="1108" t="s">
        <v>799</v>
      </c>
      <c r="B62" s="1109" t="s">
        <v>800</v>
      </c>
      <c r="C62" s="1211">
        <f>SUM(E62:AS62)</f>
        <v>0</v>
      </c>
      <c r="D62" s="1106">
        <f t="shared" si="12"/>
        <v>0</v>
      </c>
      <c r="E62" s="1199"/>
      <c r="F62" s="1199"/>
      <c r="G62" s="1199"/>
      <c r="H62" s="1199"/>
      <c r="I62" s="1199"/>
      <c r="J62" s="1199"/>
      <c r="K62" s="1199"/>
      <c r="L62" s="1199"/>
      <c r="M62" s="1199"/>
      <c r="N62" s="1199"/>
      <c r="O62" s="1199"/>
      <c r="P62" s="1199"/>
      <c r="Q62" s="1199"/>
      <c r="R62" s="1199"/>
      <c r="S62" s="1199"/>
      <c r="T62" s="1199"/>
      <c r="U62" s="1199"/>
      <c r="V62" s="1199"/>
      <c r="W62" s="1199"/>
      <c r="X62" s="1199"/>
      <c r="Y62" s="1199"/>
      <c r="Z62" s="1199"/>
      <c r="AA62" s="1199"/>
      <c r="AB62" s="1199"/>
      <c r="AC62" s="1199"/>
      <c r="AD62" s="1199"/>
      <c r="AE62" s="1199"/>
      <c r="AF62" s="1199"/>
      <c r="AG62" s="1199"/>
      <c r="AH62" s="1199"/>
      <c r="AI62" s="1199"/>
      <c r="AJ62" s="1199"/>
      <c r="AK62" s="1199"/>
      <c r="AL62" s="1199"/>
      <c r="AM62" s="1199"/>
      <c r="AN62" s="1199"/>
      <c r="AO62" s="1199"/>
      <c r="AP62" s="1199"/>
      <c r="AQ62" s="1199"/>
      <c r="AR62" s="1199"/>
      <c r="AS62" s="1738"/>
      <c r="AT62" s="1199"/>
      <c r="AU62" s="1199"/>
      <c r="AV62" s="1199"/>
      <c r="AW62" s="1738"/>
    </row>
    <row r="63" spans="1:49" s="1111" customFormat="1" ht="12" customHeight="1" thickBot="1">
      <c r="A63" s="1112" t="s">
        <v>801</v>
      </c>
      <c r="B63" s="1113" t="s">
        <v>802</v>
      </c>
      <c r="C63" s="1211">
        <f>SUM(E63:AS63)</f>
        <v>0</v>
      </c>
      <c r="D63" s="1106">
        <f t="shared" si="12"/>
        <v>0</v>
      </c>
      <c r="E63" s="1199"/>
      <c r="F63" s="1199"/>
      <c r="G63" s="1199"/>
      <c r="H63" s="1199"/>
      <c r="I63" s="1199"/>
      <c r="J63" s="1199"/>
      <c r="K63" s="1199"/>
      <c r="L63" s="1199"/>
      <c r="M63" s="1199"/>
      <c r="N63" s="1199"/>
      <c r="O63" s="1199"/>
      <c r="P63" s="1199"/>
      <c r="Q63" s="1199"/>
      <c r="R63" s="1199"/>
      <c r="S63" s="1199"/>
      <c r="T63" s="1199"/>
      <c r="U63" s="1199"/>
      <c r="V63" s="1199"/>
      <c r="W63" s="1199"/>
      <c r="X63" s="1199"/>
      <c r="Y63" s="1199"/>
      <c r="Z63" s="1199"/>
      <c r="AA63" s="1199"/>
      <c r="AB63" s="1199"/>
      <c r="AC63" s="1199"/>
      <c r="AD63" s="1199"/>
      <c r="AE63" s="1199"/>
      <c r="AF63" s="1199"/>
      <c r="AG63" s="1199"/>
      <c r="AH63" s="1199"/>
      <c r="AI63" s="1199"/>
      <c r="AJ63" s="1199"/>
      <c r="AK63" s="1199"/>
      <c r="AL63" s="1199"/>
      <c r="AM63" s="1199"/>
      <c r="AN63" s="1199"/>
      <c r="AO63" s="1199"/>
      <c r="AP63" s="1199"/>
      <c r="AQ63" s="1199"/>
      <c r="AR63" s="1199"/>
      <c r="AS63" s="1738"/>
      <c r="AT63" s="1199"/>
      <c r="AU63" s="1199"/>
      <c r="AV63" s="1199"/>
      <c r="AW63" s="1738"/>
    </row>
    <row r="64" spans="1:49" s="1111" customFormat="1" ht="12" customHeight="1" thickBot="1">
      <c r="A64" s="1099" t="s">
        <v>803</v>
      </c>
      <c r="B64" s="1100" t="s">
        <v>804</v>
      </c>
      <c r="C64" s="1118">
        <f>+C8+C15+C22+C29+C37+C48+C54+C59</f>
        <v>346963483</v>
      </c>
      <c r="D64" s="1119">
        <f>+D8+D15+D22+D29+D37+D48+D54+D59</f>
        <v>351941723</v>
      </c>
      <c r="E64" s="1199"/>
      <c r="F64" s="1199"/>
      <c r="G64" s="1199"/>
      <c r="H64" s="1199"/>
      <c r="I64" s="1199"/>
      <c r="J64" s="1199"/>
      <c r="K64" s="1199"/>
      <c r="L64" s="1199"/>
      <c r="M64" s="1199"/>
      <c r="N64" s="1199"/>
      <c r="O64" s="1199"/>
      <c r="P64" s="1199"/>
      <c r="Q64" s="1199"/>
      <c r="R64" s="1199"/>
      <c r="S64" s="1199"/>
      <c r="T64" s="1199"/>
      <c r="U64" s="1199"/>
      <c r="V64" s="1199"/>
      <c r="W64" s="1199"/>
      <c r="X64" s="1199"/>
      <c r="Y64" s="1199"/>
      <c r="Z64" s="1199"/>
      <c r="AA64" s="1199"/>
      <c r="AB64" s="1199"/>
      <c r="AC64" s="1199"/>
      <c r="AD64" s="1199"/>
      <c r="AE64" s="1199"/>
      <c r="AF64" s="1199"/>
      <c r="AG64" s="1199"/>
      <c r="AH64" s="1199"/>
      <c r="AI64" s="1199"/>
      <c r="AJ64" s="1199"/>
      <c r="AK64" s="1199"/>
      <c r="AL64" s="1199"/>
      <c r="AM64" s="1199"/>
      <c r="AN64" s="1199"/>
      <c r="AO64" s="1199"/>
      <c r="AP64" s="1199"/>
      <c r="AQ64" s="1199"/>
      <c r="AR64" s="1199"/>
      <c r="AS64" s="1738"/>
      <c r="AT64" s="1199"/>
      <c r="AU64" s="1199"/>
      <c r="AV64" s="1199"/>
      <c r="AW64" s="1738"/>
    </row>
    <row r="65" spans="1:49" s="1111" customFormat="1" ht="12" customHeight="1" thickBot="1">
      <c r="A65" s="1128" t="s">
        <v>805</v>
      </c>
      <c r="B65" s="1114" t="s">
        <v>806</v>
      </c>
      <c r="C65" s="1101">
        <f>SUM(C66:C68)</f>
        <v>0</v>
      </c>
      <c r="D65" s="1102">
        <f>SUM(D66:D68)</f>
        <v>0</v>
      </c>
      <c r="E65" s="1199"/>
      <c r="F65" s="1199"/>
      <c r="G65" s="1199"/>
      <c r="H65" s="1199"/>
      <c r="I65" s="1199"/>
      <c r="J65" s="1199"/>
      <c r="K65" s="1199"/>
      <c r="L65" s="1199"/>
      <c r="M65" s="1199"/>
      <c r="N65" s="1199"/>
      <c r="O65" s="1199"/>
      <c r="P65" s="1199"/>
      <c r="Q65" s="1199"/>
      <c r="R65" s="1199"/>
      <c r="S65" s="1199"/>
      <c r="T65" s="1199"/>
      <c r="U65" s="1199"/>
      <c r="V65" s="1199"/>
      <c r="W65" s="1199"/>
      <c r="X65" s="1199"/>
      <c r="Y65" s="1199"/>
      <c r="Z65" s="1199"/>
      <c r="AA65" s="1199"/>
      <c r="AB65" s="1199"/>
      <c r="AC65" s="1199"/>
      <c r="AD65" s="1199"/>
      <c r="AE65" s="1199"/>
      <c r="AF65" s="1199"/>
      <c r="AG65" s="1199"/>
      <c r="AH65" s="1199"/>
      <c r="AI65" s="1199"/>
      <c r="AJ65" s="1199"/>
      <c r="AK65" s="1199"/>
      <c r="AL65" s="1199"/>
      <c r="AM65" s="1199"/>
      <c r="AN65" s="1199"/>
      <c r="AO65" s="1199"/>
      <c r="AP65" s="1199"/>
      <c r="AQ65" s="1199"/>
      <c r="AR65" s="1199"/>
      <c r="AS65" s="1738"/>
      <c r="AT65" s="1199"/>
      <c r="AU65" s="1199"/>
      <c r="AV65" s="1199"/>
      <c r="AW65" s="1738"/>
    </row>
    <row r="66" spans="1:49" s="1111" customFormat="1" ht="12" customHeight="1">
      <c r="A66" s="1103" t="s">
        <v>807</v>
      </c>
      <c r="B66" s="1104" t="s">
        <v>808</v>
      </c>
      <c r="C66" s="1211">
        <f>SUM(E66:AS66)</f>
        <v>0</v>
      </c>
      <c r="D66" s="1106">
        <f t="shared" ref="D66:D68" si="13">C66+SUM(AT66:AW66)</f>
        <v>0</v>
      </c>
      <c r="E66" s="1199"/>
      <c r="F66" s="1199"/>
      <c r="G66" s="1199"/>
      <c r="H66" s="1199"/>
      <c r="I66" s="1199"/>
      <c r="J66" s="1199"/>
      <c r="K66" s="1199"/>
      <c r="L66" s="1199"/>
      <c r="M66" s="1199"/>
      <c r="N66" s="1199"/>
      <c r="O66" s="1199"/>
      <c r="P66" s="1199"/>
      <c r="Q66" s="1199"/>
      <c r="R66" s="1199"/>
      <c r="S66" s="1199"/>
      <c r="T66" s="1199"/>
      <c r="U66" s="1199"/>
      <c r="V66" s="1199"/>
      <c r="W66" s="1199"/>
      <c r="X66" s="1199"/>
      <c r="Y66" s="1199"/>
      <c r="Z66" s="1199"/>
      <c r="AA66" s="1199"/>
      <c r="AB66" s="1199"/>
      <c r="AC66" s="1199"/>
      <c r="AD66" s="1199"/>
      <c r="AE66" s="1199"/>
      <c r="AF66" s="1199"/>
      <c r="AG66" s="1199"/>
      <c r="AH66" s="1199"/>
      <c r="AI66" s="1199"/>
      <c r="AJ66" s="1199"/>
      <c r="AK66" s="1199"/>
      <c r="AL66" s="1199"/>
      <c r="AM66" s="1199"/>
      <c r="AN66" s="1199"/>
      <c r="AO66" s="1199"/>
      <c r="AP66" s="1199"/>
      <c r="AQ66" s="1199"/>
      <c r="AR66" s="1199"/>
      <c r="AS66" s="1738"/>
      <c r="AT66" s="1199"/>
      <c r="AU66" s="1199"/>
      <c r="AV66" s="1199"/>
      <c r="AW66" s="1738"/>
    </row>
    <row r="67" spans="1:49" s="1111" customFormat="1" ht="12" customHeight="1">
      <c r="A67" s="1108" t="s">
        <v>809</v>
      </c>
      <c r="B67" s="1109" t="s">
        <v>810</v>
      </c>
      <c r="C67" s="1211">
        <f>SUM(E67:AS67)</f>
        <v>0</v>
      </c>
      <c r="D67" s="1106">
        <f t="shared" si="13"/>
        <v>0</v>
      </c>
      <c r="E67" s="1199"/>
      <c r="F67" s="1199"/>
      <c r="G67" s="1199"/>
      <c r="H67" s="1199"/>
      <c r="I67" s="1199"/>
      <c r="J67" s="1199"/>
      <c r="K67" s="1199"/>
      <c r="L67" s="1199"/>
      <c r="M67" s="1199"/>
      <c r="N67" s="1199"/>
      <c r="O67" s="1199"/>
      <c r="P67" s="1199"/>
      <c r="Q67" s="1199"/>
      <c r="R67" s="1199"/>
      <c r="S67" s="1199"/>
      <c r="T67" s="1199"/>
      <c r="U67" s="1199"/>
      <c r="V67" s="1199"/>
      <c r="W67" s="1199"/>
      <c r="X67" s="1199"/>
      <c r="Y67" s="1199"/>
      <c r="Z67" s="1199"/>
      <c r="AA67" s="1199"/>
      <c r="AB67" s="1199"/>
      <c r="AC67" s="1199"/>
      <c r="AD67" s="1199"/>
      <c r="AE67" s="1199"/>
      <c r="AF67" s="1199"/>
      <c r="AG67" s="1199"/>
      <c r="AH67" s="1199"/>
      <c r="AI67" s="1199"/>
      <c r="AJ67" s="1199"/>
      <c r="AK67" s="1199"/>
      <c r="AL67" s="1199"/>
      <c r="AM67" s="1199"/>
      <c r="AN67" s="1199"/>
      <c r="AO67" s="1199"/>
      <c r="AP67" s="1199"/>
      <c r="AQ67" s="1199"/>
      <c r="AR67" s="1199"/>
      <c r="AS67" s="1738"/>
      <c r="AT67" s="1199"/>
      <c r="AU67" s="1199"/>
      <c r="AV67" s="1199"/>
      <c r="AW67" s="1738"/>
    </row>
    <row r="68" spans="1:49" s="1111" customFormat="1" ht="12" customHeight="1" thickBot="1">
      <c r="A68" s="1112" t="s">
        <v>811</v>
      </c>
      <c r="B68" s="1129" t="s">
        <v>812</v>
      </c>
      <c r="C68" s="1211">
        <f>SUM(E68:AS68)</f>
        <v>0</v>
      </c>
      <c r="D68" s="1106">
        <f t="shared" si="13"/>
        <v>0</v>
      </c>
      <c r="E68" s="1199"/>
      <c r="F68" s="1199"/>
      <c r="G68" s="1199"/>
      <c r="H68" s="1199"/>
      <c r="I68" s="1199"/>
      <c r="J68" s="1199"/>
      <c r="K68" s="1199"/>
      <c r="L68" s="1199"/>
      <c r="M68" s="1199"/>
      <c r="N68" s="1199"/>
      <c r="O68" s="1199"/>
      <c r="P68" s="1199"/>
      <c r="Q68" s="1199"/>
      <c r="R68" s="1199"/>
      <c r="S68" s="1199"/>
      <c r="T68" s="1199"/>
      <c r="U68" s="1199"/>
      <c r="V68" s="1199"/>
      <c r="W68" s="1199"/>
      <c r="X68" s="1199"/>
      <c r="Y68" s="1199"/>
      <c r="Z68" s="1199"/>
      <c r="AA68" s="1199"/>
      <c r="AB68" s="1199"/>
      <c r="AC68" s="1199"/>
      <c r="AD68" s="1199"/>
      <c r="AE68" s="1199"/>
      <c r="AF68" s="1199"/>
      <c r="AG68" s="1199"/>
      <c r="AH68" s="1199"/>
      <c r="AI68" s="1199"/>
      <c r="AJ68" s="1199"/>
      <c r="AK68" s="1199"/>
      <c r="AL68" s="1199"/>
      <c r="AM68" s="1199"/>
      <c r="AN68" s="1199"/>
      <c r="AO68" s="1199"/>
      <c r="AP68" s="1199"/>
      <c r="AQ68" s="1199"/>
      <c r="AR68" s="1199"/>
      <c r="AS68" s="1738"/>
      <c r="AT68" s="1199"/>
      <c r="AU68" s="1199"/>
      <c r="AV68" s="1199"/>
      <c r="AW68" s="1738"/>
    </row>
    <row r="69" spans="1:49" s="1111" customFormat="1" ht="12" customHeight="1" thickBot="1">
      <c r="A69" s="1128" t="s">
        <v>813</v>
      </c>
      <c r="B69" s="1114" t="s">
        <v>814</v>
      </c>
      <c r="C69" s="1101">
        <f>SUM(C70:C73)</f>
        <v>0</v>
      </c>
      <c r="D69" s="1102">
        <f>SUM(D70:D73)</f>
        <v>0</v>
      </c>
      <c r="E69" s="1199"/>
      <c r="F69" s="1199"/>
      <c r="G69" s="1199"/>
      <c r="H69" s="1199"/>
      <c r="I69" s="1199"/>
      <c r="J69" s="1199"/>
      <c r="K69" s="1199"/>
      <c r="L69" s="1199"/>
      <c r="M69" s="1199"/>
      <c r="N69" s="1199"/>
      <c r="O69" s="1199"/>
      <c r="P69" s="1199"/>
      <c r="Q69" s="1199"/>
      <c r="R69" s="1199"/>
      <c r="S69" s="1199"/>
      <c r="T69" s="1199"/>
      <c r="U69" s="1199"/>
      <c r="V69" s="1199"/>
      <c r="W69" s="1199"/>
      <c r="X69" s="1199"/>
      <c r="Y69" s="1199"/>
      <c r="Z69" s="1199"/>
      <c r="AA69" s="1199"/>
      <c r="AB69" s="1199"/>
      <c r="AC69" s="1199"/>
      <c r="AD69" s="1199"/>
      <c r="AE69" s="1199"/>
      <c r="AF69" s="1199"/>
      <c r="AG69" s="1199"/>
      <c r="AH69" s="1199"/>
      <c r="AI69" s="1199"/>
      <c r="AJ69" s="1199"/>
      <c r="AK69" s="1199"/>
      <c r="AL69" s="1199"/>
      <c r="AM69" s="1199"/>
      <c r="AN69" s="1199"/>
      <c r="AO69" s="1199"/>
      <c r="AP69" s="1199"/>
      <c r="AQ69" s="1199"/>
      <c r="AR69" s="1199"/>
      <c r="AS69" s="1738"/>
      <c r="AT69" s="1199"/>
      <c r="AU69" s="1199"/>
      <c r="AV69" s="1199"/>
      <c r="AW69" s="1738"/>
    </row>
    <row r="70" spans="1:49" s="1111" customFormat="1" ht="12" customHeight="1">
      <c r="A70" s="1152" t="s">
        <v>815</v>
      </c>
      <c r="B70" s="1752" t="s">
        <v>816</v>
      </c>
      <c r="C70" s="1753">
        <f>SUM(E70:AS70)</f>
        <v>0</v>
      </c>
      <c r="D70" s="1749">
        <f t="shared" ref="D70:D73" si="14">C70+SUM(AT70:AW70)</f>
        <v>0</v>
      </c>
      <c r="E70" s="1199"/>
      <c r="F70" s="1199"/>
      <c r="G70" s="1199"/>
      <c r="H70" s="1199"/>
      <c r="I70" s="1199"/>
      <c r="J70" s="1199"/>
      <c r="K70" s="1199"/>
      <c r="L70" s="1199"/>
      <c r="M70" s="1199"/>
      <c r="N70" s="1199"/>
      <c r="O70" s="1199"/>
      <c r="P70" s="1199"/>
      <c r="Q70" s="1199"/>
      <c r="R70" s="1199"/>
      <c r="S70" s="1199"/>
      <c r="T70" s="1199"/>
      <c r="U70" s="1199"/>
      <c r="V70" s="1199"/>
      <c r="W70" s="1199"/>
      <c r="X70" s="1199"/>
      <c r="Y70" s="1199"/>
      <c r="Z70" s="1199"/>
      <c r="AA70" s="1199"/>
      <c r="AB70" s="1199"/>
      <c r="AC70" s="1199"/>
      <c r="AD70" s="1199"/>
      <c r="AE70" s="1199"/>
      <c r="AF70" s="1199"/>
      <c r="AG70" s="1199"/>
      <c r="AH70" s="1199"/>
      <c r="AI70" s="1199"/>
      <c r="AJ70" s="1199"/>
      <c r="AK70" s="1199"/>
      <c r="AL70" s="1199"/>
      <c r="AM70" s="1199"/>
      <c r="AN70" s="1199"/>
      <c r="AO70" s="1199"/>
      <c r="AP70" s="1199"/>
      <c r="AQ70" s="1199"/>
      <c r="AR70" s="1199"/>
      <c r="AS70" s="1738"/>
      <c r="AT70" s="1199"/>
      <c r="AU70" s="1199"/>
      <c r="AV70" s="1199"/>
      <c r="AW70" s="1738"/>
    </row>
    <row r="71" spans="1:49" s="1111" customFormat="1" ht="12" customHeight="1">
      <c r="A71" s="1108" t="s">
        <v>817</v>
      </c>
      <c r="B71" s="1109" t="s">
        <v>818</v>
      </c>
      <c r="C71" s="1211">
        <f>SUM(E71:AS71)</f>
        <v>0</v>
      </c>
      <c r="D71" s="1106">
        <f t="shared" si="14"/>
        <v>0</v>
      </c>
      <c r="E71" s="1199"/>
      <c r="F71" s="1199"/>
      <c r="G71" s="1199"/>
      <c r="H71" s="1199"/>
      <c r="I71" s="1199"/>
      <c r="J71" s="1199"/>
      <c r="K71" s="1199"/>
      <c r="L71" s="1199"/>
      <c r="M71" s="1199"/>
      <c r="N71" s="1199"/>
      <c r="O71" s="1199"/>
      <c r="P71" s="1199"/>
      <c r="Q71" s="1199"/>
      <c r="R71" s="1199"/>
      <c r="S71" s="1199"/>
      <c r="T71" s="1199"/>
      <c r="U71" s="1199"/>
      <c r="V71" s="1199"/>
      <c r="W71" s="1199"/>
      <c r="X71" s="1199"/>
      <c r="Y71" s="1199"/>
      <c r="Z71" s="1199"/>
      <c r="AA71" s="1199"/>
      <c r="AB71" s="1199"/>
      <c r="AC71" s="1199"/>
      <c r="AD71" s="1199"/>
      <c r="AE71" s="1199"/>
      <c r="AF71" s="1199"/>
      <c r="AG71" s="1199"/>
      <c r="AH71" s="1199"/>
      <c r="AI71" s="1199"/>
      <c r="AJ71" s="1199"/>
      <c r="AK71" s="1199"/>
      <c r="AL71" s="1199"/>
      <c r="AM71" s="1199"/>
      <c r="AN71" s="1199"/>
      <c r="AO71" s="1199"/>
      <c r="AP71" s="1199"/>
      <c r="AQ71" s="1199"/>
      <c r="AR71" s="1199"/>
      <c r="AS71" s="1738"/>
      <c r="AT71" s="1199"/>
      <c r="AU71" s="1199"/>
      <c r="AV71" s="1199"/>
      <c r="AW71" s="1738"/>
    </row>
    <row r="72" spans="1:49" s="1111" customFormat="1" ht="12" customHeight="1">
      <c r="A72" s="1108" t="s">
        <v>819</v>
      </c>
      <c r="B72" s="1109" t="s">
        <v>820</v>
      </c>
      <c r="C72" s="1211">
        <f>SUM(E72:AS72)</f>
        <v>0</v>
      </c>
      <c r="D72" s="1106">
        <f t="shared" si="14"/>
        <v>0</v>
      </c>
      <c r="E72" s="1199"/>
      <c r="F72" s="1199"/>
      <c r="G72" s="1199"/>
      <c r="H72" s="1199"/>
      <c r="I72" s="1199"/>
      <c r="J72" s="1199"/>
      <c r="K72" s="1199"/>
      <c r="L72" s="1199"/>
      <c r="M72" s="1199"/>
      <c r="N72" s="1199"/>
      <c r="O72" s="1199"/>
      <c r="P72" s="1199"/>
      <c r="Q72" s="1199"/>
      <c r="R72" s="1199"/>
      <c r="S72" s="1199"/>
      <c r="T72" s="1199"/>
      <c r="U72" s="1199"/>
      <c r="V72" s="1199"/>
      <c r="W72" s="1199"/>
      <c r="X72" s="1199"/>
      <c r="Y72" s="1199"/>
      <c r="Z72" s="1199"/>
      <c r="AA72" s="1199"/>
      <c r="AB72" s="1199"/>
      <c r="AC72" s="1199"/>
      <c r="AD72" s="1199"/>
      <c r="AE72" s="1199"/>
      <c r="AF72" s="1199"/>
      <c r="AG72" s="1199"/>
      <c r="AH72" s="1199"/>
      <c r="AI72" s="1199"/>
      <c r="AJ72" s="1199"/>
      <c r="AK72" s="1199"/>
      <c r="AL72" s="1199"/>
      <c r="AM72" s="1199"/>
      <c r="AN72" s="1199"/>
      <c r="AO72" s="1199"/>
      <c r="AP72" s="1199"/>
      <c r="AQ72" s="1199"/>
      <c r="AR72" s="1199"/>
      <c r="AS72" s="1738"/>
      <c r="AT72" s="1199"/>
      <c r="AU72" s="1199"/>
      <c r="AV72" s="1199"/>
      <c r="AW72" s="1738"/>
    </row>
    <row r="73" spans="1:49" s="1111" customFormat="1" ht="12" customHeight="1" thickBot="1">
      <c r="A73" s="1130" t="s">
        <v>821</v>
      </c>
      <c r="B73" s="1131" t="s">
        <v>822</v>
      </c>
      <c r="C73" s="1211">
        <f>SUM(E73:AS73)</f>
        <v>0</v>
      </c>
      <c r="D73" s="1106">
        <f t="shared" si="14"/>
        <v>0</v>
      </c>
      <c r="E73" s="1199"/>
      <c r="F73" s="1199"/>
      <c r="G73" s="1199"/>
      <c r="H73" s="1199"/>
      <c r="I73" s="1199"/>
      <c r="J73" s="1199"/>
      <c r="K73" s="1199"/>
      <c r="L73" s="1199"/>
      <c r="M73" s="1199"/>
      <c r="N73" s="1199"/>
      <c r="O73" s="1199"/>
      <c r="P73" s="1199"/>
      <c r="Q73" s="1199"/>
      <c r="R73" s="1199"/>
      <c r="S73" s="1199"/>
      <c r="T73" s="1199"/>
      <c r="U73" s="1199"/>
      <c r="V73" s="1199"/>
      <c r="W73" s="1199"/>
      <c r="X73" s="1199"/>
      <c r="Y73" s="1199"/>
      <c r="Z73" s="1199"/>
      <c r="AA73" s="1199"/>
      <c r="AB73" s="1199"/>
      <c r="AC73" s="1199"/>
      <c r="AD73" s="1199"/>
      <c r="AE73" s="1199"/>
      <c r="AF73" s="1199"/>
      <c r="AG73" s="1199"/>
      <c r="AH73" s="1199"/>
      <c r="AI73" s="1199"/>
      <c r="AJ73" s="1199"/>
      <c r="AK73" s="1199"/>
      <c r="AL73" s="1199"/>
      <c r="AM73" s="1199"/>
      <c r="AN73" s="1199"/>
      <c r="AO73" s="1199"/>
      <c r="AP73" s="1199"/>
      <c r="AQ73" s="1199"/>
      <c r="AR73" s="1199"/>
      <c r="AS73" s="1738"/>
      <c r="AT73" s="1199"/>
      <c r="AU73" s="1199"/>
      <c r="AV73" s="1199"/>
      <c r="AW73" s="1738"/>
    </row>
    <row r="74" spans="1:49" s="1111" customFormat="1" ht="12" customHeight="1" thickBot="1">
      <c r="A74" s="1128" t="s">
        <v>823</v>
      </c>
      <c r="B74" s="1114" t="s">
        <v>824</v>
      </c>
      <c r="C74" s="1101">
        <f>SUM(C75:C76)</f>
        <v>23805101</v>
      </c>
      <c r="D74" s="1102">
        <f>SUM(D75:D76)</f>
        <v>50071924</v>
      </c>
      <c r="E74" s="1199"/>
      <c r="F74" s="1199"/>
      <c r="G74" s="1199"/>
      <c r="H74" s="1199"/>
      <c r="I74" s="1199"/>
      <c r="J74" s="1199"/>
      <c r="K74" s="1199"/>
      <c r="L74" s="1199"/>
      <c r="M74" s="1199"/>
      <c r="N74" s="1199"/>
      <c r="O74" s="1199"/>
      <c r="P74" s="1199"/>
      <c r="Q74" s="1199"/>
      <c r="R74" s="1199"/>
      <c r="S74" s="1199"/>
      <c r="T74" s="1199"/>
      <c r="U74" s="1199"/>
      <c r="V74" s="1199"/>
      <c r="W74" s="1199"/>
      <c r="X74" s="1199"/>
      <c r="Y74" s="1199"/>
      <c r="Z74" s="1199"/>
      <c r="AA74" s="1199"/>
      <c r="AB74" s="1199"/>
      <c r="AC74" s="1199"/>
      <c r="AD74" s="1199"/>
      <c r="AE74" s="1199"/>
      <c r="AF74" s="1199"/>
      <c r="AG74" s="1199"/>
      <c r="AH74" s="1199"/>
      <c r="AI74" s="1199"/>
      <c r="AJ74" s="1199"/>
      <c r="AK74" s="1199"/>
      <c r="AL74" s="1199"/>
      <c r="AM74" s="1199"/>
      <c r="AN74" s="1199"/>
      <c r="AO74" s="1199"/>
      <c r="AP74" s="1199"/>
      <c r="AQ74" s="1199"/>
      <c r="AR74" s="1199"/>
      <c r="AS74" s="1738"/>
      <c r="AT74" s="1199"/>
      <c r="AU74" s="1199"/>
      <c r="AV74" s="1199"/>
      <c r="AW74" s="1738"/>
    </row>
    <row r="75" spans="1:49" s="1111" customFormat="1" ht="12" customHeight="1">
      <c r="A75" s="1103" t="s">
        <v>825</v>
      </c>
      <c r="B75" s="1104" t="s">
        <v>826</v>
      </c>
      <c r="C75" s="1211">
        <f>SUM(E75:AS75)</f>
        <v>23805101</v>
      </c>
      <c r="D75" s="1106">
        <f t="shared" ref="D75:D76" si="15">C75+SUM(AT75:AW75)</f>
        <v>50071924</v>
      </c>
      <c r="E75" s="1199"/>
      <c r="F75" s="1199"/>
      <c r="G75" s="1199"/>
      <c r="H75" s="1199"/>
      <c r="I75" s="1199"/>
      <c r="J75" s="1199"/>
      <c r="K75" s="1199"/>
      <c r="L75" s="1199">
        <v>23805101</v>
      </c>
      <c r="M75" s="1199"/>
      <c r="N75" s="1199"/>
      <c r="O75" s="1199"/>
      <c r="P75" s="1199"/>
      <c r="Q75" s="1199"/>
      <c r="R75" s="1199"/>
      <c r="S75" s="1199"/>
      <c r="T75" s="1199"/>
      <c r="U75" s="1199"/>
      <c r="V75" s="1199"/>
      <c r="W75" s="1199"/>
      <c r="X75" s="1199"/>
      <c r="Y75" s="1199"/>
      <c r="Z75" s="1199"/>
      <c r="AA75" s="1199"/>
      <c r="AB75" s="1199"/>
      <c r="AC75" s="1199"/>
      <c r="AD75" s="1199"/>
      <c r="AE75" s="1199"/>
      <c r="AF75" s="1199"/>
      <c r="AG75" s="1199"/>
      <c r="AH75" s="1199"/>
      <c r="AI75" s="1199"/>
      <c r="AJ75" s="1199"/>
      <c r="AK75" s="1199"/>
      <c r="AL75" s="1199"/>
      <c r="AM75" s="1199"/>
      <c r="AN75" s="1199"/>
      <c r="AO75" s="1199"/>
      <c r="AP75" s="1199"/>
      <c r="AQ75" s="1199"/>
      <c r="AR75" s="1199"/>
      <c r="AS75" s="1738"/>
      <c r="AT75" s="1199"/>
      <c r="AU75" s="1199"/>
      <c r="AV75" s="1199">
        <v>26266823</v>
      </c>
      <c r="AW75" s="1738"/>
    </row>
    <row r="76" spans="1:49" s="1111" customFormat="1" ht="12" customHeight="1" thickBot="1">
      <c r="A76" s="1112" t="s">
        <v>827</v>
      </c>
      <c r="B76" s="1113" t="s">
        <v>828</v>
      </c>
      <c r="C76" s="1211">
        <f>SUM(E76:AS76)</f>
        <v>0</v>
      </c>
      <c r="D76" s="1106">
        <f t="shared" si="15"/>
        <v>0</v>
      </c>
      <c r="E76" s="1199"/>
      <c r="F76" s="1199"/>
      <c r="G76" s="1199"/>
      <c r="H76" s="1199"/>
      <c r="I76" s="1199"/>
      <c r="J76" s="1199"/>
      <c r="K76" s="1199"/>
      <c r="L76" s="1199"/>
      <c r="M76" s="1199"/>
      <c r="N76" s="1199"/>
      <c r="O76" s="1199"/>
      <c r="P76" s="1199"/>
      <c r="Q76" s="1199"/>
      <c r="R76" s="1199"/>
      <c r="S76" s="1199"/>
      <c r="T76" s="1199"/>
      <c r="U76" s="1199"/>
      <c r="V76" s="1199"/>
      <c r="W76" s="1199"/>
      <c r="X76" s="1199"/>
      <c r="Y76" s="1199"/>
      <c r="Z76" s="1199"/>
      <c r="AA76" s="1199"/>
      <c r="AB76" s="1199"/>
      <c r="AC76" s="1199"/>
      <c r="AD76" s="1199"/>
      <c r="AE76" s="1199"/>
      <c r="AF76" s="1199"/>
      <c r="AG76" s="1199"/>
      <c r="AH76" s="1199"/>
      <c r="AI76" s="1199"/>
      <c r="AJ76" s="1199"/>
      <c r="AK76" s="1199"/>
      <c r="AL76" s="1199"/>
      <c r="AM76" s="1199"/>
      <c r="AN76" s="1199"/>
      <c r="AO76" s="1199"/>
      <c r="AP76" s="1199"/>
      <c r="AQ76" s="1199"/>
      <c r="AR76" s="1199"/>
      <c r="AS76" s="1738"/>
      <c r="AT76" s="1199"/>
      <c r="AU76" s="1199"/>
      <c r="AV76" s="1199"/>
      <c r="AW76" s="1738"/>
    </row>
    <row r="77" spans="1:49" s="1107" customFormat="1" ht="12" customHeight="1" thickBot="1">
      <c r="A77" s="1128" t="s">
        <v>829</v>
      </c>
      <c r="B77" s="1114" t="s">
        <v>830</v>
      </c>
      <c r="C77" s="1101">
        <f>SUM(C78:C80)</f>
        <v>0</v>
      </c>
      <c r="D77" s="1102">
        <f>SUM(D78:D80)</f>
        <v>0</v>
      </c>
      <c r="E77" s="1199"/>
      <c r="F77" s="1199"/>
      <c r="G77" s="1199"/>
      <c r="H77" s="1199"/>
      <c r="I77" s="1199"/>
      <c r="J77" s="1199"/>
      <c r="K77" s="1199"/>
      <c r="L77" s="1199"/>
      <c r="M77" s="1199"/>
      <c r="N77" s="1199"/>
      <c r="O77" s="1199"/>
      <c r="P77" s="1199"/>
      <c r="Q77" s="1199"/>
      <c r="R77" s="1199"/>
      <c r="S77" s="1199"/>
      <c r="T77" s="1199"/>
      <c r="U77" s="1199"/>
      <c r="V77" s="1199"/>
      <c r="W77" s="1199"/>
      <c r="X77" s="1199"/>
      <c r="Y77" s="1199"/>
      <c r="Z77" s="1206"/>
      <c r="AA77" s="1206"/>
      <c r="AB77" s="1206"/>
      <c r="AC77" s="1206"/>
      <c r="AD77" s="1206"/>
      <c r="AE77" s="1206"/>
      <c r="AF77" s="1206"/>
      <c r="AG77" s="1206"/>
      <c r="AH77" s="1206"/>
      <c r="AI77" s="1206"/>
      <c r="AJ77" s="1206"/>
      <c r="AK77" s="1206"/>
      <c r="AL77" s="1206"/>
      <c r="AM77" s="1206"/>
      <c r="AN77" s="1206"/>
      <c r="AO77" s="1206"/>
      <c r="AP77" s="1206"/>
      <c r="AQ77" s="1206"/>
      <c r="AR77" s="1206"/>
      <c r="AS77" s="1746"/>
      <c r="AT77" s="1199"/>
      <c r="AU77" s="1199"/>
      <c r="AV77" s="1199"/>
      <c r="AW77" s="1738"/>
    </row>
    <row r="78" spans="1:49" s="1111" customFormat="1" ht="12" customHeight="1">
      <c r="A78" s="1103" t="s">
        <v>831</v>
      </c>
      <c r="B78" s="1104" t="s">
        <v>832</v>
      </c>
      <c r="C78" s="1211">
        <f>SUM(E78:AS78)</f>
        <v>0</v>
      </c>
      <c r="D78" s="1106">
        <f t="shared" ref="D78:D80" si="16">C78+SUM(AT78:AW78)</f>
        <v>0</v>
      </c>
      <c r="E78" s="1199"/>
      <c r="F78" s="1199"/>
      <c r="G78" s="1199"/>
      <c r="H78" s="1199"/>
      <c r="I78" s="1199"/>
      <c r="J78" s="1199"/>
      <c r="K78" s="1199"/>
      <c r="L78" s="1199"/>
      <c r="M78" s="1199"/>
      <c r="N78" s="1199"/>
      <c r="O78" s="1199"/>
      <c r="P78" s="1199"/>
      <c r="Q78" s="1199"/>
      <c r="R78" s="1199"/>
      <c r="S78" s="1199"/>
      <c r="T78" s="1199"/>
      <c r="U78" s="1199"/>
      <c r="V78" s="1199"/>
      <c r="W78" s="1199"/>
      <c r="X78" s="1199"/>
      <c r="Y78" s="1199"/>
      <c r="Z78" s="1199"/>
      <c r="AA78" s="1199"/>
      <c r="AB78" s="1199"/>
      <c r="AC78" s="1199"/>
      <c r="AD78" s="1199"/>
      <c r="AE78" s="1199"/>
      <c r="AF78" s="1199"/>
      <c r="AG78" s="1199"/>
      <c r="AH78" s="1199"/>
      <c r="AI78" s="1199"/>
      <c r="AJ78" s="1199"/>
      <c r="AK78" s="1199"/>
      <c r="AL78" s="1199"/>
      <c r="AM78" s="1199"/>
      <c r="AN78" s="1199"/>
      <c r="AO78" s="1199"/>
      <c r="AP78" s="1199"/>
      <c r="AQ78" s="1199"/>
      <c r="AR78" s="1199"/>
      <c r="AS78" s="1738"/>
      <c r="AT78" s="1199"/>
      <c r="AU78" s="1199"/>
      <c r="AV78" s="1199"/>
      <c r="AW78" s="1738"/>
    </row>
    <row r="79" spans="1:49" s="1111" customFormat="1" ht="12" customHeight="1">
      <c r="A79" s="1108" t="s">
        <v>833</v>
      </c>
      <c r="B79" s="1109" t="s">
        <v>834</v>
      </c>
      <c r="C79" s="1211">
        <f>SUM(E79:AS79)</f>
        <v>0</v>
      </c>
      <c r="D79" s="1106">
        <f t="shared" si="16"/>
        <v>0</v>
      </c>
      <c r="E79" s="1199"/>
      <c r="F79" s="1199"/>
      <c r="G79" s="1199"/>
      <c r="H79" s="1199"/>
      <c r="I79" s="1199"/>
      <c r="J79" s="1199"/>
      <c r="K79" s="1199"/>
      <c r="L79" s="1199"/>
      <c r="M79" s="1199"/>
      <c r="N79" s="1199"/>
      <c r="O79" s="1199"/>
      <c r="P79" s="1199"/>
      <c r="Q79" s="1199"/>
      <c r="R79" s="1199"/>
      <c r="S79" s="1199"/>
      <c r="T79" s="1199"/>
      <c r="U79" s="1199"/>
      <c r="V79" s="1199"/>
      <c r="W79" s="1199"/>
      <c r="X79" s="1199"/>
      <c r="Y79" s="1199"/>
      <c r="Z79" s="1199"/>
      <c r="AA79" s="1199"/>
      <c r="AB79" s="1199"/>
      <c r="AC79" s="1199"/>
      <c r="AD79" s="1199"/>
      <c r="AE79" s="1199"/>
      <c r="AF79" s="1199"/>
      <c r="AG79" s="1199"/>
      <c r="AH79" s="1199"/>
      <c r="AI79" s="1199"/>
      <c r="AJ79" s="1199"/>
      <c r="AK79" s="1199"/>
      <c r="AL79" s="1199"/>
      <c r="AM79" s="1199"/>
      <c r="AN79" s="1199"/>
      <c r="AO79" s="1199"/>
      <c r="AP79" s="1199"/>
      <c r="AQ79" s="1199"/>
      <c r="AR79" s="1199"/>
      <c r="AS79" s="1738"/>
      <c r="AT79" s="1199"/>
      <c r="AU79" s="1199"/>
      <c r="AV79" s="1199"/>
      <c r="AW79" s="1738"/>
    </row>
    <row r="80" spans="1:49" s="1111" customFormat="1" ht="12" customHeight="1" thickBot="1">
      <c r="A80" s="1112" t="s">
        <v>835</v>
      </c>
      <c r="B80" s="1113" t="s">
        <v>836</v>
      </c>
      <c r="C80" s="1211">
        <f>SUM(E80:AS80)</f>
        <v>0</v>
      </c>
      <c r="D80" s="1106">
        <f t="shared" si="16"/>
        <v>0</v>
      </c>
      <c r="E80" s="1199"/>
      <c r="F80" s="1199"/>
      <c r="G80" s="1199"/>
      <c r="H80" s="1199"/>
      <c r="I80" s="1199"/>
      <c r="J80" s="1199"/>
      <c r="K80" s="1199"/>
      <c r="L80" s="1199"/>
      <c r="M80" s="1199"/>
      <c r="N80" s="1199"/>
      <c r="O80" s="1199"/>
      <c r="P80" s="1199"/>
      <c r="Q80" s="1199"/>
      <c r="R80" s="1199"/>
      <c r="S80" s="1199"/>
      <c r="T80" s="1199"/>
      <c r="U80" s="1199"/>
      <c r="V80" s="1199"/>
      <c r="W80" s="1199"/>
      <c r="X80" s="1199"/>
      <c r="Y80" s="1199"/>
      <c r="Z80" s="1199"/>
      <c r="AA80" s="1199"/>
      <c r="AB80" s="1199"/>
      <c r="AC80" s="1199"/>
      <c r="AD80" s="1199"/>
      <c r="AE80" s="1199"/>
      <c r="AF80" s="1199"/>
      <c r="AG80" s="1199"/>
      <c r="AH80" s="1199"/>
      <c r="AI80" s="1199"/>
      <c r="AJ80" s="1199"/>
      <c r="AK80" s="1199"/>
      <c r="AL80" s="1199"/>
      <c r="AM80" s="1199"/>
      <c r="AN80" s="1199"/>
      <c r="AO80" s="1199"/>
      <c r="AP80" s="1199"/>
      <c r="AQ80" s="1199"/>
      <c r="AR80" s="1199"/>
      <c r="AS80" s="1738"/>
      <c r="AT80" s="1199"/>
      <c r="AU80" s="1199"/>
      <c r="AV80" s="1199"/>
      <c r="AW80" s="1738"/>
    </row>
    <row r="81" spans="1:53" s="1111" customFormat="1" ht="12" customHeight="1" thickBot="1">
      <c r="A81" s="1128" t="s">
        <v>837</v>
      </c>
      <c r="B81" s="1114" t="s">
        <v>838</v>
      </c>
      <c r="C81" s="1101">
        <f>SUM(C82:C85)</f>
        <v>0</v>
      </c>
      <c r="D81" s="1102">
        <f>SUM(D82:D85)</f>
        <v>0</v>
      </c>
      <c r="E81" s="1199"/>
      <c r="F81" s="1199"/>
      <c r="G81" s="1199"/>
      <c r="H81" s="1199"/>
      <c r="I81" s="1199"/>
      <c r="J81" s="1199"/>
      <c r="K81" s="1199"/>
      <c r="L81" s="1199"/>
      <c r="M81" s="1199"/>
      <c r="N81" s="1199"/>
      <c r="O81" s="1199"/>
      <c r="P81" s="1199"/>
      <c r="Q81" s="1199"/>
      <c r="R81" s="1199"/>
      <c r="S81" s="1199"/>
      <c r="T81" s="1199"/>
      <c r="U81" s="1199"/>
      <c r="V81" s="1199"/>
      <c r="W81" s="1199"/>
      <c r="X81" s="1199"/>
      <c r="Y81" s="1199"/>
      <c r="Z81" s="1199"/>
      <c r="AA81" s="1199"/>
      <c r="AB81" s="1199"/>
      <c r="AC81" s="1199"/>
      <c r="AD81" s="1199"/>
      <c r="AE81" s="1199"/>
      <c r="AF81" s="1199"/>
      <c r="AG81" s="1199"/>
      <c r="AH81" s="1199"/>
      <c r="AI81" s="1199"/>
      <c r="AJ81" s="1199"/>
      <c r="AK81" s="1199"/>
      <c r="AL81" s="1199"/>
      <c r="AM81" s="1199"/>
      <c r="AN81" s="1199"/>
      <c r="AO81" s="1199"/>
      <c r="AP81" s="1199"/>
      <c r="AQ81" s="1199"/>
      <c r="AR81" s="1199"/>
      <c r="AS81" s="1738"/>
      <c r="AT81" s="1199"/>
      <c r="AU81" s="1199"/>
      <c r="AV81" s="1199"/>
      <c r="AW81" s="1738"/>
    </row>
    <row r="82" spans="1:53" s="1111" customFormat="1" ht="12" customHeight="1">
      <c r="A82" s="1133" t="s">
        <v>839</v>
      </c>
      <c r="B82" s="1104" t="s">
        <v>840</v>
      </c>
      <c r="C82" s="1211">
        <f>SUM(E82:AS82)</f>
        <v>0</v>
      </c>
      <c r="D82" s="1106">
        <f t="shared" ref="D82:D85" si="17">C82+SUM(AT82:AW82)</f>
        <v>0</v>
      </c>
      <c r="E82" s="1199"/>
      <c r="F82" s="1199"/>
      <c r="G82" s="1199"/>
      <c r="H82" s="1199"/>
      <c r="I82" s="1199"/>
      <c r="J82" s="1199"/>
      <c r="K82" s="1199"/>
      <c r="L82" s="1199"/>
      <c r="M82" s="1199"/>
      <c r="N82" s="1199"/>
      <c r="O82" s="1199"/>
      <c r="P82" s="1199"/>
      <c r="Q82" s="1199"/>
      <c r="R82" s="1199"/>
      <c r="S82" s="1199"/>
      <c r="T82" s="1199"/>
      <c r="U82" s="1199"/>
      <c r="V82" s="1199"/>
      <c r="W82" s="1199"/>
      <c r="X82" s="1199"/>
      <c r="Y82" s="1199"/>
      <c r="Z82" s="1199"/>
      <c r="AA82" s="1199"/>
      <c r="AB82" s="1199"/>
      <c r="AC82" s="1199"/>
      <c r="AD82" s="1199"/>
      <c r="AE82" s="1199"/>
      <c r="AF82" s="1199"/>
      <c r="AG82" s="1199"/>
      <c r="AH82" s="1199"/>
      <c r="AI82" s="1199"/>
      <c r="AJ82" s="1199"/>
      <c r="AK82" s="1199"/>
      <c r="AL82" s="1199"/>
      <c r="AM82" s="1199"/>
      <c r="AN82" s="1199"/>
      <c r="AO82" s="1199"/>
      <c r="AP82" s="1199"/>
      <c r="AQ82" s="1199"/>
      <c r="AR82" s="1199"/>
      <c r="AS82" s="1738"/>
      <c r="AT82" s="1199"/>
      <c r="AU82" s="1199"/>
      <c r="AV82" s="1199"/>
      <c r="AW82" s="1738"/>
    </row>
    <row r="83" spans="1:53" s="1111" customFormat="1" ht="12" customHeight="1">
      <c r="A83" s="1134" t="s">
        <v>841</v>
      </c>
      <c r="B83" s="1109" t="s">
        <v>842</v>
      </c>
      <c r="C83" s="1211">
        <f>SUM(E83:AS83)</f>
        <v>0</v>
      </c>
      <c r="D83" s="1106">
        <f t="shared" si="17"/>
        <v>0</v>
      </c>
      <c r="E83" s="1199"/>
      <c r="F83" s="1199"/>
      <c r="G83" s="1199"/>
      <c r="H83" s="1199"/>
      <c r="I83" s="1199"/>
      <c r="J83" s="1199"/>
      <c r="K83" s="1199"/>
      <c r="L83" s="1199"/>
      <c r="M83" s="1199"/>
      <c r="N83" s="1199"/>
      <c r="O83" s="1199"/>
      <c r="P83" s="1199"/>
      <c r="Q83" s="1199"/>
      <c r="R83" s="1199"/>
      <c r="S83" s="1199"/>
      <c r="T83" s="1199"/>
      <c r="U83" s="1199"/>
      <c r="V83" s="1199"/>
      <c r="W83" s="1199"/>
      <c r="X83" s="1199"/>
      <c r="Y83" s="1199"/>
      <c r="Z83" s="1199"/>
      <c r="AA83" s="1199"/>
      <c r="AB83" s="1199"/>
      <c r="AC83" s="1199"/>
      <c r="AD83" s="1199"/>
      <c r="AE83" s="1199"/>
      <c r="AF83" s="1199"/>
      <c r="AG83" s="1199"/>
      <c r="AH83" s="1199"/>
      <c r="AI83" s="1199"/>
      <c r="AJ83" s="1199"/>
      <c r="AK83" s="1199"/>
      <c r="AL83" s="1199"/>
      <c r="AM83" s="1199"/>
      <c r="AN83" s="1199"/>
      <c r="AO83" s="1199"/>
      <c r="AP83" s="1199"/>
      <c r="AQ83" s="1199"/>
      <c r="AR83" s="1199"/>
      <c r="AS83" s="1738"/>
      <c r="AT83" s="1199"/>
      <c r="AU83" s="1199"/>
      <c r="AV83" s="1199"/>
      <c r="AW83" s="1738"/>
    </row>
    <row r="84" spans="1:53" s="1111" customFormat="1" ht="12" customHeight="1">
      <c r="A84" s="1134" t="s">
        <v>843</v>
      </c>
      <c r="B84" s="1109" t="s">
        <v>844</v>
      </c>
      <c r="C84" s="1211">
        <f>SUM(E84:AS84)</f>
        <v>0</v>
      </c>
      <c r="D84" s="1106">
        <f t="shared" si="17"/>
        <v>0</v>
      </c>
      <c r="E84" s="1199"/>
      <c r="F84" s="1199"/>
      <c r="G84" s="1199"/>
      <c r="H84" s="1199"/>
      <c r="I84" s="1199"/>
      <c r="J84" s="1199"/>
      <c r="K84" s="1199"/>
      <c r="L84" s="1199"/>
      <c r="M84" s="1199"/>
      <c r="N84" s="1199"/>
      <c r="O84" s="1199"/>
      <c r="P84" s="1199"/>
      <c r="Q84" s="1199"/>
      <c r="R84" s="1199"/>
      <c r="S84" s="1199"/>
      <c r="T84" s="1199"/>
      <c r="U84" s="1199"/>
      <c r="V84" s="1199"/>
      <c r="W84" s="1199"/>
      <c r="X84" s="1199"/>
      <c r="Y84" s="1199"/>
      <c r="Z84" s="1199"/>
      <c r="AA84" s="1199"/>
      <c r="AB84" s="1199"/>
      <c r="AC84" s="1199"/>
      <c r="AD84" s="1199"/>
      <c r="AE84" s="1199"/>
      <c r="AF84" s="1199"/>
      <c r="AG84" s="1199"/>
      <c r="AH84" s="1199"/>
      <c r="AI84" s="1199"/>
      <c r="AJ84" s="1199"/>
      <c r="AK84" s="1199"/>
      <c r="AL84" s="1199"/>
      <c r="AM84" s="1199"/>
      <c r="AN84" s="1199"/>
      <c r="AO84" s="1199"/>
      <c r="AP84" s="1199"/>
      <c r="AQ84" s="1199"/>
      <c r="AR84" s="1199"/>
      <c r="AS84" s="1738"/>
      <c r="AT84" s="1199"/>
      <c r="AU84" s="1199"/>
      <c r="AV84" s="1199"/>
      <c r="AW84" s="1738"/>
    </row>
    <row r="85" spans="1:53" s="1107" customFormat="1" ht="12" customHeight="1" thickBot="1">
      <c r="A85" s="1135" t="s">
        <v>845</v>
      </c>
      <c r="B85" s="1113" t="s">
        <v>846</v>
      </c>
      <c r="C85" s="1211">
        <f>SUM(E85:AS85)</f>
        <v>0</v>
      </c>
      <c r="D85" s="1106">
        <f t="shared" si="17"/>
        <v>0</v>
      </c>
      <c r="E85" s="1199"/>
      <c r="F85" s="1199"/>
      <c r="G85" s="1199"/>
      <c r="H85" s="1199"/>
      <c r="I85" s="1199"/>
      <c r="J85" s="1199"/>
      <c r="K85" s="1199"/>
      <c r="L85" s="1199"/>
      <c r="M85" s="1199"/>
      <c r="N85" s="1199"/>
      <c r="O85" s="1199"/>
      <c r="P85" s="1199"/>
      <c r="Q85" s="1199"/>
      <c r="R85" s="1199"/>
      <c r="S85" s="1199"/>
      <c r="T85" s="1199"/>
      <c r="U85" s="1199"/>
      <c r="V85" s="1199"/>
      <c r="W85" s="1199"/>
      <c r="X85" s="1199"/>
      <c r="Y85" s="1199"/>
      <c r="Z85" s="1206"/>
      <c r="AA85" s="1206"/>
      <c r="AB85" s="1206"/>
      <c r="AC85" s="1206"/>
      <c r="AD85" s="1206"/>
      <c r="AE85" s="1206"/>
      <c r="AF85" s="1206"/>
      <c r="AG85" s="1206"/>
      <c r="AH85" s="1206"/>
      <c r="AI85" s="1206"/>
      <c r="AJ85" s="1206"/>
      <c r="AK85" s="1206"/>
      <c r="AL85" s="1206"/>
      <c r="AM85" s="1206"/>
      <c r="AN85" s="1206"/>
      <c r="AO85" s="1206"/>
      <c r="AP85" s="1206"/>
      <c r="AQ85" s="1206"/>
      <c r="AR85" s="1206"/>
      <c r="AS85" s="1746"/>
      <c r="AT85" s="1199"/>
      <c r="AU85" s="1199"/>
      <c r="AV85" s="1199"/>
      <c r="AW85" s="1738"/>
    </row>
    <row r="86" spans="1:53" s="1107" customFormat="1" ht="12" customHeight="1" thickBot="1">
      <c r="A86" s="1128" t="s">
        <v>847</v>
      </c>
      <c r="B86" s="1114" t="s">
        <v>848</v>
      </c>
      <c r="C86" s="1136"/>
      <c r="D86" s="1137"/>
      <c r="E86" s="1199"/>
      <c r="F86" s="1199"/>
      <c r="G86" s="1199"/>
      <c r="H86" s="1199"/>
      <c r="I86" s="1199"/>
      <c r="J86" s="1199"/>
      <c r="K86" s="1199"/>
      <c r="L86" s="1199"/>
      <c r="M86" s="1199"/>
      <c r="N86" s="1199"/>
      <c r="O86" s="1199"/>
      <c r="P86" s="1199"/>
      <c r="Q86" s="1199"/>
      <c r="R86" s="1199"/>
      <c r="S86" s="1199"/>
      <c r="T86" s="1199"/>
      <c r="U86" s="1199"/>
      <c r="V86" s="1199"/>
      <c r="W86" s="1199"/>
      <c r="X86" s="1199"/>
      <c r="Y86" s="1199"/>
      <c r="Z86" s="1206"/>
      <c r="AA86" s="1206"/>
      <c r="AB86" s="1206"/>
      <c r="AC86" s="1206"/>
      <c r="AD86" s="1206"/>
      <c r="AE86" s="1206"/>
      <c r="AF86" s="1206"/>
      <c r="AG86" s="1206"/>
      <c r="AH86" s="1206"/>
      <c r="AI86" s="1206"/>
      <c r="AJ86" s="1206"/>
      <c r="AK86" s="1206"/>
      <c r="AL86" s="1206"/>
      <c r="AM86" s="1206"/>
      <c r="AN86" s="1206"/>
      <c r="AO86" s="1206"/>
      <c r="AP86" s="1206"/>
      <c r="AQ86" s="1206"/>
      <c r="AR86" s="1206"/>
      <c r="AS86" s="1746"/>
      <c r="AT86" s="1199"/>
      <c r="AU86" s="1199"/>
      <c r="AV86" s="1199"/>
      <c r="AW86" s="1738"/>
    </row>
    <row r="87" spans="1:53" s="1107" customFormat="1" ht="12" customHeight="1" thickBot="1">
      <c r="A87" s="1128" t="s">
        <v>849</v>
      </c>
      <c r="B87" s="1138" t="s">
        <v>850</v>
      </c>
      <c r="C87" s="1118">
        <f>+C65+C69+C74+C77+C81+C86</f>
        <v>23805101</v>
      </c>
      <c r="D87" s="1119">
        <f>+D65+D69+D74+D77+D81+D86</f>
        <v>50071924</v>
      </c>
      <c r="E87" s="1199"/>
      <c r="F87" s="1199"/>
      <c r="G87" s="1199"/>
      <c r="H87" s="1199"/>
      <c r="I87" s="1199"/>
      <c r="J87" s="1199"/>
      <c r="K87" s="1199"/>
      <c r="L87" s="1199"/>
      <c r="M87" s="1199"/>
      <c r="N87" s="1199"/>
      <c r="O87" s="1199"/>
      <c r="P87" s="1199"/>
      <c r="Q87" s="1199"/>
      <c r="R87" s="1199"/>
      <c r="S87" s="1199"/>
      <c r="T87" s="1199"/>
      <c r="U87" s="1199"/>
      <c r="V87" s="1199"/>
      <c r="W87" s="1199"/>
      <c r="X87" s="1199"/>
      <c r="Y87" s="1199"/>
      <c r="Z87" s="1206"/>
      <c r="AA87" s="1206"/>
      <c r="AB87" s="1206"/>
      <c r="AC87" s="1206"/>
      <c r="AD87" s="1206"/>
      <c r="AE87" s="1206"/>
      <c r="AF87" s="1206"/>
      <c r="AG87" s="1206"/>
      <c r="AH87" s="1206"/>
      <c r="AI87" s="1206"/>
      <c r="AJ87" s="1206"/>
      <c r="AK87" s="1206"/>
      <c r="AL87" s="1206"/>
      <c r="AM87" s="1206"/>
      <c r="AN87" s="1206"/>
      <c r="AO87" s="1206"/>
      <c r="AP87" s="1206"/>
      <c r="AQ87" s="1206"/>
      <c r="AR87" s="1206"/>
      <c r="AS87" s="1746"/>
      <c r="AT87" s="1199"/>
      <c r="AU87" s="1199"/>
      <c r="AV87" s="1199"/>
      <c r="AW87" s="1738"/>
    </row>
    <row r="88" spans="1:53" s="1107" customFormat="1" ht="12" customHeight="1" thickBot="1">
      <c r="A88" s="1139" t="s">
        <v>851</v>
      </c>
      <c r="B88" s="1140" t="s">
        <v>852</v>
      </c>
      <c r="C88" s="1118">
        <f>+C64+C87</f>
        <v>370768584</v>
      </c>
      <c r="D88" s="1119">
        <f>+D64+D87</f>
        <v>402013647</v>
      </c>
      <c r="E88" s="1212">
        <f>SUM(E8:E87)</f>
        <v>63600000</v>
      </c>
      <c r="F88" s="1212">
        <f t="shared" ref="F88:AS88" si="18">SUM(F8:F87)</f>
        <v>538000</v>
      </c>
      <c r="G88" s="1212">
        <f t="shared" si="18"/>
        <v>39577000</v>
      </c>
      <c r="H88" s="1212">
        <f t="shared" si="18"/>
        <v>0</v>
      </c>
      <c r="I88" s="1212">
        <f>SUM(I8:I87)</f>
        <v>0</v>
      </c>
      <c r="J88" s="1212">
        <f t="shared" si="18"/>
        <v>0</v>
      </c>
      <c r="K88" s="1212">
        <f t="shared" si="18"/>
        <v>164069483</v>
      </c>
      <c r="L88" s="1212">
        <f t="shared" si="18"/>
        <v>23805101</v>
      </c>
      <c r="M88" s="1212">
        <f t="shared" si="18"/>
        <v>807000</v>
      </c>
      <c r="N88" s="1212">
        <f t="shared" si="18"/>
        <v>0</v>
      </c>
      <c r="O88" s="1212">
        <f t="shared" si="18"/>
        <v>0</v>
      </c>
      <c r="P88" s="1212">
        <f t="shared" si="18"/>
        <v>0</v>
      </c>
      <c r="Q88" s="1212">
        <f t="shared" si="18"/>
        <v>0</v>
      </c>
      <c r="R88" s="1212">
        <f t="shared" si="18"/>
        <v>0</v>
      </c>
      <c r="S88" s="1212">
        <f t="shared" si="18"/>
        <v>239000</v>
      </c>
      <c r="T88" s="1212">
        <f t="shared" si="18"/>
        <v>0</v>
      </c>
      <c r="U88" s="1212">
        <f t="shared" si="18"/>
        <v>0</v>
      </c>
      <c r="V88" s="1212">
        <f t="shared" si="18"/>
        <v>0</v>
      </c>
      <c r="W88" s="1212">
        <f t="shared" si="18"/>
        <v>0</v>
      </c>
      <c r="X88" s="1212">
        <f t="shared" si="18"/>
        <v>1138000</v>
      </c>
      <c r="Y88" s="1212">
        <f t="shared" si="18"/>
        <v>4030000</v>
      </c>
      <c r="Z88" s="1212">
        <f t="shared" si="18"/>
        <v>0</v>
      </c>
      <c r="AA88" s="1212">
        <f t="shared" si="18"/>
        <v>0</v>
      </c>
      <c r="AB88" s="1212">
        <f t="shared" si="18"/>
        <v>0</v>
      </c>
      <c r="AC88" s="1212">
        <f t="shared" si="18"/>
        <v>0</v>
      </c>
      <c r="AD88" s="1212">
        <f t="shared" si="18"/>
        <v>0</v>
      </c>
      <c r="AE88" s="1212">
        <f t="shared" si="18"/>
        <v>0</v>
      </c>
      <c r="AF88" s="1212">
        <f t="shared" si="18"/>
        <v>0</v>
      </c>
      <c r="AG88" s="1212">
        <f>SUM(AG8:AG87)</f>
        <v>0</v>
      </c>
      <c r="AH88" s="1212">
        <f t="shared" si="18"/>
        <v>0</v>
      </c>
      <c r="AI88" s="1212">
        <f t="shared" si="18"/>
        <v>0</v>
      </c>
      <c r="AJ88" s="1212">
        <f t="shared" si="18"/>
        <v>0</v>
      </c>
      <c r="AK88" s="1212">
        <f t="shared" si="18"/>
        <v>0</v>
      </c>
      <c r="AL88" s="1212">
        <f>SUM(AL8:AL87)</f>
        <v>0</v>
      </c>
      <c r="AM88" s="1212">
        <f t="shared" si="18"/>
        <v>120000</v>
      </c>
      <c r="AN88" s="1212">
        <f t="shared" si="18"/>
        <v>0</v>
      </c>
      <c r="AO88" s="1212">
        <f t="shared" si="18"/>
        <v>0</v>
      </c>
      <c r="AP88" s="1212">
        <f t="shared" si="18"/>
        <v>0</v>
      </c>
      <c r="AQ88" s="1212">
        <f t="shared" si="18"/>
        <v>0</v>
      </c>
      <c r="AR88" s="1212">
        <f t="shared" si="18"/>
        <v>72845000</v>
      </c>
      <c r="AS88" s="1747">
        <f t="shared" si="18"/>
        <v>0</v>
      </c>
      <c r="AT88" s="1218"/>
      <c r="AU88" s="1218"/>
      <c r="AV88" s="1218"/>
      <c r="AW88" s="1739"/>
      <c r="AX88" s="1212"/>
      <c r="AY88" s="1212"/>
      <c r="AZ88" s="1212"/>
      <c r="BA88" s="1212"/>
    </row>
    <row r="89" spans="1:53" s="1111" customFormat="1" ht="15" customHeight="1">
      <c r="A89" s="1141"/>
      <c r="B89" s="1142"/>
      <c r="C89" s="1143"/>
      <c r="D89" s="1143"/>
      <c r="E89" s="1213"/>
      <c r="F89" s="1213"/>
      <c r="G89" s="1213"/>
      <c r="H89" s="1213"/>
      <c r="I89" s="1213"/>
      <c r="J89" s="1213"/>
      <c r="K89" s="1213"/>
      <c r="L89" s="1213"/>
      <c r="M89" s="1213"/>
      <c r="N89" s="1213"/>
      <c r="O89" s="1213"/>
      <c r="P89" s="1213"/>
      <c r="Q89" s="1213"/>
      <c r="R89" s="1213"/>
      <c r="S89" s="1213"/>
      <c r="T89" s="1213"/>
      <c r="U89" s="1213"/>
      <c r="V89" s="1213"/>
      <c r="W89" s="1213"/>
      <c r="X89" s="1213"/>
      <c r="Y89" s="1213"/>
      <c r="Z89" s="1214"/>
      <c r="AA89" s="1214"/>
      <c r="AB89" s="1214"/>
      <c r="AC89" s="1214"/>
      <c r="AD89" s="1214"/>
      <c r="AE89" s="1214"/>
      <c r="AF89" s="1214"/>
      <c r="AG89" s="1214"/>
      <c r="AH89" s="1214"/>
      <c r="AI89" s="1214"/>
      <c r="AJ89" s="1214"/>
      <c r="AK89" s="1214"/>
      <c r="AL89" s="1214"/>
      <c r="AM89" s="1214"/>
      <c r="AN89" s="1214"/>
      <c r="AO89" s="1214"/>
      <c r="AP89" s="1214"/>
      <c r="AQ89" s="1214"/>
      <c r="AR89" s="1214"/>
      <c r="AS89" s="1748"/>
      <c r="AT89" s="1199"/>
      <c r="AU89" s="1199"/>
      <c r="AV89" s="1199"/>
      <c r="AW89" s="1738"/>
    </row>
    <row r="90" spans="1:53" ht="13.5" thickBot="1">
      <c r="A90" s="1144"/>
      <c r="B90" s="1145"/>
      <c r="C90" s="1146"/>
      <c r="D90" s="1146"/>
      <c r="AT90" s="1199"/>
      <c r="AU90" s="1199"/>
      <c r="AV90" s="1199"/>
      <c r="AW90" s="1738"/>
    </row>
    <row r="91" spans="1:53" s="1098" customFormat="1" ht="16.5" customHeight="1" thickBot="1">
      <c r="A91" s="1827" t="s">
        <v>853</v>
      </c>
      <c r="B91" s="1828"/>
      <c r="C91" s="1828"/>
      <c r="D91" s="1829"/>
      <c r="E91" s="1201"/>
      <c r="F91" s="1201"/>
      <c r="G91" s="1201"/>
      <c r="H91" s="1201"/>
      <c r="I91" s="1201"/>
      <c r="J91" s="1201"/>
      <c r="K91" s="1201"/>
      <c r="L91" s="1201"/>
      <c r="M91" s="1201"/>
      <c r="N91" s="1201"/>
      <c r="O91" s="1201"/>
      <c r="P91" s="1201"/>
      <c r="Q91" s="1201"/>
      <c r="R91" s="1201"/>
      <c r="S91" s="1201"/>
      <c r="T91" s="1201"/>
      <c r="U91" s="1201"/>
      <c r="V91" s="1201"/>
      <c r="W91" s="1201"/>
      <c r="X91" s="1201"/>
      <c r="Y91" s="1201"/>
      <c r="Z91" s="1202"/>
      <c r="AA91" s="1202"/>
      <c r="AB91" s="1202"/>
      <c r="AC91" s="1202"/>
      <c r="AD91" s="1202"/>
      <c r="AE91" s="1202"/>
      <c r="AF91" s="1202"/>
      <c r="AG91" s="1202"/>
      <c r="AH91" s="1202"/>
      <c r="AI91" s="1202"/>
      <c r="AJ91" s="1202"/>
      <c r="AK91" s="1202"/>
      <c r="AL91" s="1202"/>
      <c r="AM91" s="1202"/>
      <c r="AN91" s="1202"/>
      <c r="AO91" s="1202"/>
      <c r="AP91" s="1202"/>
      <c r="AQ91" s="1202"/>
      <c r="AR91" s="1202"/>
      <c r="AS91" s="1745"/>
      <c r="AT91" s="1205"/>
      <c r="AU91" s="1205"/>
      <c r="AV91" s="1205"/>
      <c r="AW91" s="1740"/>
    </row>
    <row r="92" spans="1:53" s="1151" customFormat="1" ht="12" customHeight="1" thickBot="1">
      <c r="A92" s="1147" t="s">
        <v>693</v>
      </c>
      <c r="B92" s="1148" t="s">
        <v>854</v>
      </c>
      <c r="C92" s="1149">
        <f>SUM(C93:C97)</f>
        <v>106523000</v>
      </c>
      <c r="D92" s="1150">
        <f>SUM(D93:D97)</f>
        <v>116743823</v>
      </c>
      <c r="E92" s="1199"/>
      <c r="F92" s="1199"/>
      <c r="G92" s="1199"/>
      <c r="H92" s="1199"/>
      <c r="I92" s="1199"/>
      <c r="J92" s="1199"/>
      <c r="K92" s="1199"/>
      <c r="L92" s="1199"/>
      <c r="M92" s="1199"/>
      <c r="N92" s="1199"/>
      <c r="O92" s="1199"/>
      <c r="P92" s="1199"/>
      <c r="Q92" s="1199"/>
      <c r="R92" s="1199"/>
      <c r="S92" s="1199"/>
      <c r="T92" s="1199"/>
      <c r="U92" s="1199"/>
      <c r="V92" s="1199"/>
      <c r="W92" s="1199"/>
      <c r="X92" s="1199"/>
      <c r="Y92" s="1199"/>
      <c r="Z92" s="1206"/>
      <c r="AA92" s="1206"/>
      <c r="AB92" s="1206"/>
      <c r="AC92" s="1206"/>
      <c r="AD92" s="1206"/>
      <c r="AE92" s="1206"/>
      <c r="AF92" s="1206"/>
      <c r="AG92" s="1206"/>
      <c r="AH92" s="1206"/>
      <c r="AI92" s="1206"/>
      <c r="AJ92" s="1206"/>
      <c r="AK92" s="1206"/>
      <c r="AL92" s="1206"/>
      <c r="AM92" s="1206"/>
      <c r="AN92" s="1206"/>
      <c r="AO92" s="1206"/>
      <c r="AP92" s="1206"/>
      <c r="AQ92" s="1206"/>
      <c r="AR92" s="1206"/>
      <c r="AS92" s="1746"/>
      <c r="AT92" s="1199"/>
      <c r="AU92" s="1199"/>
      <c r="AV92" s="1199"/>
      <c r="AW92" s="1738"/>
    </row>
    <row r="93" spans="1:53" ht="12" customHeight="1">
      <c r="A93" s="1152" t="s">
        <v>695</v>
      </c>
      <c r="B93" s="1153" t="s">
        <v>855</v>
      </c>
      <c r="C93" s="1154">
        <f>SUM(E93:AS93)</f>
        <v>30877000</v>
      </c>
      <c r="D93" s="1155">
        <f>C93+SUM(AT93:AW93)</f>
        <v>31377000</v>
      </c>
      <c r="E93" s="1199">
        <v>13737000</v>
      </c>
      <c r="F93" s="1199">
        <v>2982000</v>
      </c>
      <c r="G93" s="1199">
        <v>2206000</v>
      </c>
      <c r="J93" s="1199">
        <v>400000</v>
      </c>
      <c r="M93" s="1199">
        <v>1223000</v>
      </c>
      <c r="S93" s="1199">
        <v>1800000</v>
      </c>
      <c r="T93" s="1199">
        <v>6560000</v>
      </c>
      <c r="Z93" s="1199"/>
      <c r="AA93" s="1199"/>
      <c r="AB93" s="1199">
        <v>480000</v>
      </c>
      <c r="AC93" s="1199">
        <v>550000</v>
      </c>
      <c r="AD93" s="1199"/>
      <c r="AE93" s="1199"/>
      <c r="AF93" s="1199"/>
      <c r="AG93" s="1199"/>
      <c r="AH93" s="1199"/>
      <c r="AI93" s="1199"/>
      <c r="AJ93" s="1199"/>
      <c r="AK93" s="1199"/>
      <c r="AL93" s="1199"/>
      <c r="AM93" s="1199"/>
      <c r="AN93" s="1199"/>
      <c r="AO93" s="1199">
        <v>939000</v>
      </c>
      <c r="AP93" s="1199"/>
      <c r="AQ93" s="1199"/>
      <c r="AR93" s="1199"/>
      <c r="AS93" s="1738"/>
      <c r="AT93" s="1199"/>
      <c r="AU93" s="1199"/>
      <c r="AV93" s="1199"/>
      <c r="AW93" s="1738">
        <v>500000</v>
      </c>
    </row>
    <row r="94" spans="1:53" ht="12" customHeight="1">
      <c r="A94" s="1108" t="s">
        <v>697</v>
      </c>
      <c r="B94" s="1156" t="s">
        <v>30</v>
      </c>
      <c r="C94" s="1174">
        <f>SUM(E94:AS94)</f>
        <v>6051000</v>
      </c>
      <c r="D94" s="1116">
        <f t="shared" ref="D94:D96" si="19">C94+SUM(AT94:AW94)</f>
        <v>6151000</v>
      </c>
      <c r="E94" s="1199">
        <v>2795000</v>
      </c>
      <c r="F94" s="1199">
        <v>611000</v>
      </c>
      <c r="G94" s="1199">
        <v>227000</v>
      </c>
      <c r="J94" s="1199">
        <v>201000</v>
      </c>
      <c r="M94" s="1199">
        <v>120000</v>
      </c>
      <c r="S94" s="1199">
        <v>380000</v>
      </c>
      <c r="T94" s="1199">
        <v>1338000</v>
      </c>
      <c r="Z94" s="1199"/>
      <c r="AA94" s="1199"/>
      <c r="AB94" s="1199">
        <v>95000</v>
      </c>
      <c r="AC94" s="1199">
        <v>110000</v>
      </c>
      <c r="AD94" s="1199"/>
      <c r="AE94" s="1199"/>
      <c r="AF94" s="1199"/>
      <c r="AG94" s="1199"/>
      <c r="AH94" s="1199"/>
      <c r="AI94" s="1199"/>
      <c r="AJ94" s="1199"/>
      <c r="AK94" s="1199"/>
      <c r="AL94" s="1199"/>
      <c r="AM94" s="1199"/>
      <c r="AN94" s="1199"/>
      <c r="AO94" s="1199">
        <v>174000</v>
      </c>
      <c r="AP94" s="1199"/>
      <c r="AQ94" s="1199"/>
      <c r="AR94" s="1199"/>
      <c r="AS94" s="1738"/>
      <c r="AT94" s="1199"/>
      <c r="AU94" s="1199"/>
      <c r="AV94" s="1199"/>
      <c r="AW94" s="1738">
        <v>100000</v>
      </c>
    </row>
    <row r="95" spans="1:53" ht="12" customHeight="1">
      <c r="A95" s="1108" t="s">
        <v>699</v>
      </c>
      <c r="B95" s="1156" t="s">
        <v>856</v>
      </c>
      <c r="C95" s="1157">
        <f>SUM(E95:AS95)</f>
        <v>50122000</v>
      </c>
      <c r="D95" s="1116">
        <f t="shared" si="19"/>
        <v>57808478</v>
      </c>
      <c r="E95" s="1199">
        <v>4605000</v>
      </c>
      <c r="F95" s="1199">
        <v>825000</v>
      </c>
      <c r="G95" s="1199">
        <v>17265000</v>
      </c>
      <c r="J95" s="1199">
        <v>635000</v>
      </c>
      <c r="N95" s="1199">
        <v>762000</v>
      </c>
      <c r="O95" s="1199">
        <v>3000000</v>
      </c>
      <c r="Q95" s="1199">
        <v>150000</v>
      </c>
      <c r="R95" s="1199">
        <v>8836000</v>
      </c>
      <c r="S95" s="1199">
        <v>1928000</v>
      </c>
      <c r="T95" s="1199">
        <v>2530000</v>
      </c>
      <c r="U95" s="1199">
        <v>387000</v>
      </c>
      <c r="V95" s="1199">
        <v>601000</v>
      </c>
      <c r="W95" s="1199">
        <v>261000</v>
      </c>
      <c r="X95" s="1199">
        <v>1116000</v>
      </c>
      <c r="Y95" s="1199">
        <v>4102000</v>
      </c>
      <c r="Z95" s="1199"/>
      <c r="AA95" s="1199"/>
      <c r="AB95" s="1199">
        <v>4000</v>
      </c>
      <c r="AC95" s="1199">
        <v>1970000</v>
      </c>
      <c r="AD95" s="1199">
        <v>1143000</v>
      </c>
      <c r="AE95" s="1199"/>
      <c r="AF95" s="1199"/>
      <c r="AG95" s="1199"/>
      <c r="AH95" s="1199"/>
      <c r="AI95" s="1199"/>
      <c r="AJ95" s="1199"/>
      <c r="AK95" s="1199"/>
      <c r="AL95" s="1199"/>
      <c r="AM95" s="1199"/>
      <c r="AN95" s="1199"/>
      <c r="AO95" s="1199"/>
      <c r="AP95" s="1199">
        <v>2000</v>
      </c>
      <c r="AQ95" s="1199"/>
      <c r="AR95" s="1199"/>
      <c r="AS95" s="1738"/>
      <c r="AT95" s="1199">
        <f>1500000+1000000+757478+675000+400000</f>
        <v>4332478</v>
      </c>
      <c r="AU95" s="1199"/>
      <c r="AV95" s="1199"/>
      <c r="AW95" s="1738">
        <f>66000+386000+2190000+712000</f>
        <v>3354000</v>
      </c>
    </row>
    <row r="96" spans="1:53" ht="12" customHeight="1">
      <c r="A96" s="1108" t="s">
        <v>701</v>
      </c>
      <c r="B96" s="1158" t="s">
        <v>244</v>
      </c>
      <c r="C96" s="1157">
        <f>SUM(E96:AS96)</f>
        <v>2278000</v>
      </c>
      <c r="D96" s="1116">
        <f t="shared" si="19"/>
        <v>2278000</v>
      </c>
      <c r="Z96" s="1199"/>
      <c r="AA96" s="1199"/>
      <c r="AB96" s="1199"/>
      <c r="AC96" s="1199"/>
      <c r="AD96" s="1199"/>
      <c r="AE96" s="1199"/>
      <c r="AF96" s="1199"/>
      <c r="AG96" s="1199"/>
      <c r="AH96" s="1199"/>
      <c r="AI96" s="1199"/>
      <c r="AJ96" s="1199"/>
      <c r="AK96" s="1199">
        <v>128000</v>
      </c>
      <c r="AL96" s="1199"/>
      <c r="AM96" s="1199"/>
      <c r="AN96" s="1199">
        <v>150000</v>
      </c>
      <c r="AO96" s="1199"/>
      <c r="AP96" s="1199"/>
      <c r="AQ96" s="1199">
        <v>2000000</v>
      </c>
      <c r="AR96" s="1199"/>
      <c r="AS96" s="1738"/>
      <c r="AT96" s="1199"/>
      <c r="AU96" s="1199"/>
      <c r="AV96" s="1199"/>
      <c r="AW96" s="1738"/>
    </row>
    <row r="97" spans="1:49" ht="12" customHeight="1">
      <c r="A97" s="1108" t="s">
        <v>857</v>
      </c>
      <c r="B97" s="1159" t="s">
        <v>63</v>
      </c>
      <c r="C97" s="1215">
        <f>SUM(C98:C107)</f>
        <v>17195000</v>
      </c>
      <c r="D97" s="1116">
        <f>SUM(D98:D107)</f>
        <v>19129345</v>
      </c>
      <c r="Z97" s="1199"/>
      <c r="AA97" s="1199"/>
      <c r="AB97" s="1199"/>
      <c r="AC97" s="1199"/>
      <c r="AD97" s="1199"/>
      <c r="AE97" s="1199"/>
      <c r="AF97" s="1199"/>
      <c r="AG97" s="1199"/>
      <c r="AH97" s="1199"/>
      <c r="AI97" s="1199"/>
      <c r="AJ97" s="1199"/>
      <c r="AK97" s="1199"/>
      <c r="AL97" s="1199"/>
      <c r="AM97" s="1199"/>
      <c r="AN97" s="1199"/>
      <c r="AO97" s="1199"/>
      <c r="AP97" s="1199"/>
      <c r="AQ97" s="1199"/>
      <c r="AR97" s="1199"/>
      <c r="AS97" s="1738"/>
      <c r="AT97" s="1199"/>
      <c r="AU97" s="1199"/>
      <c r="AV97" s="1199"/>
      <c r="AW97" s="1738"/>
    </row>
    <row r="98" spans="1:49" ht="12" customHeight="1">
      <c r="A98" s="1108" t="s">
        <v>705</v>
      </c>
      <c r="B98" s="1156" t="s">
        <v>858</v>
      </c>
      <c r="C98" s="1216">
        <f>SUM(E98:AS98)</f>
        <v>0</v>
      </c>
      <c r="D98" s="1116">
        <f t="shared" ref="D98:D107" si="20">C98+SUM(AT98:AW98)</f>
        <v>1934345</v>
      </c>
      <c r="Z98" s="1199"/>
      <c r="AA98" s="1199"/>
      <c r="AB98" s="1199"/>
      <c r="AC98" s="1199"/>
      <c r="AD98" s="1199"/>
      <c r="AE98" s="1199"/>
      <c r="AF98" s="1199"/>
      <c r="AG98" s="1199"/>
      <c r="AH98" s="1199"/>
      <c r="AI98" s="1199"/>
      <c r="AJ98" s="1199"/>
      <c r="AK98" s="1199"/>
      <c r="AL98" s="1199"/>
      <c r="AM98" s="1199"/>
      <c r="AN98" s="1199"/>
      <c r="AO98" s="1199"/>
      <c r="AP98" s="1199"/>
      <c r="AQ98" s="1199"/>
      <c r="AR98" s="1199"/>
      <c r="AS98" s="1738"/>
      <c r="AT98" s="1199"/>
      <c r="AU98" s="1199">
        <v>1934345</v>
      </c>
      <c r="AV98" s="1199"/>
      <c r="AW98" s="1738"/>
    </row>
    <row r="99" spans="1:49" ht="12" customHeight="1">
      <c r="A99" s="1108" t="s">
        <v>859</v>
      </c>
      <c r="B99" s="1160" t="s">
        <v>860</v>
      </c>
      <c r="C99" s="1216">
        <f t="shared" ref="C99:C107" si="21">SUM(E99:AS99)</f>
        <v>0</v>
      </c>
      <c r="D99" s="1116">
        <f t="shared" si="20"/>
        <v>0</v>
      </c>
      <c r="Z99" s="1199"/>
      <c r="AA99" s="1199"/>
      <c r="AB99" s="1199"/>
      <c r="AC99" s="1199"/>
      <c r="AD99" s="1199"/>
      <c r="AE99" s="1199"/>
      <c r="AF99" s="1199"/>
      <c r="AG99" s="1199"/>
      <c r="AH99" s="1199"/>
      <c r="AI99" s="1199"/>
      <c r="AJ99" s="1199"/>
      <c r="AK99" s="1199"/>
      <c r="AL99" s="1199"/>
      <c r="AM99" s="1199"/>
      <c r="AN99" s="1199"/>
      <c r="AO99" s="1199"/>
      <c r="AP99" s="1199"/>
      <c r="AQ99" s="1199"/>
      <c r="AR99" s="1199"/>
      <c r="AS99" s="1738"/>
      <c r="AT99" s="1199"/>
      <c r="AU99" s="1199"/>
      <c r="AV99" s="1199"/>
      <c r="AW99" s="1738"/>
    </row>
    <row r="100" spans="1:49" ht="12" customHeight="1">
      <c r="A100" s="1108" t="s">
        <v>861</v>
      </c>
      <c r="B100" s="1161" t="s">
        <v>862</v>
      </c>
      <c r="C100" s="1216">
        <f t="shared" si="21"/>
        <v>0</v>
      </c>
      <c r="D100" s="1116">
        <f t="shared" si="20"/>
        <v>0</v>
      </c>
      <c r="Z100" s="1199"/>
      <c r="AA100" s="1199"/>
      <c r="AB100" s="1199"/>
      <c r="AC100" s="1199"/>
      <c r="AD100" s="1199"/>
      <c r="AE100" s="1199"/>
      <c r="AF100" s="1199"/>
      <c r="AG100" s="1199"/>
      <c r="AH100" s="1199"/>
      <c r="AI100" s="1199"/>
      <c r="AJ100" s="1199"/>
      <c r="AK100" s="1199"/>
      <c r="AL100" s="1199"/>
      <c r="AM100" s="1199"/>
      <c r="AN100" s="1199"/>
      <c r="AO100" s="1199"/>
      <c r="AP100" s="1199"/>
      <c r="AQ100" s="1199"/>
      <c r="AR100" s="1199"/>
      <c r="AS100" s="1738"/>
      <c r="AT100" s="1199"/>
      <c r="AU100" s="1199"/>
      <c r="AV100" s="1199"/>
      <c r="AW100" s="1738"/>
    </row>
    <row r="101" spans="1:49" ht="20.25" customHeight="1">
      <c r="A101" s="1108" t="s">
        <v>863</v>
      </c>
      <c r="B101" s="1161" t="s">
        <v>864</v>
      </c>
      <c r="C101" s="1216">
        <f t="shared" si="21"/>
        <v>0</v>
      </c>
      <c r="D101" s="1116">
        <f t="shared" si="20"/>
        <v>0</v>
      </c>
      <c r="Z101" s="1199"/>
      <c r="AA101" s="1199"/>
      <c r="AB101" s="1199"/>
      <c r="AC101" s="1199"/>
      <c r="AD101" s="1199"/>
      <c r="AE101" s="1199"/>
      <c r="AF101" s="1199"/>
      <c r="AG101" s="1199"/>
      <c r="AH101" s="1199"/>
      <c r="AI101" s="1199"/>
      <c r="AJ101" s="1199"/>
      <c r="AK101" s="1199"/>
      <c r="AL101" s="1199"/>
      <c r="AM101" s="1199"/>
      <c r="AN101" s="1199"/>
      <c r="AO101" s="1199"/>
      <c r="AP101" s="1199"/>
      <c r="AQ101" s="1199"/>
      <c r="AR101" s="1199"/>
      <c r="AS101" s="1738"/>
      <c r="AT101" s="1199"/>
      <c r="AU101" s="1199"/>
      <c r="AV101" s="1199"/>
      <c r="AW101" s="1738"/>
    </row>
    <row r="102" spans="1:49" ht="12" customHeight="1">
      <c r="A102" s="1108" t="s">
        <v>865</v>
      </c>
      <c r="B102" s="1160" t="s">
        <v>866</v>
      </c>
      <c r="C102" s="1216">
        <f t="shared" si="21"/>
        <v>2955000</v>
      </c>
      <c r="D102" s="1116">
        <f t="shared" si="20"/>
        <v>2955000</v>
      </c>
      <c r="E102" s="1199">
        <v>855000</v>
      </c>
      <c r="L102" s="1199">
        <v>1700000</v>
      </c>
      <c r="Z102" s="1199"/>
      <c r="AA102" s="1199"/>
      <c r="AB102" s="1199"/>
      <c r="AC102" s="1199"/>
      <c r="AD102" s="1199"/>
      <c r="AE102" s="1199"/>
      <c r="AF102" s="1199"/>
      <c r="AG102" s="1199"/>
      <c r="AH102" s="1199">
        <v>400000</v>
      </c>
      <c r="AI102" s="1199"/>
      <c r="AJ102" s="1199"/>
      <c r="AK102" s="1199"/>
      <c r="AL102" s="1199"/>
      <c r="AM102" s="1199"/>
      <c r="AN102" s="1199"/>
      <c r="AO102" s="1199"/>
      <c r="AP102" s="1199"/>
      <c r="AQ102" s="1199"/>
      <c r="AR102" s="1199"/>
      <c r="AS102" s="1738"/>
      <c r="AT102" s="1199"/>
      <c r="AU102" s="1199"/>
      <c r="AV102" s="1199"/>
      <c r="AW102" s="1738"/>
    </row>
    <row r="103" spans="1:49" ht="12" customHeight="1">
      <c r="A103" s="1108" t="s">
        <v>867</v>
      </c>
      <c r="B103" s="1160" t="s">
        <v>868</v>
      </c>
      <c r="C103" s="1216">
        <f t="shared" si="21"/>
        <v>0</v>
      </c>
      <c r="D103" s="1116">
        <f t="shared" si="20"/>
        <v>0</v>
      </c>
      <c r="Z103" s="1199"/>
      <c r="AA103" s="1199"/>
      <c r="AB103" s="1199"/>
      <c r="AC103" s="1199"/>
      <c r="AD103" s="1199"/>
      <c r="AE103" s="1199"/>
      <c r="AF103" s="1199"/>
      <c r="AG103" s="1199"/>
      <c r="AH103" s="1199"/>
      <c r="AI103" s="1199"/>
      <c r="AJ103" s="1199"/>
      <c r="AK103" s="1199"/>
      <c r="AL103" s="1199"/>
      <c r="AM103" s="1199"/>
      <c r="AN103" s="1199"/>
      <c r="AO103" s="1199"/>
      <c r="AP103" s="1199"/>
      <c r="AQ103" s="1199"/>
      <c r="AR103" s="1199"/>
      <c r="AS103" s="1738"/>
      <c r="AT103" s="1199"/>
      <c r="AU103" s="1199"/>
      <c r="AV103" s="1199"/>
      <c r="AW103" s="1738"/>
    </row>
    <row r="104" spans="1:49" ht="12" customHeight="1">
      <c r="A104" s="1108" t="s">
        <v>869</v>
      </c>
      <c r="B104" s="1161" t="s">
        <v>870</v>
      </c>
      <c r="C104" s="1216">
        <f t="shared" si="21"/>
        <v>0</v>
      </c>
      <c r="D104" s="1116">
        <f t="shared" si="20"/>
        <v>0</v>
      </c>
      <c r="Z104" s="1199"/>
      <c r="AA104" s="1199"/>
      <c r="AB104" s="1199"/>
      <c r="AC104" s="1199"/>
      <c r="AD104" s="1199"/>
      <c r="AE104" s="1199"/>
      <c r="AF104" s="1199"/>
      <c r="AG104" s="1199"/>
      <c r="AH104" s="1199"/>
      <c r="AI104" s="1199"/>
      <c r="AJ104" s="1199"/>
      <c r="AK104" s="1199"/>
      <c r="AL104" s="1199"/>
      <c r="AM104" s="1199"/>
      <c r="AN104" s="1199"/>
      <c r="AO104" s="1199"/>
      <c r="AP104" s="1199"/>
      <c r="AQ104" s="1199"/>
      <c r="AR104" s="1199"/>
      <c r="AS104" s="1738"/>
      <c r="AT104" s="1199"/>
      <c r="AU104" s="1199"/>
      <c r="AV104" s="1199"/>
      <c r="AW104" s="1738"/>
    </row>
    <row r="105" spans="1:49" ht="12" customHeight="1">
      <c r="A105" s="1162" t="s">
        <v>871</v>
      </c>
      <c r="B105" s="1163" t="s">
        <v>872</v>
      </c>
      <c r="C105" s="1216">
        <f t="shared" si="21"/>
        <v>0</v>
      </c>
      <c r="D105" s="1116">
        <f t="shared" si="20"/>
        <v>0</v>
      </c>
      <c r="Z105" s="1199"/>
      <c r="AA105" s="1199"/>
      <c r="AB105" s="1199"/>
      <c r="AC105" s="1199"/>
      <c r="AD105" s="1199"/>
      <c r="AE105" s="1199"/>
      <c r="AF105" s="1199"/>
      <c r="AG105" s="1199"/>
      <c r="AH105" s="1199"/>
      <c r="AI105" s="1199"/>
      <c r="AJ105" s="1199"/>
      <c r="AK105" s="1199"/>
      <c r="AL105" s="1199"/>
      <c r="AM105" s="1199"/>
      <c r="AN105" s="1199"/>
      <c r="AO105" s="1199"/>
      <c r="AP105" s="1199"/>
      <c r="AQ105" s="1199"/>
      <c r="AR105" s="1199"/>
      <c r="AS105" s="1738"/>
      <c r="AT105" s="1199"/>
      <c r="AU105" s="1199"/>
      <c r="AV105" s="1199"/>
      <c r="AW105" s="1738"/>
    </row>
    <row r="106" spans="1:49" ht="12" customHeight="1">
      <c r="A106" s="1108" t="s">
        <v>873</v>
      </c>
      <c r="B106" s="1163" t="s">
        <v>874</v>
      </c>
      <c r="C106" s="1216">
        <f t="shared" si="21"/>
        <v>0</v>
      </c>
      <c r="D106" s="1116">
        <f t="shared" si="20"/>
        <v>0</v>
      </c>
      <c r="Z106" s="1199"/>
      <c r="AA106" s="1199"/>
      <c r="AB106" s="1199"/>
      <c r="AC106" s="1199"/>
      <c r="AD106" s="1199"/>
      <c r="AE106" s="1199"/>
      <c r="AF106" s="1199"/>
      <c r="AG106" s="1199"/>
      <c r="AH106" s="1199"/>
      <c r="AI106" s="1199"/>
      <c r="AJ106" s="1199"/>
      <c r="AK106" s="1199"/>
      <c r="AL106" s="1199"/>
      <c r="AM106" s="1199"/>
      <c r="AN106" s="1199"/>
      <c r="AO106" s="1199"/>
      <c r="AP106" s="1199"/>
      <c r="AQ106" s="1199"/>
      <c r="AR106" s="1199"/>
      <c r="AS106" s="1738"/>
      <c r="AT106" s="1199"/>
      <c r="AU106" s="1199"/>
      <c r="AV106" s="1199"/>
      <c r="AW106" s="1738"/>
    </row>
    <row r="107" spans="1:49" ht="12" customHeight="1" thickBot="1">
      <c r="A107" s="1130" t="s">
        <v>875</v>
      </c>
      <c r="B107" s="1164" t="s">
        <v>876</v>
      </c>
      <c r="C107" s="1216">
        <f t="shared" si="21"/>
        <v>14240000</v>
      </c>
      <c r="D107" s="1166">
        <f t="shared" si="20"/>
        <v>14240000</v>
      </c>
      <c r="Z107" s="1199">
        <v>1850000</v>
      </c>
      <c r="AA107" s="1199">
        <v>450000</v>
      </c>
      <c r="AB107" s="1199"/>
      <c r="AC107" s="1199">
        <v>6120000</v>
      </c>
      <c r="AD107" s="1199"/>
      <c r="AE107" s="1199">
        <v>1020000</v>
      </c>
      <c r="AF107" s="1199">
        <v>4800000</v>
      </c>
      <c r="AG107" s="1199"/>
      <c r="AH107" s="1199"/>
      <c r="AI107" s="1199"/>
      <c r="AJ107" s="1199"/>
      <c r="AK107" s="1199"/>
      <c r="AL107" s="1199"/>
      <c r="AM107" s="1199"/>
      <c r="AN107" s="1199"/>
      <c r="AO107" s="1199"/>
      <c r="AP107" s="1199"/>
      <c r="AQ107" s="1199"/>
      <c r="AR107" s="1199"/>
      <c r="AS107" s="1738"/>
      <c r="AT107" s="1199"/>
      <c r="AU107" s="1199"/>
      <c r="AV107" s="1199"/>
      <c r="AW107" s="1738"/>
    </row>
    <row r="108" spans="1:49" ht="12" customHeight="1" thickBot="1">
      <c r="A108" s="1099" t="s">
        <v>707</v>
      </c>
      <c r="B108" s="1167" t="s">
        <v>877</v>
      </c>
      <c r="C108" s="1101">
        <f>+C109+C111+C113</f>
        <v>21662490</v>
      </c>
      <c r="D108" s="1102">
        <f>+D109+D111+D113</f>
        <v>30686730</v>
      </c>
      <c r="Z108" s="1199"/>
      <c r="AA108" s="1199"/>
      <c r="AB108" s="1199"/>
      <c r="AC108" s="1199"/>
      <c r="AD108" s="1199"/>
      <c r="AE108" s="1199"/>
      <c r="AF108" s="1199"/>
      <c r="AG108" s="1199"/>
      <c r="AH108" s="1199"/>
      <c r="AI108" s="1199"/>
      <c r="AJ108" s="1199"/>
      <c r="AK108" s="1199"/>
      <c r="AL108" s="1199"/>
      <c r="AM108" s="1199"/>
      <c r="AN108" s="1199"/>
      <c r="AO108" s="1199"/>
      <c r="AP108" s="1199"/>
      <c r="AQ108" s="1199"/>
      <c r="AR108" s="1199"/>
      <c r="AS108" s="1738"/>
      <c r="AT108" s="1199"/>
      <c r="AU108" s="1199"/>
      <c r="AV108" s="1199"/>
      <c r="AW108" s="1738"/>
    </row>
    <row r="109" spans="1:49" ht="12" customHeight="1">
      <c r="A109" s="1103" t="s">
        <v>709</v>
      </c>
      <c r="B109" s="1156" t="s">
        <v>72</v>
      </c>
      <c r="C109" s="1207">
        <f>SUM(E109:AS109)</f>
        <v>21662490</v>
      </c>
      <c r="D109" s="1155">
        <f t="shared" ref="D109:D112" si="22">C109+SUM(AT109:AW109)</f>
        <v>30686730</v>
      </c>
      <c r="E109" s="1199">
        <v>1380490</v>
      </c>
      <c r="G109" s="1199">
        <v>20000000</v>
      </c>
      <c r="P109" s="1199">
        <v>282000</v>
      </c>
      <c r="Z109" s="1199"/>
      <c r="AA109" s="1199"/>
      <c r="AB109" s="1199"/>
      <c r="AC109" s="1199"/>
      <c r="AD109" s="1199"/>
      <c r="AE109" s="1199"/>
      <c r="AF109" s="1199"/>
      <c r="AG109" s="1199"/>
      <c r="AH109" s="1199"/>
      <c r="AI109" s="1199"/>
      <c r="AJ109" s="1199"/>
      <c r="AK109" s="1199"/>
      <c r="AL109" s="1199"/>
      <c r="AM109" s="1199"/>
      <c r="AN109" s="1199"/>
      <c r="AO109" s="1199"/>
      <c r="AP109" s="1199"/>
      <c r="AQ109" s="1199"/>
      <c r="AR109" s="1199"/>
      <c r="AS109" s="1738"/>
      <c r="AT109" s="1199">
        <f>1000000+5300000+1700000</f>
        <v>8000000</v>
      </c>
      <c r="AU109" s="1199"/>
      <c r="AV109" s="1199"/>
      <c r="AW109" s="1738">
        <f>250000+570000+204240</f>
        <v>1024240</v>
      </c>
    </row>
    <row r="110" spans="1:49" ht="12" customHeight="1">
      <c r="A110" s="1103" t="s">
        <v>711</v>
      </c>
      <c r="B110" s="1168" t="s">
        <v>878</v>
      </c>
      <c r="C110" s="1207">
        <f>SUM(E110:AS110)</f>
        <v>0</v>
      </c>
      <c r="D110" s="1116">
        <f t="shared" si="22"/>
        <v>0</v>
      </c>
      <c r="Z110" s="1199"/>
      <c r="AA110" s="1199"/>
      <c r="AB110" s="1199"/>
      <c r="AC110" s="1199"/>
      <c r="AD110" s="1199"/>
      <c r="AE110" s="1199"/>
      <c r="AF110" s="1199"/>
      <c r="AG110" s="1199"/>
      <c r="AH110" s="1199"/>
      <c r="AI110" s="1199"/>
      <c r="AJ110" s="1199"/>
      <c r="AK110" s="1199"/>
      <c r="AL110" s="1199"/>
      <c r="AM110" s="1199"/>
      <c r="AN110" s="1199"/>
      <c r="AO110" s="1199"/>
      <c r="AP110" s="1199"/>
      <c r="AQ110" s="1199"/>
      <c r="AR110" s="1199"/>
      <c r="AS110" s="1738"/>
      <c r="AT110" s="1199"/>
      <c r="AU110" s="1199"/>
      <c r="AV110" s="1199"/>
      <c r="AW110" s="1738"/>
    </row>
    <row r="111" spans="1:49" ht="12" customHeight="1">
      <c r="A111" s="1103" t="s">
        <v>713</v>
      </c>
      <c r="B111" s="1168" t="s">
        <v>172</v>
      </c>
      <c r="C111" s="1207">
        <f>SUM(E111:AS111)</f>
        <v>0</v>
      </c>
      <c r="D111" s="1116">
        <f t="shared" si="22"/>
        <v>0</v>
      </c>
      <c r="Z111" s="1199"/>
      <c r="AA111" s="1199"/>
      <c r="AB111" s="1199"/>
      <c r="AC111" s="1199"/>
      <c r="AD111" s="1199"/>
      <c r="AE111" s="1199"/>
      <c r="AF111" s="1199"/>
      <c r="AG111" s="1199"/>
      <c r="AH111" s="1199"/>
      <c r="AI111" s="1199"/>
      <c r="AJ111" s="1199"/>
      <c r="AK111" s="1199"/>
      <c r="AL111" s="1199"/>
      <c r="AM111" s="1199"/>
      <c r="AN111" s="1199"/>
      <c r="AO111" s="1199"/>
      <c r="AP111" s="1199"/>
      <c r="AQ111" s="1199"/>
      <c r="AR111" s="1199"/>
      <c r="AS111" s="1738"/>
      <c r="AT111" s="1199"/>
      <c r="AU111" s="1199"/>
      <c r="AV111" s="1199"/>
      <c r="AW111" s="1738"/>
    </row>
    <row r="112" spans="1:49" ht="12" customHeight="1">
      <c r="A112" s="1103" t="s">
        <v>715</v>
      </c>
      <c r="B112" s="1168" t="s">
        <v>879</v>
      </c>
      <c r="C112" s="1207">
        <f>SUM(E112:AS112)</f>
        <v>0</v>
      </c>
      <c r="D112" s="1116">
        <f t="shared" si="22"/>
        <v>0</v>
      </c>
      <c r="Z112" s="1199"/>
      <c r="AA112" s="1199"/>
      <c r="AB112" s="1199"/>
      <c r="AC112" s="1199"/>
      <c r="AD112" s="1199"/>
      <c r="AE112" s="1199"/>
      <c r="AF112" s="1199"/>
      <c r="AG112" s="1199"/>
      <c r="AH112" s="1199"/>
      <c r="AI112" s="1199"/>
      <c r="AJ112" s="1199"/>
      <c r="AK112" s="1199"/>
      <c r="AL112" s="1199"/>
      <c r="AM112" s="1199"/>
      <c r="AN112" s="1199"/>
      <c r="AO112" s="1199"/>
      <c r="AP112" s="1199"/>
      <c r="AQ112" s="1199"/>
      <c r="AR112" s="1199"/>
      <c r="AS112" s="1738"/>
      <c r="AT112" s="1199"/>
      <c r="AU112" s="1199"/>
      <c r="AV112" s="1199"/>
      <c r="AW112" s="1738"/>
    </row>
    <row r="113" spans="1:49" ht="12" customHeight="1">
      <c r="A113" s="1103" t="s">
        <v>717</v>
      </c>
      <c r="B113" s="1169" t="s">
        <v>880</v>
      </c>
      <c r="C113" s="1217">
        <f>SUM(C114:C121)</f>
        <v>0</v>
      </c>
      <c r="D113" s="1116">
        <f>SUM(D114:D121)</f>
        <v>0</v>
      </c>
      <c r="Z113" s="1199"/>
      <c r="AA113" s="1199"/>
      <c r="AB113" s="1199"/>
      <c r="AC113" s="1199"/>
      <c r="AD113" s="1199"/>
      <c r="AE113" s="1199"/>
      <c r="AF113" s="1199"/>
      <c r="AG113" s="1199"/>
      <c r="AH113" s="1199"/>
      <c r="AI113" s="1199"/>
      <c r="AJ113" s="1199"/>
      <c r="AK113" s="1199"/>
      <c r="AL113" s="1199"/>
      <c r="AM113" s="1199"/>
      <c r="AN113" s="1199"/>
      <c r="AO113" s="1199"/>
      <c r="AP113" s="1199"/>
      <c r="AQ113" s="1199"/>
      <c r="AR113" s="1199"/>
      <c r="AS113" s="1738"/>
      <c r="AT113" s="1199"/>
      <c r="AU113" s="1199"/>
      <c r="AV113" s="1199"/>
      <c r="AW113" s="1738"/>
    </row>
    <row r="114" spans="1:49" ht="12" customHeight="1">
      <c r="A114" s="1103" t="s">
        <v>719</v>
      </c>
      <c r="B114" s="1170" t="s">
        <v>881</v>
      </c>
      <c r="C114" s="1217">
        <f>SUM(E114:AS114)</f>
        <v>0</v>
      </c>
      <c r="D114" s="1116">
        <f t="shared" ref="D114:D121" si="23">C114+SUM(AT114:AW114)</f>
        <v>0</v>
      </c>
      <c r="Z114" s="1199"/>
      <c r="AA114" s="1199"/>
      <c r="AB114" s="1199"/>
      <c r="AC114" s="1199"/>
      <c r="AD114" s="1199"/>
      <c r="AE114" s="1199"/>
      <c r="AF114" s="1199"/>
      <c r="AG114" s="1199"/>
      <c r="AH114" s="1199"/>
      <c r="AI114" s="1199"/>
      <c r="AJ114" s="1199"/>
      <c r="AK114" s="1199"/>
      <c r="AL114" s="1199"/>
      <c r="AM114" s="1199"/>
      <c r="AN114" s="1199"/>
      <c r="AO114" s="1199"/>
      <c r="AP114" s="1199"/>
      <c r="AQ114" s="1199"/>
      <c r="AR114" s="1199"/>
      <c r="AS114" s="1738"/>
      <c r="AT114" s="1199"/>
      <c r="AU114" s="1199"/>
      <c r="AV114" s="1199"/>
      <c r="AW114" s="1738"/>
    </row>
    <row r="115" spans="1:49" ht="12" customHeight="1">
      <c r="A115" s="1103" t="s">
        <v>882</v>
      </c>
      <c r="B115" s="1171" t="s">
        <v>883</v>
      </c>
      <c r="C115" s="1217">
        <f t="shared" ref="C115:C121" si="24">SUM(E115:AS115)</f>
        <v>0</v>
      </c>
      <c r="D115" s="1116">
        <f t="shared" si="23"/>
        <v>0</v>
      </c>
      <c r="Z115" s="1199"/>
      <c r="AA115" s="1199"/>
      <c r="AB115" s="1199"/>
      <c r="AC115" s="1199"/>
      <c r="AD115" s="1199"/>
      <c r="AE115" s="1199"/>
      <c r="AF115" s="1199"/>
      <c r="AG115" s="1199"/>
      <c r="AH115" s="1199"/>
      <c r="AI115" s="1199"/>
      <c r="AJ115" s="1199"/>
      <c r="AK115" s="1199"/>
      <c r="AL115" s="1199"/>
      <c r="AM115" s="1199"/>
      <c r="AN115" s="1199"/>
      <c r="AO115" s="1199"/>
      <c r="AP115" s="1199"/>
      <c r="AQ115" s="1199"/>
      <c r="AR115" s="1199"/>
      <c r="AS115" s="1738"/>
      <c r="AT115" s="1199"/>
      <c r="AU115" s="1199"/>
      <c r="AV115" s="1199"/>
      <c r="AW115" s="1738"/>
    </row>
    <row r="116" spans="1:49" ht="12" customHeight="1">
      <c r="A116" s="1103" t="s">
        <v>884</v>
      </c>
      <c r="B116" s="1161" t="s">
        <v>864</v>
      </c>
      <c r="C116" s="1217">
        <f t="shared" si="24"/>
        <v>0</v>
      </c>
      <c r="D116" s="1116">
        <f t="shared" si="23"/>
        <v>0</v>
      </c>
      <c r="Z116" s="1199"/>
      <c r="AA116" s="1199"/>
      <c r="AB116" s="1199"/>
      <c r="AC116" s="1199"/>
      <c r="AD116" s="1199"/>
      <c r="AE116" s="1199"/>
      <c r="AF116" s="1199"/>
      <c r="AG116" s="1199"/>
      <c r="AH116" s="1199"/>
      <c r="AI116" s="1199"/>
      <c r="AJ116" s="1199"/>
      <c r="AK116" s="1199"/>
      <c r="AL116" s="1199"/>
      <c r="AM116" s="1199"/>
      <c r="AN116" s="1199"/>
      <c r="AO116" s="1199"/>
      <c r="AP116" s="1199"/>
      <c r="AQ116" s="1199"/>
      <c r="AR116" s="1199"/>
      <c r="AS116" s="1738"/>
      <c r="AT116" s="1199"/>
      <c r="AU116" s="1199"/>
      <c r="AV116" s="1199"/>
      <c r="AW116" s="1738"/>
    </row>
    <row r="117" spans="1:49" ht="12" customHeight="1">
      <c r="A117" s="1103" t="s">
        <v>885</v>
      </c>
      <c r="B117" s="1161" t="s">
        <v>886</v>
      </c>
      <c r="C117" s="1217">
        <f t="shared" si="24"/>
        <v>0</v>
      </c>
      <c r="D117" s="1116">
        <f t="shared" si="23"/>
        <v>0</v>
      </c>
      <c r="Z117" s="1199"/>
      <c r="AA117" s="1199"/>
      <c r="AB117" s="1199"/>
      <c r="AC117" s="1199"/>
      <c r="AD117" s="1199"/>
      <c r="AE117" s="1199"/>
      <c r="AF117" s="1199"/>
      <c r="AG117" s="1199"/>
      <c r="AH117" s="1199"/>
      <c r="AI117" s="1199"/>
      <c r="AJ117" s="1199"/>
      <c r="AK117" s="1199"/>
      <c r="AL117" s="1199"/>
      <c r="AM117" s="1199"/>
      <c r="AN117" s="1199"/>
      <c r="AO117" s="1199"/>
      <c r="AP117" s="1199"/>
      <c r="AQ117" s="1199"/>
      <c r="AR117" s="1199"/>
      <c r="AS117" s="1738"/>
      <c r="AT117" s="1199"/>
      <c r="AU117" s="1199"/>
      <c r="AV117" s="1199"/>
      <c r="AW117" s="1738"/>
    </row>
    <row r="118" spans="1:49" ht="12" customHeight="1">
      <c r="A118" s="1103" t="s">
        <v>887</v>
      </c>
      <c r="B118" s="1161" t="s">
        <v>888</v>
      </c>
      <c r="C118" s="1217">
        <f t="shared" si="24"/>
        <v>0</v>
      </c>
      <c r="D118" s="1116">
        <f t="shared" si="23"/>
        <v>0</v>
      </c>
      <c r="Z118" s="1199"/>
      <c r="AA118" s="1199"/>
      <c r="AB118" s="1199"/>
      <c r="AC118" s="1199"/>
      <c r="AD118" s="1199"/>
      <c r="AE118" s="1199"/>
      <c r="AF118" s="1199"/>
      <c r="AG118" s="1199"/>
      <c r="AH118" s="1199"/>
      <c r="AI118" s="1199"/>
      <c r="AJ118" s="1199"/>
      <c r="AK118" s="1199"/>
      <c r="AL118" s="1199"/>
      <c r="AM118" s="1199"/>
      <c r="AN118" s="1199"/>
      <c r="AO118" s="1199"/>
      <c r="AP118" s="1199"/>
      <c r="AQ118" s="1199"/>
      <c r="AR118" s="1199"/>
      <c r="AS118" s="1738"/>
      <c r="AT118" s="1199"/>
      <c r="AU118" s="1199"/>
      <c r="AV118" s="1199"/>
      <c r="AW118" s="1738"/>
    </row>
    <row r="119" spans="1:49" ht="12" customHeight="1">
      <c r="A119" s="1103" t="s">
        <v>889</v>
      </c>
      <c r="B119" s="1161" t="s">
        <v>870</v>
      </c>
      <c r="C119" s="1217">
        <f t="shared" si="24"/>
        <v>0</v>
      </c>
      <c r="D119" s="1116">
        <f t="shared" si="23"/>
        <v>0</v>
      </c>
      <c r="Z119" s="1199"/>
      <c r="AA119" s="1199"/>
      <c r="AB119" s="1199"/>
      <c r="AC119" s="1199"/>
      <c r="AD119" s="1199"/>
      <c r="AE119" s="1199"/>
      <c r="AF119" s="1199"/>
      <c r="AG119" s="1199"/>
      <c r="AH119" s="1199"/>
      <c r="AI119" s="1199"/>
      <c r="AJ119" s="1199"/>
      <c r="AK119" s="1199"/>
      <c r="AL119" s="1199"/>
      <c r="AM119" s="1199"/>
      <c r="AN119" s="1199"/>
      <c r="AO119" s="1199"/>
      <c r="AP119" s="1199"/>
      <c r="AQ119" s="1199"/>
      <c r="AR119" s="1199"/>
      <c r="AS119" s="1738"/>
      <c r="AT119" s="1199"/>
      <c r="AU119" s="1199"/>
      <c r="AV119" s="1199"/>
      <c r="AW119" s="1738"/>
    </row>
    <row r="120" spans="1:49" ht="12" customHeight="1">
      <c r="A120" s="1103" t="s">
        <v>890</v>
      </c>
      <c r="B120" s="1161" t="s">
        <v>891</v>
      </c>
      <c r="C120" s="1217">
        <f t="shared" si="24"/>
        <v>0</v>
      </c>
      <c r="D120" s="1116">
        <f t="shared" si="23"/>
        <v>0</v>
      </c>
      <c r="Z120" s="1199"/>
      <c r="AA120" s="1199"/>
      <c r="AB120" s="1199"/>
      <c r="AC120" s="1199"/>
      <c r="AD120" s="1199"/>
      <c r="AE120" s="1199"/>
      <c r="AF120" s="1199"/>
      <c r="AG120" s="1199"/>
      <c r="AH120" s="1199"/>
      <c r="AI120" s="1199"/>
      <c r="AJ120" s="1199"/>
      <c r="AK120" s="1199"/>
      <c r="AL120" s="1199"/>
      <c r="AM120" s="1199"/>
      <c r="AN120" s="1199"/>
      <c r="AO120" s="1199"/>
      <c r="AP120" s="1199"/>
      <c r="AQ120" s="1199"/>
      <c r="AR120" s="1199"/>
      <c r="AS120" s="1738"/>
      <c r="AT120" s="1199"/>
      <c r="AU120" s="1199"/>
      <c r="AV120" s="1199"/>
      <c r="AW120" s="1738"/>
    </row>
    <row r="121" spans="1:49" ht="12" customHeight="1" thickBot="1">
      <c r="A121" s="1162" t="s">
        <v>892</v>
      </c>
      <c r="B121" s="1161" t="s">
        <v>893</v>
      </c>
      <c r="C121" s="1217">
        <f t="shared" si="24"/>
        <v>0</v>
      </c>
      <c r="D121" s="1166">
        <f t="shared" si="23"/>
        <v>0</v>
      </c>
      <c r="Z121" s="1199"/>
      <c r="AA121" s="1199"/>
      <c r="AB121" s="1199"/>
      <c r="AC121" s="1199"/>
      <c r="AD121" s="1199"/>
      <c r="AE121" s="1199"/>
      <c r="AF121" s="1199"/>
      <c r="AG121" s="1199"/>
      <c r="AH121" s="1199"/>
      <c r="AI121" s="1199"/>
      <c r="AJ121" s="1199"/>
      <c r="AK121" s="1199"/>
      <c r="AL121" s="1199"/>
      <c r="AM121" s="1199"/>
      <c r="AN121" s="1199"/>
      <c r="AO121" s="1199"/>
      <c r="AP121" s="1199"/>
      <c r="AQ121" s="1199"/>
      <c r="AR121" s="1199"/>
      <c r="AS121" s="1738"/>
      <c r="AT121" s="1199"/>
      <c r="AU121" s="1199"/>
      <c r="AV121" s="1199"/>
      <c r="AW121" s="1738"/>
    </row>
    <row r="122" spans="1:49" ht="12" customHeight="1" thickBot="1">
      <c r="A122" s="1099" t="s">
        <v>721</v>
      </c>
      <c r="B122" s="1172" t="s">
        <v>894</v>
      </c>
      <c r="C122" s="1101">
        <f>+C123+C124</f>
        <v>70399208</v>
      </c>
      <c r="D122" s="1102">
        <f>+D123+D124</f>
        <v>82399208</v>
      </c>
      <c r="Z122" s="1199"/>
      <c r="AA122" s="1199"/>
      <c r="AB122" s="1199"/>
      <c r="AC122" s="1199"/>
      <c r="AD122" s="1199"/>
      <c r="AE122" s="1199"/>
      <c r="AF122" s="1199"/>
      <c r="AG122" s="1199"/>
      <c r="AH122" s="1199"/>
      <c r="AI122" s="1199"/>
      <c r="AJ122" s="1199"/>
      <c r="AK122" s="1199"/>
      <c r="AL122" s="1199"/>
      <c r="AM122" s="1199"/>
      <c r="AN122" s="1199"/>
      <c r="AO122" s="1199"/>
      <c r="AP122" s="1199"/>
      <c r="AQ122" s="1199"/>
      <c r="AR122" s="1199"/>
      <c r="AS122" s="1738"/>
      <c r="AT122" s="1199"/>
      <c r="AU122" s="1199"/>
      <c r="AV122" s="1199"/>
      <c r="AW122" s="1738"/>
    </row>
    <row r="123" spans="1:49" ht="12" customHeight="1">
      <c r="A123" s="1103" t="s">
        <v>723</v>
      </c>
      <c r="B123" s="1173" t="s">
        <v>895</v>
      </c>
      <c r="C123" s="1207">
        <f>SUM(E123:AS123)</f>
        <v>2382509</v>
      </c>
      <c r="D123" s="1155">
        <f t="shared" ref="D123:D124" si="25">C123+SUM(AT123:AW123)</f>
        <v>14382509</v>
      </c>
      <c r="E123" s="1199">
        <v>2382509</v>
      </c>
      <c r="Z123" s="1199"/>
      <c r="AA123" s="1199"/>
      <c r="AB123" s="1199"/>
      <c r="AC123" s="1199"/>
      <c r="AD123" s="1199"/>
      <c r="AE123" s="1199"/>
      <c r="AF123" s="1199"/>
      <c r="AG123" s="1199"/>
      <c r="AH123" s="1199"/>
      <c r="AI123" s="1199"/>
      <c r="AJ123" s="1199"/>
      <c r="AK123" s="1199"/>
      <c r="AL123" s="1199"/>
      <c r="AM123" s="1199"/>
      <c r="AN123" s="1199"/>
      <c r="AO123" s="1199"/>
      <c r="AP123" s="1199"/>
      <c r="AQ123" s="1199"/>
      <c r="AR123" s="1199"/>
      <c r="AS123" s="1738"/>
      <c r="AT123" s="1199">
        <v>12000000</v>
      </c>
      <c r="AU123" s="1199"/>
      <c r="AV123" s="1199"/>
      <c r="AW123" s="1738"/>
    </row>
    <row r="124" spans="1:49" ht="12" customHeight="1" thickBot="1">
      <c r="A124" s="1112" t="s">
        <v>725</v>
      </c>
      <c r="B124" s="1168" t="s">
        <v>896</v>
      </c>
      <c r="C124" s="1207">
        <f>SUM(E124:AS124)</f>
        <v>68016699</v>
      </c>
      <c r="D124" s="1166">
        <f t="shared" si="25"/>
        <v>68016699</v>
      </c>
      <c r="E124" s="1199">
        <v>68016699</v>
      </c>
      <c r="Z124" s="1199"/>
      <c r="AA124" s="1199"/>
      <c r="AB124" s="1199"/>
      <c r="AC124" s="1199"/>
      <c r="AD124" s="1199"/>
      <c r="AE124" s="1199"/>
      <c r="AF124" s="1199"/>
      <c r="AG124" s="1199"/>
      <c r="AH124" s="1199"/>
      <c r="AI124" s="1199"/>
      <c r="AJ124" s="1199"/>
      <c r="AK124" s="1199"/>
      <c r="AL124" s="1199"/>
      <c r="AM124" s="1199"/>
      <c r="AN124" s="1199"/>
      <c r="AO124" s="1199"/>
      <c r="AP124" s="1199"/>
      <c r="AQ124" s="1199"/>
      <c r="AR124" s="1199"/>
      <c r="AS124" s="1738"/>
      <c r="AT124" s="1199"/>
      <c r="AU124" s="1199"/>
      <c r="AV124" s="1199"/>
      <c r="AW124" s="1738"/>
    </row>
    <row r="125" spans="1:49" ht="12" customHeight="1" thickBot="1">
      <c r="A125" s="1099" t="s">
        <v>897</v>
      </c>
      <c r="B125" s="1172" t="s">
        <v>898</v>
      </c>
      <c r="C125" s="1101">
        <f>+C92+C108+C122</f>
        <v>198584698</v>
      </c>
      <c r="D125" s="1102">
        <f>+D92+D108+D122</f>
        <v>229829761</v>
      </c>
      <c r="Z125" s="1199"/>
      <c r="AA125" s="1199"/>
      <c r="AB125" s="1199"/>
      <c r="AC125" s="1199"/>
      <c r="AD125" s="1199"/>
      <c r="AE125" s="1199"/>
      <c r="AF125" s="1199"/>
      <c r="AG125" s="1199"/>
      <c r="AH125" s="1199"/>
      <c r="AI125" s="1199"/>
      <c r="AJ125" s="1199"/>
      <c r="AK125" s="1199"/>
      <c r="AL125" s="1199"/>
      <c r="AM125" s="1199"/>
      <c r="AN125" s="1199"/>
      <c r="AO125" s="1199"/>
      <c r="AP125" s="1199"/>
      <c r="AQ125" s="1199"/>
      <c r="AR125" s="1199"/>
      <c r="AS125" s="1738"/>
      <c r="AT125" s="1199"/>
      <c r="AU125" s="1199"/>
      <c r="AV125" s="1199"/>
      <c r="AW125" s="1738"/>
    </row>
    <row r="126" spans="1:49" ht="12" customHeight="1" thickBot="1">
      <c r="A126" s="1099" t="s">
        <v>750</v>
      </c>
      <c r="B126" s="1172" t="s">
        <v>899</v>
      </c>
      <c r="C126" s="1101">
        <f>+C127+C128+C129</f>
        <v>0</v>
      </c>
      <c r="D126" s="1102">
        <f>+D127+D128+D129</f>
        <v>0</v>
      </c>
      <c r="Z126" s="1199"/>
      <c r="AA126" s="1199"/>
      <c r="AB126" s="1199"/>
      <c r="AC126" s="1199"/>
      <c r="AD126" s="1199"/>
      <c r="AE126" s="1199"/>
      <c r="AF126" s="1199"/>
      <c r="AG126" s="1199"/>
      <c r="AH126" s="1199"/>
      <c r="AI126" s="1199"/>
      <c r="AJ126" s="1199"/>
      <c r="AK126" s="1199"/>
      <c r="AL126" s="1199"/>
      <c r="AM126" s="1199"/>
      <c r="AN126" s="1199"/>
      <c r="AO126" s="1199"/>
      <c r="AP126" s="1199"/>
      <c r="AQ126" s="1199"/>
      <c r="AR126" s="1199"/>
      <c r="AS126" s="1738"/>
      <c r="AT126" s="1199"/>
      <c r="AU126" s="1199"/>
      <c r="AV126" s="1199"/>
      <c r="AW126" s="1738"/>
    </row>
    <row r="127" spans="1:49" s="1151" customFormat="1" ht="12" customHeight="1">
      <c r="A127" s="1103" t="s">
        <v>752</v>
      </c>
      <c r="B127" s="1173" t="s">
        <v>900</v>
      </c>
      <c r="C127" s="1217">
        <f>SUM(E127:AS127)</f>
        <v>0</v>
      </c>
      <c r="D127" s="1155">
        <f t="shared" ref="D127:D129" si="26">C127+SUM(AT127:AW127)</f>
        <v>0</v>
      </c>
      <c r="E127" s="1199"/>
      <c r="F127" s="1199"/>
      <c r="G127" s="1199"/>
      <c r="H127" s="1199"/>
      <c r="I127" s="1199"/>
      <c r="J127" s="1199"/>
      <c r="K127" s="1199"/>
      <c r="L127" s="1199"/>
      <c r="M127" s="1199"/>
      <c r="N127" s="1199"/>
      <c r="O127" s="1199"/>
      <c r="P127" s="1199"/>
      <c r="Q127" s="1199"/>
      <c r="R127" s="1199"/>
      <c r="S127" s="1199"/>
      <c r="T127" s="1199"/>
      <c r="U127" s="1199"/>
      <c r="V127" s="1199"/>
      <c r="W127" s="1199"/>
      <c r="X127" s="1199"/>
      <c r="Y127" s="1199"/>
      <c r="Z127" s="1206"/>
      <c r="AA127" s="1206"/>
      <c r="AB127" s="1206"/>
      <c r="AC127" s="1206"/>
      <c r="AD127" s="1206"/>
      <c r="AE127" s="1206"/>
      <c r="AF127" s="1206"/>
      <c r="AG127" s="1206"/>
      <c r="AH127" s="1206"/>
      <c r="AI127" s="1206"/>
      <c r="AJ127" s="1206"/>
      <c r="AK127" s="1206"/>
      <c r="AL127" s="1206"/>
      <c r="AM127" s="1206"/>
      <c r="AN127" s="1206"/>
      <c r="AO127" s="1206"/>
      <c r="AP127" s="1206"/>
      <c r="AQ127" s="1206"/>
      <c r="AR127" s="1206"/>
      <c r="AS127" s="1738"/>
      <c r="AT127" s="1199"/>
      <c r="AU127" s="1199"/>
      <c r="AV127" s="1199"/>
      <c r="AW127" s="1738"/>
    </row>
    <row r="128" spans="1:49" ht="12" customHeight="1">
      <c r="A128" s="1103" t="s">
        <v>754</v>
      </c>
      <c r="B128" s="1173" t="s">
        <v>901</v>
      </c>
      <c r="C128" s="1217">
        <f>SUM(E128:AS128)</f>
        <v>0</v>
      </c>
      <c r="D128" s="1116">
        <f t="shared" si="26"/>
        <v>0</v>
      </c>
      <c r="Z128" s="1199"/>
      <c r="AA128" s="1199"/>
      <c r="AB128" s="1199"/>
      <c r="AC128" s="1199"/>
      <c r="AD128" s="1199"/>
      <c r="AE128" s="1199"/>
      <c r="AF128" s="1199"/>
      <c r="AG128" s="1199"/>
      <c r="AH128" s="1199"/>
      <c r="AI128" s="1199"/>
      <c r="AJ128" s="1199"/>
      <c r="AK128" s="1199"/>
      <c r="AL128" s="1199"/>
      <c r="AM128" s="1199"/>
      <c r="AN128" s="1199"/>
      <c r="AO128" s="1199"/>
      <c r="AP128" s="1199"/>
      <c r="AQ128" s="1199"/>
      <c r="AR128" s="1199"/>
      <c r="AS128" s="1738"/>
      <c r="AT128" s="1199"/>
      <c r="AU128" s="1199"/>
      <c r="AV128" s="1199"/>
      <c r="AW128" s="1738"/>
    </row>
    <row r="129" spans="1:49" ht="12" customHeight="1" thickBot="1">
      <c r="A129" s="1162" t="s">
        <v>756</v>
      </c>
      <c r="B129" s="1175" t="s">
        <v>902</v>
      </c>
      <c r="C129" s="1217">
        <f>SUM(E129:AS129)</f>
        <v>0</v>
      </c>
      <c r="D129" s="1166">
        <f t="shared" si="26"/>
        <v>0</v>
      </c>
      <c r="Z129" s="1199"/>
      <c r="AA129" s="1199"/>
      <c r="AB129" s="1199"/>
      <c r="AC129" s="1199"/>
      <c r="AD129" s="1199"/>
      <c r="AE129" s="1199"/>
      <c r="AF129" s="1199"/>
      <c r="AG129" s="1199"/>
      <c r="AH129" s="1199"/>
      <c r="AI129" s="1199"/>
      <c r="AJ129" s="1199"/>
      <c r="AK129" s="1199"/>
      <c r="AL129" s="1199"/>
      <c r="AM129" s="1199"/>
      <c r="AN129" s="1199"/>
      <c r="AO129" s="1199"/>
      <c r="AP129" s="1199"/>
      <c r="AQ129" s="1199"/>
      <c r="AR129" s="1199"/>
      <c r="AS129" s="1738"/>
      <c r="AT129" s="1199"/>
      <c r="AU129" s="1199"/>
      <c r="AV129" s="1199"/>
      <c r="AW129" s="1738"/>
    </row>
    <row r="130" spans="1:49" ht="12" customHeight="1" thickBot="1">
      <c r="A130" s="1099" t="s">
        <v>772</v>
      </c>
      <c r="B130" s="1172" t="s">
        <v>903</v>
      </c>
      <c r="C130" s="1101">
        <f>+C131+C132+C133+C134</f>
        <v>0</v>
      </c>
      <c r="D130" s="1102">
        <f>+D131+D132+D133+D134</f>
        <v>0</v>
      </c>
      <c r="Z130" s="1199"/>
      <c r="AA130" s="1199"/>
      <c r="AB130" s="1199"/>
      <c r="AC130" s="1199"/>
      <c r="AD130" s="1199"/>
      <c r="AE130" s="1199"/>
      <c r="AF130" s="1199"/>
      <c r="AG130" s="1199"/>
      <c r="AH130" s="1199"/>
      <c r="AI130" s="1199"/>
      <c r="AJ130" s="1199"/>
      <c r="AK130" s="1199"/>
      <c r="AL130" s="1199"/>
      <c r="AM130" s="1199"/>
      <c r="AN130" s="1199"/>
      <c r="AO130" s="1199"/>
      <c r="AP130" s="1199"/>
      <c r="AQ130" s="1199"/>
      <c r="AR130" s="1199"/>
      <c r="AS130" s="1738"/>
      <c r="AT130" s="1199"/>
      <c r="AU130" s="1199"/>
      <c r="AV130" s="1199"/>
      <c r="AW130" s="1738"/>
    </row>
    <row r="131" spans="1:49" ht="12" customHeight="1">
      <c r="A131" s="1103" t="s">
        <v>774</v>
      </c>
      <c r="B131" s="1173" t="s">
        <v>904</v>
      </c>
      <c r="C131" s="1217">
        <f>SUM(E131:AS131)</f>
        <v>0</v>
      </c>
      <c r="D131" s="1155">
        <f t="shared" ref="D131:D134" si="27">C131+SUM(AT131:AW131)</f>
        <v>0</v>
      </c>
      <c r="Z131" s="1199"/>
      <c r="AA131" s="1199"/>
      <c r="AB131" s="1199"/>
      <c r="AC131" s="1199"/>
      <c r="AD131" s="1199"/>
      <c r="AE131" s="1199"/>
      <c r="AF131" s="1199"/>
      <c r="AG131" s="1199"/>
      <c r="AH131" s="1199"/>
      <c r="AI131" s="1199"/>
      <c r="AJ131" s="1199"/>
      <c r="AK131" s="1199"/>
      <c r="AL131" s="1199"/>
      <c r="AM131" s="1199"/>
      <c r="AN131" s="1199"/>
      <c r="AO131" s="1199"/>
      <c r="AP131" s="1199"/>
      <c r="AQ131" s="1199"/>
      <c r="AR131" s="1199"/>
      <c r="AS131" s="1738"/>
      <c r="AT131" s="1199"/>
      <c r="AU131" s="1199"/>
      <c r="AV131" s="1199"/>
      <c r="AW131" s="1738"/>
    </row>
    <row r="132" spans="1:49" ht="12" customHeight="1">
      <c r="A132" s="1103" t="s">
        <v>776</v>
      </c>
      <c r="B132" s="1173" t="s">
        <v>905</v>
      </c>
      <c r="C132" s="1217">
        <f>SUM(E132:AS132)</f>
        <v>0</v>
      </c>
      <c r="D132" s="1116">
        <f t="shared" si="27"/>
        <v>0</v>
      </c>
      <c r="Z132" s="1199"/>
      <c r="AA132" s="1199"/>
      <c r="AB132" s="1199"/>
      <c r="AC132" s="1199"/>
      <c r="AD132" s="1199"/>
      <c r="AE132" s="1199"/>
      <c r="AF132" s="1199"/>
      <c r="AG132" s="1199"/>
      <c r="AH132" s="1199"/>
      <c r="AI132" s="1199"/>
      <c r="AJ132" s="1199"/>
      <c r="AK132" s="1199"/>
      <c r="AL132" s="1199"/>
      <c r="AM132" s="1199"/>
      <c r="AN132" s="1199"/>
      <c r="AO132" s="1199"/>
      <c r="AP132" s="1199"/>
      <c r="AQ132" s="1199"/>
      <c r="AR132" s="1199"/>
      <c r="AS132" s="1738"/>
      <c r="AT132" s="1199"/>
      <c r="AU132" s="1199"/>
      <c r="AV132" s="1199"/>
      <c r="AW132" s="1738"/>
    </row>
    <row r="133" spans="1:49" ht="12" customHeight="1">
      <c r="A133" s="1103" t="s">
        <v>777</v>
      </c>
      <c r="B133" s="1173" t="s">
        <v>906</v>
      </c>
      <c r="C133" s="1217">
        <f>SUM(E133:AS133)</f>
        <v>0</v>
      </c>
      <c r="D133" s="1116">
        <f t="shared" si="27"/>
        <v>0</v>
      </c>
      <c r="Z133" s="1199"/>
      <c r="AA133" s="1199"/>
      <c r="AB133" s="1199"/>
      <c r="AC133" s="1199"/>
      <c r="AD133" s="1199"/>
      <c r="AE133" s="1199"/>
      <c r="AF133" s="1199"/>
      <c r="AG133" s="1199"/>
      <c r="AH133" s="1199"/>
      <c r="AI133" s="1199"/>
      <c r="AJ133" s="1199"/>
      <c r="AK133" s="1199"/>
      <c r="AL133" s="1199"/>
      <c r="AM133" s="1199"/>
      <c r="AN133" s="1199"/>
      <c r="AO133" s="1199"/>
      <c r="AP133" s="1199"/>
      <c r="AQ133" s="1199"/>
      <c r="AR133" s="1199"/>
      <c r="AS133" s="1738"/>
      <c r="AT133" s="1199"/>
      <c r="AU133" s="1199"/>
      <c r="AV133" s="1199"/>
      <c r="AW133" s="1738"/>
    </row>
    <row r="134" spans="1:49" s="1151" customFormat="1" ht="12" customHeight="1" thickBot="1">
      <c r="A134" s="1162" t="s">
        <v>779</v>
      </c>
      <c r="B134" s="1175" t="s">
        <v>907</v>
      </c>
      <c r="C134" s="1217">
        <f>SUM(E134:AS134)</f>
        <v>0</v>
      </c>
      <c r="D134" s="1166">
        <f t="shared" si="27"/>
        <v>0</v>
      </c>
      <c r="E134" s="1199"/>
      <c r="F134" s="1199"/>
      <c r="G134" s="1199"/>
      <c r="H134" s="1199"/>
      <c r="I134" s="1199"/>
      <c r="J134" s="1199"/>
      <c r="K134" s="1199"/>
      <c r="L134" s="1199"/>
      <c r="M134" s="1199"/>
      <c r="N134" s="1199"/>
      <c r="O134" s="1199"/>
      <c r="P134" s="1199"/>
      <c r="Q134" s="1199"/>
      <c r="R134" s="1199"/>
      <c r="S134" s="1199"/>
      <c r="T134" s="1199"/>
      <c r="U134" s="1199"/>
      <c r="V134" s="1199"/>
      <c r="W134" s="1199"/>
      <c r="X134" s="1199"/>
      <c r="Y134" s="1199"/>
      <c r="Z134" s="1206"/>
      <c r="AA134" s="1206"/>
      <c r="AB134" s="1206"/>
      <c r="AC134" s="1206"/>
      <c r="AD134" s="1206"/>
      <c r="AE134" s="1206"/>
      <c r="AF134" s="1206"/>
      <c r="AG134" s="1206"/>
      <c r="AH134" s="1206"/>
      <c r="AI134" s="1206"/>
      <c r="AJ134" s="1206"/>
      <c r="AK134" s="1206"/>
      <c r="AL134" s="1206"/>
      <c r="AM134" s="1206"/>
      <c r="AN134" s="1206"/>
      <c r="AO134" s="1206"/>
      <c r="AP134" s="1206"/>
      <c r="AQ134" s="1206"/>
      <c r="AR134" s="1206"/>
      <c r="AS134" s="1746"/>
      <c r="AT134" s="1199"/>
      <c r="AU134" s="1199"/>
      <c r="AV134" s="1199"/>
      <c r="AW134" s="1738"/>
    </row>
    <row r="135" spans="1:49" ht="12" customHeight="1" thickBot="1">
      <c r="A135" s="1099" t="s">
        <v>908</v>
      </c>
      <c r="B135" s="1172" t="s">
        <v>909</v>
      </c>
      <c r="C135" s="1118">
        <f>+C136+C137+C138+C139</f>
        <v>172183886</v>
      </c>
      <c r="D135" s="1119">
        <f>+D136+D137+D138+D139</f>
        <v>172183886</v>
      </c>
      <c r="Z135" s="1199"/>
      <c r="AA135" s="1199"/>
      <c r="AB135" s="1199"/>
      <c r="AC135" s="1199"/>
      <c r="AD135" s="1199"/>
      <c r="AE135" s="1199"/>
      <c r="AF135" s="1199"/>
      <c r="AG135" s="1199"/>
      <c r="AH135" s="1199"/>
      <c r="AI135" s="1199"/>
      <c r="AJ135" s="1199"/>
      <c r="AK135" s="1199"/>
      <c r="AL135" s="1199"/>
      <c r="AM135" s="1199"/>
      <c r="AN135" s="1199"/>
      <c r="AO135" s="1199"/>
      <c r="AP135" s="1199"/>
      <c r="AQ135" s="1199"/>
      <c r="AR135" s="1199"/>
      <c r="AS135" s="1738"/>
      <c r="AT135" s="1199"/>
      <c r="AU135" s="1199"/>
      <c r="AV135" s="1199"/>
      <c r="AW135" s="1738"/>
    </row>
    <row r="136" spans="1:49">
      <c r="A136" s="1103" t="s">
        <v>785</v>
      </c>
      <c r="B136" s="1173" t="s">
        <v>910</v>
      </c>
      <c r="C136" s="1217">
        <f>SUM(E136:AS136)</f>
        <v>166644428</v>
      </c>
      <c r="D136" s="1155">
        <f t="shared" ref="D136:D139" si="28">C136+SUM(AT136:AW136)</f>
        <v>166644428</v>
      </c>
      <c r="L136" s="1199">
        <v>166644428</v>
      </c>
      <c r="Z136" s="1199"/>
      <c r="AA136" s="1199"/>
      <c r="AB136" s="1199"/>
      <c r="AC136" s="1199"/>
      <c r="AD136" s="1199"/>
      <c r="AE136" s="1199"/>
      <c r="AF136" s="1199"/>
      <c r="AG136" s="1199"/>
      <c r="AH136" s="1199"/>
      <c r="AI136" s="1199"/>
      <c r="AJ136" s="1199"/>
      <c r="AK136" s="1199"/>
      <c r="AL136" s="1199"/>
      <c r="AM136" s="1199"/>
      <c r="AN136" s="1199"/>
      <c r="AO136" s="1199"/>
      <c r="AP136" s="1199"/>
      <c r="AQ136" s="1199"/>
      <c r="AR136" s="1199"/>
      <c r="AS136" s="1738"/>
      <c r="AT136" s="1199"/>
      <c r="AU136" s="1199"/>
      <c r="AV136" s="1199"/>
      <c r="AW136" s="1738"/>
    </row>
    <row r="137" spans="1:49" ht="12" customHeight="1">
      <c r="A137" s="1103" t="s">
        <v>787</v>
      </c>
      <c r="B137" s="1173" t="s">
        <v>911</v>
      </c>
      <c r="C137" s="1217">
        <f>SUM(E137:AS137)</f>
        <v>5539458</v>
      </c>
      <c r="D137" s="1116">
        <f t="shared" si="28"/>
        <v>5539458</v>
      </c>
      <c r="L137" s="1199">
        <v>5539458</v>
      </c>
      <c r="Z137" s="1199"/>
      <c r="AA137" s="1199"/>
      <c r="AB137" s="1199"/>
      <c r="AC137" s="1199"/>
      <c r="AD137" s="1199"/>
      <c r="AE137" s="1199"/>
      <c r="AF137" s="1199"/>
      <c r="AG137" s="1199"/>
      <c r="AH137" s="1199"/>
      <c r="AI137" s="1199"/>
      <c r="AJ137" s="1199"/>
      <c r="AK137" s="1199"/>
      <c r="AL137" s="1199"/>
      <c r="AM137" s="1199"/>
      <c r="AN137" s="1199"/>
      <c r="AO137" s="1199"/>
      <c r="AP137" s="1199"/>
      <c r="AQ137" s="1199"/>
      <c r="AR137" s="1199"/>
      <c r="AS137" s="1738"/>
      <c r="AT137" s="1199"/>
      <c r="AU137" s="1199"/>
      <c r="AV137" s="1199"/>
      <c r="AW137" s="1738"/>
    </row>
    <row r="138" spans="1:49" s="1151" customFormat="1" ht="12" customHeight="1">
      <c r="A138" s="1103" t="s">
        <v>789</v>
      </c>
      <c r="B138" s="1173" t="s">
        <v>912</v>
      </c>
      <c r="C138" s="1217">
        <f>SUM(E138:AS138)</f>
        <v>0</v>
      </c>
      <c r="D138" s="1116">
        <f t="shared" si="28"/>
        <v>0</v>
      </c>
      <c r="E138" s="1199"/>
      <c r="F138" s="1199"/>
      <c r="G138" s="1199"/>
      <c r="H138" s="1199"/>
      <c r="I138" s="1199"/>
      <c r="J138" s="1199"/>
      <c r="K138" s="1199"/>
      <c r="L138" s="1199"/>
      <c r="M138" s="1199"/>
      <c r="N138" s="1199"/>
      <c r="O138" s="1199"/>
      <c r="P138" s="1199"/>
      <c r="Q138" s="1199"/>
      <c r="R138" s="1199"/>
      <c r="S138" s="1199"/>
      <c r="T138" s="1199"/>
      <c r="U138" s="1199"/>
      <c r="V138" s="1199"/>
      <c r="W138" s="1199"/>
      <c r="X138" s="1199"/>
      <c r="Y138" s="1199"/>
      <c r="Z138" s="1206"/>
      <c r="AA138" s="1206"/>
      <c r="AB138" s="1206"/>
      <c r="AC138" s="1206"/>
      <c r="AD138" s="1206"/>
      <c r="AE138" s="1206"/>
      <c r="AF138" s="1206"/>
      <c r="AG138" s="1206"/>
      <c r="AH138" s="1206"/>
      <c r="AI138" s="1206"/>
      <c r="AJ138" s="1206"/>
      <c r="AK138" s="1206"/>
      <c r="AL138" s="1206"/>
      <c r="AM138" s="1206"/>
      <c r="AN138" s="1206"/>
      <c r="AO138" s="1206"/>
      <c r="AP138" s="1206"/>
      <c r="AQ138" s="1206"/>
      <c r="AR138" s="1206"/>
      <c r="AS138" s="1746"/>
      <c r="AT138" s="1199"/>
      <c r="AU138" s="1199"/>
      <c r="AV138" s="1199"/>
      <c r="AW138" s="1738"/>
    </row>
    <row r="139" spans="1:49" s="1151" customFormat="1" ht="12" customHeight="1" thickBot="1">
      <c r="A139" s="1162" t="s">
        <v>791</v>
      </c>
      <c r="B139" s="1175" t="s">
        <v>913</v>
      </c>
      <c r="C139" s="1217">
        <f>SUM(E139:AS139)</f>
        <v>0</v>
      </c>
      <c r="D139" s="1166">
        <f t="shared" si="28"/>
        <v>0</v>
      </c>
      <c r="E139" s="1199"/>
      <c r="F139" s="1199"/>
      <c r="G139" s="1199"/>
      <c r="H139" s="1199"/>
      <c r="I139" s="1199"/>
      <c r="J139" s="1199"/>
      <c r="K139" s="1199"/>
      <c r="L139" s="1199"/>
      <c r="M139" s="1199"/>
      <c r="N139" s="1199"/>
      <c r="O139" s="1199"/>
      <c r="P139" s="1199"/>
      <c r="Q139" s="1199"/>
      <c r="R139" s="1199"/>
      <c r="S139" s="1199"/>
      <c r="T139" s="1199"/>
      <c r="U139" s="1199"/>
      <c r="V139" s="1199"/>
      <c r="W139" s="1199"/>
      <c r="X139" s="1199"/>
      <c r="Y139" s="1199"/>
      <c r="Z139" s="1206"/>
      <c r="AA139" s="1206"/>
      <c r="AB139" s="1206"/>
      <c r="AC139" s="1206"/>
      <c r="AD139" s="1206"/>
      <c r="AE139" s="1206"/>
      <c r="AF139" s="1206"/>
      <c r="AG139" s="1206"/>
      <c r="AH139" s="1206"/>
      <c r="AI139" s="1206"/>
      <c r="AJ139" s="1206"/>
      <c r="AK139" s="1206"/>
      <c r="AL139" s="1206"/>
      <c r="AM139" s="1206"/>
      <c r="AN139" s="1206"/>
      <c r="AO139" s="1206"/>
      <c r="AP139" s="1206"/>
      <c r="AQ139" s="1206"/>
      <c r="AR139" s="1206"/>
      <c r="AS139" s="1746"/>
      <c r="AT139" s="1199"/>
      <c r="AU139" s="1199"/>
      <c r="AV139" s="1199"/>
      <c r="AW139" s="1738"/>
    </row>
    <row r="140" spans="1:49" s="1151" customFormat="1" ht="12" customHeight="1" thickBot="1">
      <c r="A140" s="1099" t="s">
        <v>793</v>
      </c>
      <c r="B140" s="1172" t="s">
        <v>914</v>
      </c>
      <c r="C140" s="1178">
        <f>+C141+C142+C143+C144</f>
        <v>0</v>
      </c>
      <c r="D140" s="1179">
        <f>+D141+D142+D143+D144</f>
        <v>0</v>
      </c>
      <c r="E140" s="1199"/>
      <c r="F140" s="1199"/>
      <c r="G140" s="1199"/>
      <c r="H140" s="1199"/>
      <c r="I140" s="1199"/>
      <c r="J140" s="1199"/>
      <c r="K140" s="1199"/>
      <c r="L140" s="1199"/>
      <c r="M140" s="1199"/>
      <c r="N140" s="1199"/>
      <c r="O140" s="1199"/>
      <c r="P140" s="1199"/>
      <c r="Q140" s="1199"/>
      <c r="R140" s="1199"/>
      <c r="S140" s="1199"/>
      <c r="T140" s="1199"/>
      <c r="U140" s="1199"/>
      <c r="V140" s="1199"/>
      <c r="W140" s="1199"/>
      <c r="X140" s="1199"/>
      <c r="Y140" s="1199"/>
      <c r="Z140" s="1206"/>
      <c r="AA140" s="1206"/>
      <c r="AB140" s="1206"/>
      <c r="AC140" s="1206"/>
      <c r="AD140" s="1206"/>
      <c r="AE140" s="1206"/>
      <c r="AF140" s="1206"/>
      <c r="AG140" s="1206"/>
      <c r="AH140" s="1206"/>
      <c r="AI140" s="1206"/>
      <c r="AJ140" s="1206"/>
      <c r="AK140" s="1206"/>
      <c r="AL140" s="1206"/>
      <c r="AM140" s="1206"/>
      <c r="AN140" s="1206"/>
      <c r="AO140" s="1206"/>
      <c r="AP140" s="1206"/>
      <c r="AQ140" s="1206"/>
      <c r="AR140" s="1206"/>
      <c r="AS140" s="1746"/>
      <c r="AT140" s="1199"/>
      <c r="AU140" s="1199"/>
      <c r="AV140" s="1199"/>
      <c r="AW140" s="1738"/>
    </row>
    <row r="141" spans="1:49" s="1151" customFormat="1" ht="12" customHeight="1">
      <c r="A141" s="1103" t="s">
        <v>795</v>
      </c>
      <c r="B141" s="1173" t="s">
        <v>915</v>
      </c>
      <c r="C141" s="1217">
        <f>SUM(E141:AS141)</f>
        <v>0</v>
      </c>
      <c r="D141" s="1155">
        <f t="shared" ref="D141:D144" si="29">C141+SUM(AT141:AW141)</f>
        <v>0</v>
      </c>
      <c r="E141" s="1199"/>
      <c r="F141" s="1199"/>
      <c r="G141" s="1199"/>
      <c r="H141" s="1199"/>
      <c r="I141" s="1199"/>
      <c r="J141" s="1199"/>
      <c r="K141" s="1199"/>
      <c r="L141" s="1199"/>
      <c r="M141" s="1199"/>
      <c r="N141" s="1199"/>
      <c r="O141" s="1199"/>
      <c r="P141" s="1199"/>
      <c r="Q141" s="1199"/>
      <c r="R141" s="1199"/>
      <c r="S141" s="1199"/>
      <c r="T141" s="1199"/>
      <c r="U141" s="1199"/>
      <c r="V141" s="1199"/>
      <c r="W141" s="1199"/>
      <c r="X141" s="1199"/>
      <c r="Y141" s="1199"/>
      <c r="Z141" s="1206"/>
      <c r="AA141" s="1206"/>
      <c r="AB141" s="1206"/>
      <c r="AC141" s="1206"/>
      <c r="AD141" s="1206"/>
      <c r="AE141" s="1206"/>
      <c r="AF141" s="1206"/>
      <c r="AG141" s="1206"/>
      <c r="AH141" s="1206"/>
      <c r="AI141" s="1206"/>
      <c r="AJ141" s="1206"/>
      <c r="AK141" s="1206"/>
      <c r="AL141" s="1206"/>
      <c r="AM141" s="1206"/>
      <c r="AN141" s="1206"/>
      <c r="AO141" s="1206"/>
      <c r="AP141" s="1206"/>
      <c r="AQ141" s="1206"/>
      <c r="AR141" s="1206"/>
      <c r="AS141" s="1746"/>
      <c r="AT141" s="1199"/>
      <c r="AU141" s="1199"/>
      <c r="AV141" s="1199"/>
      <c r="AW141" s="1738"/>
    </row>
    <row r="142" spans="1:49" s="1151" customFormat="1" ht="12" customHeight="1">
      <c r="A142" s="1103" t="s">
        <v>797</v>
      </c>
      <c r="B142" s="1173" t="s">
        <v>916</v>
      </c>
      <c r="C142" s="1217">
        <f>SUM(E142:AS142)</f>
        <v>0</v>
      </c>
      <c r="D142" s="1116">
        <f t="shared" si="29"/>
        <v>0</v>
      </c>
      <c r="E142" s="1199"/>
      <c r="F142" s="1199"/>
      <c r="G142" s="1199"/>
      <c r="H142" s="1199"/>
      <c r="I142" s="1199"/>
      <c r="J142" s="1199"/>
      <c r="K142" s="1199"/>
      <c r="L142" s="1199"/>
      <c r="M142" s="1199"/>
      <c r="N142" s="1199"/>
      <c r="O142" s="1199"/>
      <c r="P142" s="1199"/>
      <c r="Q142" s="1199"/>
      <c r="R142" s="1199"/>
      <c r="S142" s="1199"/>
      <c r="T142" s="1199"/>
      <c r="U142" s="1199"/>
      <c r="V142" s="1199"/>
      <c r="W142" s="1199"/>
      <c r="X142" s="1199"/>
      <c r="Y142" s="1199"/>
      <c r="Z142" s="1206"/>
      <c r="AA142" s="1206"/>
      <c r="AB142" s="1206"/>
      <c r="AC142" s="1206"/>
      <c r="AD142" s="1206"/>
      <c r="AE142" s="1206"/>
      <c r="AF142" s="1206"/>
      <c r="AG142" s="1206"/>
      <c r="AH142" s="1206"/>
      <c r="AI142" s="1206"/>
      <c r="AJ142" s="1206"/>
      <c r="AK142" s="1206"/>
      <c r="AL142" s="1206"/>
      <c r="AM142" s="1206"/>
      <c r="AN142" s="1206"/>
      <c r="AO142" s="1206"/>
      <c r="AP142" s="1206"/>
      <c r="AQ142" s="1206"/>
      <c r="AR142" s="1206"/>
      <c r="AS142" s="1746"/>
      <c r="AT142" s="1199"/>
      <c r="AU142" s="1199"/>
      <c r="AV142" s="1199"/>
      <c r="AW142" s="1738"/>
    </row>
    <row r="143" spans="1:49" s="1151" customFormat="1" ht="12" customHeight="1">
      <c r="A143" s="1103" t="s">
        <v>799</v>
      </c>
      <c r="B143" s="1173" t="s">
        <v>917</v>
      </c>
      <c r="C143" s="1217">
        <f>SUM(E143:AS143)</f>
        <v>0</v>
      </c>
      <c r="D143" s="1116">
        <f t="shared" si="29"/>
        <v>0</v>
      </c>
      <c r="E143" s="1199"/>
      <c r="F143" s="1199"/>
      <c r="G143" s="1199"/>
      <c r="H143" s="1199"/>
      <c r="I143" s="1199"/>
      <c r="J143" s="1199"/>
      <c r="K143" s="1199"/>
      <c r="L143" s="1199"/>
      <c r="M143" s="1199"/>
      <c r="N143" s="1199"/>
      <c r="O143" s="1199"/>
      <c r="P143" s="1199"/>
      <c r="Q143" s="1199"/>
      <c r="R143" s="1199"/>
      <c r="S143" s="1199"/>
      <c r="T143" s="1199"/>
      <c r="U143" s="1199"/>
      <c r="V143" s="1199"/>
      <c r="W143" s="1199"/>
      <c r="X143" s="1199"/>
      <c r="Y143" s="1199"/>
      <c r="Z143" s="1206"/>
      <c r="AA143" s="1206"/>
      <c r="AB143" s="1206"/>
      <c r="AC143" s="1206"/>
      <c r="AD143" s="1206"/>
      <c r="AE143" s="1206"/>
      <c r="AF143" s="1206"/>
      <c r="AG143" s="1206"/>
      <c r="AH143" s="1206"/>
      <c r="AI143" s="1206"/>
      <c r="AJ143" s="1206"/>
      <c r="AK143" s="1206"/>
      <c r="AL143" s="1206"/>
      <c r="AM143" s="1206"/>
      <c r="AN143" s="1206"/>
      <c r="AO143" s="1206"/>
      <c r="AP143" s="1206"/>
      <c r="AQ143" s="1206"/>
      <c r="AR143" s="1206"/>
      <c r="AS143" s="1746"/>
      <c r="AT143" s="1199"/>
      <c r="AU143" s="1199"/>
      <c r="AV143" s="1199"/>
      <c r="AW143" s="1738"/>
    </row>
    <row r="144" spans="1:49" ht="12.75" customHeight="1" thickBot="1">
      <c r="A144" s="1103" t="s">
        <v>801</v>
      </c>
      <c r="B144" s="1173" t="s">
        <v>918</v>
      </c>
      <c r="C144" s="1217">
        <f>SUM(E144:AS144)</f>
        <v>0</v>
      </c>
      <c r="D144" s="1166">
        <f t="shared" si="29"/>
        <v>0</v>
      </c>
      <c r="Z144" s="1199"/>
      <c r="AA144" s="1199"/>
      <c r="AB144" s="1199"/>
      <c r="AC144" s="1199"/>
      <c r="AD144" s="1199"/>
      <c r="AE144" s="1199"/>
      <c r="AF144" s="1199"/>
      <c r="AG144" s="1199"/>
      <c r="AH144" s="1199"/>
      <c r="AI144" s="1199"/>
      <c r="AJ144" s="1199"/>
      <c r="AK144" s="1199"/>
      <c r="AL144" s="1199"/>
      <c r="AM144" s="1199"/>
      <c r="AN144" s="1199"/>
      <c r="AO144" s="1199"/>
      <c r="AP144" s="1199"/>
      <c r="AQ144" s="1199"/>
      <c r="AR144" s="1199"/>
      <c r="AS144" s="1738"/>
      <c r="AT144" s="1199"/>
      <c r="AU144" s="1199"/>
      <c r="AV144" s="1199"/>
      <c r="AW144" s="1738"/>
    </row>
    <row r="145" spans="1:53" ht="12" customHeight="1" thickBot="1">
      <c r="A145" s="1099" t="s">
        <v>803</v>
      </c>
      <c r="B145" s="1172" t="s">
        <v>919</v>
      </c>
      <c r="C145" s="1180">
        <f>+C126+C130+C135+C140</f>
        <v>172183886</v>
      </c>
      <c r="D145" s="1181">
        <f>+D126+D130+D135+D140</f>
        <v>172183886</v>
      </c>
      <c r="Z145" s="1199"/>
      <c r="AA145" s="1199"/>
      <c r="AB145" s="1199"/>
      <c r="AC145" s="1199"/>
      <c r="AD145" s="1199"/>
      <c r="AE145" s="1199"/>
      <c r="AF145" s="1199"/>
      <c r="AG145" s="1199"/>
      <c r="AH145" s="1199"/>
      <c r="AI145" s="1199"/>
      <c r="AJ145" s="1199"/>
      <c r="AK145" s="1199"/>
      <c r="AL145" s="1199"/>
      <c r="AM145" s="1199"/>
      <c r="AN145" s="1199"/>
      <c r="AO145" s="1199"/>
      <c r="AP145" s="1199"/>
      <c r="AQ145" s="1199"/>
      <c r="AR145" s="1199"/>
      <c r="AS145" s="1738"/>
      <c r="AT145" s="1199"/>
      <c r="AU145" s="1199"/>
      <c r="AV145" s="1199"/>
      <c r="AW145" s="1738"/>
    </row>
    <row r="146" spans="1:53" s="1219" customFormat="1" ht="15" customHeight="1" thickBot="1">
      <c r="A146" s="1182" t="s">
        <v>920</v>
      </c>
      <c r="B146" s="1183" t="s">
        <v>921</v>
      </c>
      <c r="C146" s="1180">
        <f>+C125+C145</f>
        <v>370768584</v>
      </c>
      <c r="D146" s="1181">
        <f>+D125+D145</f>
        <v>402013647</v>
      </c>
      <c r="E146" s="1218">
        <f>SUM(E93:E145)</f>
        <v>93771698</v>
      </c>
      <c r="F146" s="1218">
        <f t="shared" ref="F146:AS146" si="30">SUM(F93:F145)</f>
        <v>4418000</v>
      </c>
      <c r="G146" s="1218">
        <f t="shared" si="30"/>
        <v>39698000</v>
      </c>
      <c r="H146" s="1218">
        <f t="shared" si="30"/>
        <v>0</v>
      </c>
      <c r="I146" s="1218">
        <f>SUM(I93:I145)</f>
        <v>0</v>
      </c>
      <c r="J146" s="1218">
        <f t="shared" si="30"/>
        <v>1236000</v>
      </c>
      <c r="K146" s="1218">
        <f t="shared" si="30"/>
        <v>0</v>
      </c>
      <c r="L146" s="1218">
        <f>SUM(L93:L145)</f>
        <v>173883886</v>
      </c>
      <c r="M146" s="1218">
        <f t="shared" si="30"/>
        <v>1343000</v>
      </c>
      <c r="N146" s="1218">
        <f t="shared" si="30"/>
        <v>762000</v>
      </c>
      <c r="O146" s="1218">
        <f t="shared" si="30"/>
        <v>3000000</v>
      </c>
      <c r="P146" s="1218">
        <f t="shared" si="30"/>
        <v>282000</v>
      </c>
      <c r="Q146" s="1218">
        <f t="shared" si="30"/>
        <v>150000</v>
      </c>
      <c r="R146" s="1218">
        <f t="shared" si="30"/>
        <v>8836000</v>
      </c>
      <c r="S146" s="1218">
        <f t="shared" si="30"/>
        <v>4108000</v>
      </c>
      <c r="T146" s="1218">
        <f t="shared" si="30"/>
        <v>10428000</v>
      </c>
      <c r="U146" s="1218">
        <f t="shared" si="30"/>
        <v>387000</v>
      </c>
      <c r="V146" s="1218">
        <f t="shared" si="30"/>
        <v>601000</v>
      </c>
      <c r="W146" s="1218">
        <f t="shared" si="30"/>
        <v>261000</v>
      </c>
      <c r="X146" s="1218">
        <f t="shared" si="30"/>
        <v>1116000</v>
      </c>
      <c r="Y146" s="1218">
        <f t="shared" si="30"/>
        <v>4102000</v>
      </c>
      <c r="Z146" s="1218">
        <f t="shared" si="30"/>
        <v>1850000</v>
      </c>
      <c r="AA146" s="1218">
        <f t="shared" si="30"/>
        <v>450000</v>
      </c>
      <c r="AB146" s="1218">
        <f t="shared" si="30"/>
        <v>579000</v>
      </c>
      <c r="AC146" s="1218">
        <f t="shared" si="30"/>
        <v>8750000</v>
      </c>
      <c r="AD146" s="1218">
        <f t="shared" si="30"/>
        <v>1143000</v>
      </c>
      <c r="AE146" s="1218">
        <f t="shared" si="30"/>
        <v>1020000</v>
      </c>
      <c r="AF146" s="1218">
        <f t="shared" si="30"/>
        <v>4800000</v>
      </c>
      <c r="AG146" s="1218">
        <f>SUM(AG93:AG145)</f>
        <v>0</v>
      </c>
      <c r="AH146" s="1218">
        <f t="shared" si="30"/>
        <v>400000</v>
      </c>
      <c r="AI146" s="1218">
        <f t="shared" si="30"/>
        <v>0</v>
      </c>
      <c r="AJ146" s="1218">
        <f t="shared" si="30"/>
        <v>0</v>
      </c>
      <c r="AK146" s="1218">
        <f t="shared" si="30"/>
        <v>128000</v>
      </c>
      <c r="AL146" s="1218">
        <f>SUM(AL93:AL145)</f>
        <v>0</v>
      </c>
      <c r="AM146" s="1218">
        <f t="shared" si="30"/>
        <v>0</v>
      </c>
      <c r="AN146" s="1218">
        <f t="shared" si="30"/>
        <v>150000</v>
      </c>
      <c r="AO146" s="1218">
        <f t="shared" si="30"/>
        <v>1113000</v>
      </c>
      <c r="AP146" s="1218">
        <f t="shared" si="30"/>
        <v>2000</v>
      </c>
      <c r="AQ146" s="1218">
        <f t="shared" si="30"/>
        <v>2000000</v>
      </c>
      <c r="AR146" s="1218">
        <f t="shared" si="30"/>
        <v>0</v>
      </c>
      <c r="AS146" s="1739">
        <f t="shared" si="30"/>
        <v>0</v>
      </c>
      <c r="AT146" s="1218"/>
      <c r="AU146" s="1218"/>
      <c r="AV146" s="1218"/>
      <c r="AW146" s="1739"/>
      <c r="AX146" s="1218"/>
      <c r="AY146" s="1218"/>
      <c r="AZ146" s="1218"/>
      <c r="BA146" s="1218"/>
    </row>
    <row r="147" spans="1:53" ht="13.5" thickBot="1">
      <c r="D147" s="1754"/>
      <c r="AT147" s="1199"/>
      <c r="AU147" s="1199"/>
      <c r="AV147" s="1199"/>
      <c r="AW147" s="1738"/>
    </row>
    <row r="148" spans="1:53" ht="15" customHeight="1" thickBot="1">
      <c r="A148" s="1220" t="s">
        <v>964</v>
      </c>
      <c r="B148" s="1221"/>
      <c r="C148" s="1222">
        <v>6</v>
      </c>
      <c r="D148" s="1223">
        <v>6</v>
      </c>
      <c r="AS148" s="1744">
        <f>SUM(E146:AS146)</f>
        <v>370768584</v>
      </c>
      <c r="AT148" s="1199"/>
      <c r="AU148" s="1199"/>
      <c r="AV148" s="1199"/>
      <c r="AW148" s="1738"/>
    </row>
    <row r="149" spans="1:53" ht="14.25" customHeight="1" thickBot="1">
      <c r="A149" s="1220" t="s">
        <v>965</v>
      </c>
      <c r="B149" s="1221"/>
      <c r="C149" s="1222">
        <v>7</v>
      </c>
      <c r="D149" s="1223">
        <v>7</v>
      </c>
      <c r="AT149" s="1199"/>
      <c r="AU149" s="1199"/>
      <c r="AV149" s="1199"/>
      <c r="AW149" s="1738"/>
    </row>
    <row r="150" spans="1:53">
      <c r="A150" s="1224"/>
      <c r="AT150" s="1199"/>
      <c r="AU150" s="1199"/>
      <c r="AV150" s="1199"/>
      <c r="AW150" s="1738"/>
    </row>
    <row r="151" spans="1:53">
      <c r="AT151" s="1199"/>
      <c r="AU151" s="1199"/>
      <c r="AV151" s="1199"/>
      <c r="AW151" s="1738"/>
    </row>
  </sheetData>
  <sheetProtection selectLockedCells="1" selectUnlockedCells="1"/>
  <mergeCells count="5">
    <mergeCell ref="A1:D1"/>
    <mergeCell ref="C2:D3"/>
    <mergeCell ref="C4:D4"/>
    <mergeCell ref="A7:D7"/>
    <mergeCell ref="A91:D9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2" manualBreakCount="2">
    <brk id="69" max="3" man="1"/>
    <brk id="8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</sheetPr>
  <dimension ref="A1:AW151"/>
  <sheetViews>
    <sheetView view="pageBreakPreview" zoomScaleNormal="100" zoomScaleSheetLayoutView="100" workbookViewId="0">
      <selection activeCell="C2" sqref="C2:D3"/>
    </sheetView>
  </sheetViews>
  <sheetFormatPr defaultRowHeight="12.75"/>
  <cols>
    <col min="1" max="1" width="16.7109375" style="1190" customWidth="1"/>
    <col min="2" max="2" width="52.5703125" style="1191" customWidth="1"/>
    <col min="3" max="3" width="11" style="1192" customWidth="1"/>
    <col min="4" max="4" width="13.42578125" style="1192" customWidth="1"/>
    <col min="5" max="5" width="11.28515625" style="1199" hidden="1" customWidth="1"/>
    <col min="6" max="6" width="10.28515625" style="1199" hidden="1" customWidth="1"/>
    <col min="7" max="7" width="13.85546875" style="1199" hidden="1" customWidth="1"/>
    <col min="8" max="9" width="7.85546875" style="1199" hidden="1" customWidth="1"/>
    <col min="10" max="10" width="10.85546875" style="1199" hidden="1" customWidth="1"/>
    <col min="11" max="11" width="13" style="1199" hidden="1" customWidth="1"/>
    <col min="12" max="12" width="11.42578125" style="1199" hidden="1" customWidth="1"/>
    <col min="13" max="13" width="10" style="1199" hidden="1" customWidth="1"/>
    <col min="14" max="14" width="7.85546875" style="1199" hidden="1" customWidth="1"/>
    <col min="15" max="15" width="10.140625" style="1199" hidden="1" customWidth="1"/>
    <col min="16" max="17" width="7.85546875" style="1199" hidden="1" customWidth="1"/>
    <col min="18" max="18" width="10.85546875" style="1199" hidden="1" customWidth="1"/>
    <col min="19" max="19" width="10.7109375" style="1199" hidden="1" customWidth="1"/>
    <col min="20" max="20" width="11" style="1199" hidden="1" customWidth="1"/>
    <col min="21" max="23" width="7.85546875" style="1199" hidden="1" customWidth="1"/>
    <col min="24" max="24" width="11.28515625" style="1199" hidden="1" customWidth="1"/>
    <col min="25" max="25" width="12.42578125" style="1199" hidden="1" customWidth="1"/>
    <col min="26" max="26" width="7.85546875" style="1200" hidden="1" customWidth="1"/>
    <col min="27" max="27" width="11" style="1200" hidden="1" customWidth="1"/>
    <col min="28" max="28" width="10.5703125" style="1200" hidden="1" customWidth="1"/>
    <col min="29" max="33" width="7.85546875" style="1200" hidden="1" customWidth="1"/>
    <col min="34" max="34" width="8.42578125" style="1200" hidden="1" customWidth="1"/>
    <col min="35" max="35" width="11.42578125" style="1200" hidden="1" customWidth="1"/>
    <col min="36" max="36" width="7.85546875" style="1200" hidden="1" customWidth="1"/>
    <col min="37" max="37" width="9.5703125" style="1200" hidden="1" customWidth="1"/>
    <col min="38" max="38" width="7.85546875" style="1200" hidden="1" customWidth="1"/>
    <col min="39" max="39" width="12" style="1200" hidden="1" customWidth="1"/>
    <col min="40" max="40" width="13.42578125" style="1200" hidden="1" customWidth="1"/>
    <col min="41" max="41" width="9.5703125" style="1744" hidden="1" customWidth="1"/>
    <col min="42" max="43" width="9.140625" style="1093" hidden="1" customWidth="1"/>
    <col min="44" max="44" width="9.140625" style="1735" hidden="1" customWidth="1"/>
    <col min="45" max="48" width="9.140625" style="1093" customWidth="1"/>
    <col min="49" max="252" width="9.140625" style="1093"/>
    <col min="253" max="253" width="16.7109375" style="1093" customWidth="1"/>
    <col min="254" max="254" width="52.5703125" style="1093" customWidth="1"/>
    <col min="255" max="255" width="11" style="1093" customWidth="1"/>
    <col min="256" max="256" width="13.42578125" style="1093" customWidth="1"/>
    <col min="257" max="257" width="11.28515625" style="1093" customWidth="1"/>
    <col min="258" max="258" width="10.28515625" style="1093" customWidth="1"/>
    <col min="259" max="259" width="13.85546875" style="1093" customWidth="1"/>
    <col min="260" max="261" width="7.85546875" style="1093" customWidth="1"/>
    <col min="262" max="262" width="10.85546875" style="1093" customWidth="1"/>
    <col min="263" max="263" width="13" style="1093" customWidth="1"/>
    <col min="264" max="264" width="11.42578125" style="1093" customWidth="1"/>
    <col min="265" max="265" width="10" style="1093" customWidth="1"/>
    <col min="266" max="266" width="7.85546875" style="1093" customWidth="1"/>
    <col min="267" max="267" width="10.140625" style="1093" customWidth="1"/>
    <col min="268" max="269" width="7.85546875" style="1093" customWidth="1"/>
    <col min="270" max="270" width="10.85546875" style="1093" customWidth="1"/>
    <col min="271" max="271" width="10.7109375" style="1093" customWidth="1"/>
    <col min="272" max="272" width="11" style="1093" customWidth="1"/>
    <col min="273" max="275" width="7.85546875" style="1093" customWidth="1"/>
    <col min="276" max="276" width="11.28515625" style="1093" customWidth="1"/>
    <col min="277" max="277" width="12.42578125" style="1093" customWidth="1"/>
    <col min="278" max="278" width="11" style="1093" customWidth="1"/>
    <col min="279" max="280" width="7.85546875" style="1093" customWidth="1"/>
    <col min="281" max="281" width="11" style="1093" customWidth="1"/>
    <col min="282" max="282" width="10.5703125" style="1093" customWidth="1"/>
    <col min="283" max="284" width="11" style="1093" customWidth="1"/>
    <col min="285" max="289" width="7.85546875" style="1093" bestFit="1" customWidth="1"/>
    <col min="290" max="290" width="8.42578125" style="1093" bestFit="1" customWidth="1"/>
    <col min="291" max="291" width="11.42578125" style="1093" customWidth="1"/>
    <col min="292" max="292" width="7.85546875" style="1093" bestFit="1" customWidth="1"/>
    <col min="293" max="293" width="9.5703125" style="1093" customWidth="1"/>
    <col min="294" max="294" width="7.85546875" style="1093" bestFit="1" customWidth="1"/>
    <col min="295" max="295" width="12" style="1093" customWidth="1"/>
    <col min="296" max="296" width="13.42578125" style="1093" customWidth="1"/>
    <col min="297" max="297" width="9.5703125" style="1093" bestFit="1" customWidth="1"/>
    <col min="298" max="304" width="9.140625" style="1093" customWidth="1"/>
    <col min="305" max="508" width="9.140625" style="1093"/>
    <col min="509" max="509" width="16.7109375" style="1093" customWidth="1"/>
    <col min="510" max="510" width="52.5703125" style="1093" customWidth="1"/>
    <col min="511" max="511" width="11" style="1093" customWidth="1"/>
    <col min="512" max="512" width="13.42578125" style="1093" customWidth="1"/>
    <col min="513" max="513" width="11.28515625" style="1093" customWidth="1"/>
    <col min="514" max="514" width="10.28515625" style="1093" customWidth="1"/>
    <col min="515" max="515" width="13.85546875" style="1093" customWidth="1"/>
    <col min="516" max="517" width="7.85546875" style="1093" customWidth="1"/>
    <col min="518" max="518" width="10.85546875" style="1093" customWidth="1"/>
    <col min="519" max="519" width="13" style="1093" customWidth="1"/>
    <col min="520" max="520" width="11.42578125" style="1093" customWidth="1"/>
    <col min="521" max="521" width="10" style="1093" customWidth="1"/>
    <col min="522" max="522" width="7.85546875" style="1093" customWidth="1"/>
    <col min="523" max="523" width="10.140625" style="1093" customWidth="1"/>
    <col min="524" max="525" width="7.85546875" style="1093" customWidth="1"/>
    <col min="526" max="526" width="10.85546875" style="1093" customWidth="1"/>
    <col min="527" max="527" width="10.7109375" style="1093" customWidth="1"/>
    <col min="528" max="528" width="11" style="1093" customWidth="1"/>
    <col min="529" max="531" width="7.85546875" style="1093" customWidth="1"/>
    <col min="532" max="532" width="11.28515625" style="1093" customWidth="1"/>
    <col min="533" max="533" width="12.42578125" style="1093" customWidth="1"/>
    <col min="534" max="534" width="11" style="1093" customWidth="1"/>
    <col min="535" max="536" width="7.85546875" style="1093" customWidth="1"/>
    <col min="537" max="537" width="11" style="1093" customWidth="1"/>
    <col min="538" max="538" width="10.5703125" style="1093" customWidth="1"/>
    <col min="539" max="540" width="11" style="1093" customWidth="1"/>
    <col min="541" max="545" width="7.85546875" style="1093" bestFit="1" customWidth="1"/>
    <col min="546" max="546" width="8.42578125" style="1093" bestFit="1" customWidth="1"/>
    <col min="547" max="547" width="11.42578125" style="1093" customWidth="1"/>
    <col min="548" max="548" width="7.85546875" style="1093" bestFit="1" customWidth="1"/>
    <col min="549" max="549" width="9.5703125" style="1093" customWidth="1"/>
    <col min="550" max="550" width="7.85546875" style="1093" bestFit="1" customWidth="1"/>
    <col min="551" max="551" width="12" style="1093" customWidth="1"/>
    <col min="552" max="552" width="13.42578125" style="1093" customWidth="1"/>
    <col min="553" max="553" width="9.5703125" style="1093" bestFit="1" customWidth="1"/>
    <col min="554" max="560" width="9.140625" style="1093" customWidth="1"/>
    <col min="561" max="764" width="9.140625" style="1093"/>
    <col min="765" max="765" width="16.7109375" style="1093" customWidth="1"/>
    <col min="766" max="766" width="52.5703125" style="1093" customWidth="1"/>
    <col min="767" max="767" width="11" style="1093" customWidth="1"/>
    <col min="768" max="768" width="13.42578125" style="1093" customWidth="1"/>
    <col min="769" max="769" width="11.28515625" style="1093" customWidth="1"/>
    <col min="770" max="770" width="10.28515625" style="1093" customWidth="1"/>
    <col min="771" max="771" width="13.85546875" style="1093" customWidth="1"/>
    <col min="772" max="773" width="7.85546875" style="1093" customWidth="1"/>
    <col min="774" max="774" width="10.85546875" style="1093" customWidth="1"/>
    <col min="775" max="775" width="13" style="1093" customWidth="1"/>
    <col min="776" max="776" width="11.42578125" style="1093" customWidth="1"/>
    <col min="777" max="777" width="10" style="1093" customWidth="1"/>
    <col min="778" max="778" width="7.85546875" style="1093" customWidth="1"/>
    <col min="779" max="779" width="10.140625" style="1093" customWidth="1"/>
    <col min="780" max="781" width="7.85546875" style="1093" customWidth="1"/>
    <col min="782" max="782" width="10.85546875" style="1093" customWidth="1"/>
    <col min="783" max="783" width="10.7109375" style="1093" customWidth="1"/>
    <col min="784" max="784" width="11" style="1093" customWidth="1"/>
    <col min="785" max="787" width="7.85546875" style="1093" customWidth="1"/>
    <col min="788" max="788" width="11.28515625" style="1093" customWidth="1"/>
    <col min="789" max="789" width="12.42578125" style="1093" customWidth="1"/>
    <col min="790" max="790" width="11" style="1093" customWidth="1"/>
    <col min="791" max="792" width="7.85546875" style="1093" customWidth="1"/>
    <col min="793" max="793" width="11" style="1093" customWidth="1"/>
    <col min="794" max="794" width="10.5703125" style="1093" customWidth="1"/>
    <col min="795" max="796" width="11" style="1093" customWidth="1"/>
    <col min="797" max="801" width="7.85546875" style="1093" bestFit="1" customWidth="1"/>
    <col min="802" max="802" width="8.42578125" style="1093" bestFit="1" customWidth="1"/>
    <col min="803" max="803" width="11.42578125" style="1093" customWidth="1"/>
    <col min="804" max="804" width="7.85546875" style="1093" bestFit="1" customWidth="1"/>
    <col min="805" max="805" width="9.5703125" style="1093" customWidth="1"/>
    <col min="806" max="806" width="7.85546875" style="1093" bestFit="1" customWidth="1"/>
    <col min="807" max="807" width="12" style="1093" customWidth="1"/>
    <col min="808" max="808" width="13.42578125" style="1093" customWidth="1"/>
    <col min="809" max="809" width="9.5703125" style="1093" bestFit="1" customWidth="1"/>
    <col min="810" max="816" width="9.140625" style="1093" customWidth="1"/>
    <col min="817" max="1020" width="9.140625" style="1093"/>
    <col min="1021" max="1021" width="16.7109375" style="1093" customWidth="1"/>
    <col min="1022" max="1022" width="52.5703125" style="1093" customWidth="1"/>
    <col min="1023" max="1023" width="11" style="1093" customWidth="1"/>
    <col min="1024" max="1024" width="13.42578125" style="1093" customWidth="1"/>
    <col min="1025" max="1025" width="11.28515625" style="1093" customWidth="1"/>
    <col min="1026" max="1026" width="10.28515625" style="1093" customWidth="1"/>
    <col min="1027" max="1027" width="13.85546875" style="1093" customWidth="1"/>
    <col min="1028" max="1029" width="7.85546875" style="1093" customWidth="1"/>
    <col min="1030" max="1030" width="10.85546875" style="1093" customWidth="1"/>
    <col min="1031" max="1031" width="13" style="1093" customWidth="1"/>
    <col min="1032" max="1032" width="11.42578125" style="1093" customWidth="1"/>
    <col min="1033" max="1033" width="10" style="1093" customWidth="1"/>
    <col min="1034" max="1034" width="7.85546875" style="1093" customWidth="1"/>
    <col min="1035" max="1035" width="10.140625" style="1093" customWidth="1"/>
    <col min="1036" max="1037" width="7.85546875" style="1093" customWidth="1"/>
    <col min="1038" max="1038" width="10.85546875" style="1093" customWidth="1"/>
    <col min="1039" max="1039" width="10.7109375" style="1093" customWidth="1"/>
    <col min="1040" max="1040" width="11" style="1093" customWidth="1"/>
    <col min="1041" max="1043" width="7.85546875" style="1093" customWidth="1"/>
    <col min="1044" max="1044" width="11.28515625" style="1093" customWidth="1"/>
    <col min="1045" max="1045" width="12.42578125" style="1093" customWidth="1"/>
    <col min="1046" max="1046" width="11" style="1093" customWidth="1"/>
    <col min="1047" max="1048" width="7.85546875" style="1093" customWidth="1"/>
    <col min="1049" max="1049" width="11" style="1093" customWidth="1"/>
    <col min="1050" max="1050" width="10.5703125" style="1093" customWidth="1"/>
    <col min="1051" max="1052" width="11" style="1093" customWidth="1"/>
    <col min="1053" max="1057" width="7.85546875" style="1093" bestFit="1" customWidth="1"/>
    <col min="1058" max="1058" width="8.42578125" style="1093" bestFit="1" customWidth="1"/>
    <col min="1059" max="1059" width="11.42578125" style="1093" customWidth="1"/>
    <col min="1060" max="1060" width="7.85546875" style="1093" bestFit="1" customWidth="1"/>
    <col min="1061" max="1061" width="9.5703125" style="1093" customWidth="1"/>
    <col min="1062" max="1062" width="7.85546875" style="1093" bestFit="1" customWidth="1"/>
    <col min="1063" max="1063" width="12" style="1093" customWidth="1"/>
    <col min="1064" max="1064" width="13.42578125" style="1093" customWidth="1"/>
    <col min="1065" max="1065" width="9.5703125" style="1093" bestFit="1" customWidth="1"/>
    <col min="1066" max="1072" width="9.140625" style="1093" customWidth="1"/>
    <col min="1073" max="1276" width="9.140625" style="1093"/>
    <col min="1277" max="1277" width="16.7109375" style="1093" customWidth="1"/>
    <col min="1278" max="1278" width="52.5703125" style="1093" customWidth="1"/>
    <col min="1279" max="1279" width="11" style="1093" customWidth="1"/>
    <col min="1280" max="1280" width="13.42578125" style="1093" customWidth="1"/>
    <col min="1281" max="1281" width="11.28515625" style="1093" customWidth="1"/>
    <col min="1282" max="1282" width="10.28515625" style="1093" customWidth="1"/>
    <col min="1283" max="1283" width="13.85546875" style="1093" customWidth="1"/>
    <col min="1284" max="1285" width="7.85546875" style="1093" customWidth="1"/>
    <col min="1286" max="1286" width="10.85546875" style="1093" customWidth="1"/>
    <col min="1287" max="1287" width="13" style="1093" customWidth="1"/>
    <col min="1288" max="1288" width="11.42578125" style="1093" customWidth="1"/>
    <col min="1289" max="1289" width="10" style="1093" customWidth="1"/>
    <col min="1290" max="1290" width="7.85546875" style="1093" customWidth="1"/>
    <col min="1291" max="1291" width="10.140625" style="1093" customWidth="1"/>
    <col min="1292" max="1293" width="7.85546875" style="1093" customWidth="1"/>
    <col min="1294" max="1294" width="10.85546875" style="1093" customWidth="1"/>
    <col min="1295" max="1295" width="10.7109375" style="1093" customWidth="1"/>
    <col min="1296" max="1296" width="11" style="1093" customWidth="1"/>
    <col min="1297" max="1299" width="7.85546875" style="1093" customWidth="1"/>
    <col min="1300" max="1300" width="11.28515625" style="1093" customWidth="1"/>
    <col min="1301" max="1301" width="12.42578125" style="1093" customWidth="1"/>
    <col min="1302" max="1302" width="11" style="1093" customWidth="1"/>
    <col min="1303" max="1304" width="7.85546875" style="1093" customWidth="1"/>
    <col min="1305" max="1305" width="11" style="1093" customWidth="1"/>
    <col min="1306" max="1306" width="10.5703125" style="1093" customWidth="1"/>
    <col min="1307" max="1308" width="11" style="1093" customWidth="1"/>
    <col min="1309" max="1313" width="7.85546875" style="1093" bestFit="1" customWidth="1"/>
    <col min="1314" max="1314" width="8.42578125" style="1093" bestFit="1" customWidth="1"/>
    <col min="1315" max="1315" width="11.42578125" style="1093" customWidth="1"/>
    <col min="1316" max="1316" width="7.85546875" style="1093" bestFit="1" customWidth="1"/>
    <col min="1317" max="1317" width="9.5703125" style="1093" customWidth="1"/>
    <col min="1318" max="1318" width="7.85546875" style="1093" bestFit="1" customWidth="1"/>
    <col min="1319" max="1319" width="12" style="1093" customWidth="1"/>
    <col min="1320" max="1320" width="13.42578125" style="1093" customWidth="1"/>
    <col min="1321" max="1321" width="9.5703125" style="1093" bestFit="1" customWidth="1"/>
    <col min="1322" max="1328" width="9.140625" style="1093" customWidth="1"/>
    <col min="1329" max="1532" width="9.140625" style="1093"/>
    <col min="1533" max="1533" width="16.7109375" style="1093" customWidth="1"/>
    <col min="1534" max="1534" width="52.5703125" style="1093" customWidth="1"/>
    <col min="1535" max="1535" width="11" style="1093" customWidth="1"/>
    <col min="1536" max="1536" width="13.42578125" style="1093" customWidth="1"/>
    <col min="1537" max="1537" width="11.28515625" style="1093" customWidth="1"/>
    <col min="1538" max="1538" width="10.28515625" style="1093" customWidth="1"/>
    <col min="1539" max="1539" width="13.85546875" style="1093" customWidth="1"/>
    <col min="1540" max="1541" width="7.85546875" style="1093" customWidth="1"/>
    <col min="1542" max="1542" width="10.85546875" style="1093" customWidth="1"/>
    <col min="1543" max="1543" width="13" style="1093" customWidth="1"/>
    <col min="1544" max="1544" width="11.42578125" style="1093" customWidth="1"/>
    <col min="1545" max="1545" width="10" style="1093" customWidth="1"/>
    <col min="1546" max="1546" width="7.85546875" style="1093" customWidth="1"/>
    <col min="1547" max="1547" width="10.140625" style="1093" customWidth="1"/>
    <col min="1548" max="1549" width="7.85546875" style="1093" customWidth="1"/>
    <col min="1550" max="1550" width="10.85546875" style="1093" customWidth="1"/>
    <col min="1551" max="1551" width="10.7109375" style="1093" customWidth="1"/>
    <col min="1552" max="1552" width="11" style="1093" customWidth="1"/>
    <col min="1553" max="1555" width="7.85546875" style="1093" customWidth="1"/>
    <col min="1556" max="1556" width="11.28515625" style="1093" customWidth="1"/>
    <col min="1557" max="1557" width="12.42578125" style="1093" customWidth="1"/>
    <col min="1558" max="1558" width="11" style="1093" customWidth="1"/>
    <col min="1559" max="1560" width="7.85546875" style="1093" customWidth="1"/>
    <col min="1561" max="1561" width="11" style="1093" customWidth="1"/>
    <col min="1562" max="1562" width="10.5703125" style="1093" customWidth="1"/>
    <col min="1563" max="1564" width="11" style="1093" customWidth="1"/>
    <col min="1565" max="1569" width="7.85546875" style="1093" bestFit="1" customWidth="1"/>
    <col min="1570" max="1570" width="8.42578125" style="1093" bestFit="1" customWidth="1"/>
    <col min="1571" max="1571" width="11.42578125" style="1093" customWidth="1"/>
    <col min="1572" max="1572" width="7.85546875" style="1093" bestFit="1" customWidth="1"/>
    <col min="1573" max="1573" width="9.5703125" style="1093" customWidth="1"/>
    <col min="1574" max="1574" width="7.85546875" style="1093" bestFit="1" customWidth="1"/>
    <col min="1575" max="1575" width="12" style="1093" customWidth="1"/>
    <col min="1576" max="1576" width="13.42578125" style="1093" customWidth="1"/>
    <col min="1577" max="1577" width="9.5703125" style="1093" bestFit="1" customWidth="1"/>
    <col min="1578" max="1584" width="9.140625" style="1093" customWidth="1"/>
    <col min="1585" max="1788" width="9.140625" style="1093"/>
    <col min="1789" max="1789" width="16.7109375" style="1093" customWidth="1"/>
    <col min="1790" max="1790" width="52.5703125" style="1093" customWidth="1"/>
    <col min="1791" max="1791" width="11" style="1093" customWidth="1"/>
    <col min="1792" max="1792" width="13.42578125" style="1093" customWidth="1"/>
    <col min="1793" max="1793" width="11.28515625" style="1093" customWidth="1"/>
    <col min="1794" max="1794" width="10.28515625" style="1093" customWidth="1"/>
    <col min="1795" max="1795" width="13.85546875" style="1093" customWidth="1"/>
    <col min="1796" max="1797" width="7.85546875" style="1093" customWidth="1"/>
    <col min="1798" max="1798" width="10.85546875" style="1093" customWidth="1"/>
    <col min="1799" max="1799" width="13" style="1093" customWidth="1"/>
    <col min="1800" max="1800" width="11.42578125" style="1093" customWidth="1"/>
    <col min="1801" max="1801" width="10" style="1093" customWidth="1"/>
    <col min="1802" max="1802" width="7.85546875" style="1093" customWidth="1"/>
    <col min="1803" max="1803" width="10.140625" style="1093" customWidth="1"/>
    <col min="1804" max="1805" width="7.85546875" style="1093" customWidth="1"/>
    <col min="1806" max="1806" width="10.85546875" style="1093" customWidth="1"/>
    <col min="1807" max="1807" width="10.7109375" style="1093" customWidth="1"/>
    <col min="1808" max="1808" width="11" style="1093" customWidth="1"/>
    <col min="1809" max="1811" width="7.85546875" style="1093" customWidth="1"/>
    <col min="1812" max="1812" width="11.28515625" style="1093" customWidth="1"/>
    <col min="1813" max="1813" width="12.42578125" style="1093" customWidth="1"/>
    <col min="1814" max="1814" width="11" style="1093" customWidth="1"/>
    <col min="1815" max="1816" width="7.85546875" style="1093" customWidth="1"/>
    <col min="1817" max="1817" width="11" style="1093" customWidth="1"/>
    <col min="1818" max="1818" width="10.5703125" style="1093" customWidth="1"/>
    <col min="1819" max="1820" width="11" style="1093" customWidth="1"/>
    <col min="1821" max="1825" width="7.85546875" style="1093" bestFit="1" customWidth="1"/>
    <col min="1826" max="1826" width="8.42578125" style="1093" bestFit="1" customWidth="1"/>
    <col min="1827" max="1827" width="11.42578125" style="1093" customWidth="1"/>
    <col min="1828" max="1828" width="7.85546875" style="1093" bestFit="1" customWidth="1"/>
    <col min="1829" max="1829" width="9.5703125" style="1093" customWidth="1"/>
    <col min="1830" max="1830" width="7.85546875" style="1093" bestFit="1" customWidth="1"/>
    <col min="1831" max="1831" width="12" style="1093" customWidth="1"/>
    <col min="1832" max="1832" width="13.42578125" style="1093" customWidth="1"/>
    <col min="1833" max="1833" width="9.5703125" style="1093" bestFit="1" customWidth="1"/>
    <col min="1834" max="1840" width="9.140625" style="1093" customWidth="1"/>
    <col min="1841" max="2044" width="9.140625" style="1093"/>
    <col min="2045" max="2045" width="16.7109375" style="1093" customWidth="1"/>
    <col min="2046" max="2046" width="52.5703125" style="1093" customWidth="1"/>
    <col min="2047" max="2047" width="11" style="1093" customWidth="1"/>
    <col min="2048" max="2048" width="13.42578125" style="1093" customWidth="1"/>
    <col min="2049" max="2049" width="11.28515625" style="1093" customWidth="1"/>
    <col min="2050" max="2050" width="10.28515625" style="1093" customWidth="1"/>
    <col min="2051" max="2051" width="13.85546875" style="1093" customWidth="1"/>
    <col min="2052" max="2053" width="7.85546875" style="1093" customWidth="1"/>
    <col min="2054" max="2054" width="10.85546875" style="1093" customWidth="1"/>
    <col min="2055" max="2055" width="13" style="1093" customWidth="1"/>
    <col min="2056" max="2056" width="11.42578125" style="1093" customWidth="1"/>
    <col min="2057" max="2057" width="10" style="1093" customWidth="1"/>
    <col min="2058" max="2058" width="7.85546875" style="1093" customWidth="1"/>
    <col min="2059" max="2059" width="10.140625" style="1093" customWidth="1"/>
    <col min="2060" max="2061" width="7.85546875" style="1093" customWidth="1"/>
    <col min="2062" max="2062" width="10.85546875" style="1093" customWidth="1"/>
    <col min="2063" max="2063" width="10.7109375" style="1093" customWidth="1"/>
    <col min="2064" max="2064" width="11" style="1093" customWidth="1"/>
    <col min="2065" max="2067" width="7.85546875" style="1093" customWidth="1"/>
    <col min="2068" max="2068" width="11.28515625" style="1093" customWidth="1"/>
    <col min="2069" max="2069" width="12.42578125" style="1093" customWidth="1"/>
    <col min="2070" max="2070" width="11" style="1093" customWidth="1"/>
    <col min="2071" max="2072" width="7.85546875" style="1093" customWidth="1"/>
    <col min="2073" max="2073" width="11" style="1093" customWidth="1"/>
    <col min="2074" max="2074" width="10.5703125" style="1093" customWidth="1"/>
    <col min="2075" max="2076" width="11" style="1093" customWidth="1"/>
    <col min="2077" max="2081" width="7.85546875" style="1093" bestFit="1" customWidth="1"/>
    <col min="2082" max="2082" width="8.42578125" style="1093" bestFit="1" customWidth="1"/>
    <col min="2083" max="2083" width="11.42578125" style="1093" customWidth="1"/>
    <col min="2084" max="2084" width="7.85546875" style="1093" bestFit="1" customWidth="1"/>
    <col min="2085" max="2085" width="9.5703125" style="1093" customWidth="1"/>
    <col min="2086" max="2086" width="7.85546875" style="1093" bestFit="1" customWidth="1"/>
    <col min="2087" max="2087" width="12" style="1093" customWidth="1"/>
    <col min="2088" max="2088" width="13.42578125" style="1093" customWidth="1"/>
    <col min="2089" max="2089" width="9.5703125" style="1093" bestFit="1" customWidth="1"/>
    <col min="2090" max="2096" width="9.140625" style="1093" customWidth="1"/>
    <col min="2097" max="2300" width="9.140625" style="1093"/>
    <col min="2301" max="2301" width="16.7109375" style="1093" customWidth="1"/>
    <col min="2302" max="2302" width="52.5703125" style="1093" customWidth="1"/>
    <col min="2303" max="2303" width="11" style="1093" customWidth="1"/>
    <col min="2304" max="2304" width="13.42578125" style="1093" customWidth="1"/>
    <col min="2305" max="2305" width="11.28515625" style="1093" customWidth="1"/>
    <col min="2306" max="2306" width="10.28515625" style="1093" customWidth="1"/>
    <col min="2307" max="2307" width="13.85546875" style="1093" customWidth="1"/>
    <col min="2308" max="2309" width="7.85546875" style="1093" customWidth="1"/>
    <col min="2310" max="2310" width="10.85546875" style="1093" customWidth="1"/>
    <col min="2311" max="2311" width="13" style="1093" customWidth="1"/>
    <col min="2312" max="2312" width="11.42578125" style="1093" customWidth="1"/>
    <col min="2313" max="2313" width="10" style="1093" customWidth="1"/>
    <col min="2314" max="2314" width="7.85546875" style="1093" customWidth="1"/>
    <col min="2315" max="2315" width="10.140625" style="1093" customWidth="1"/>
    <col min="2316" max="2317" width="7.85546875" style="1093" customWidth="1"/>
    <col min="2318" max="2318" width="10.85546875" style="1093" customWidth="1"/>
    <col min="2319" max="2319" width="10.7109375" style="1093" customWidth="1"/>
    <col min="2320" max="2320" width="11" style="1093" customWidth="1"/>
    <col min="2321" max="2323" width="7.85546875" style="1093" customWidth="1"/>
    <col min="2324" max="2324" width="11.28515625" style="1093" customWidth="1"/>
    <col min="2325" max="2325" width="12.42578125" style="1093" customWidth="1"/>
    <col min="2326" max="2326" width="11" style="1093" customWidth="1"/>
    <col min="2327" max="2328" width="7.85546875" style="1093" customWidth="1"/>
    <col min="2329" max="2329" width="11" style="1093" customWidth="1"/>
    <col min="2330" max="2330" width="10.5703125" style="1093" customWidth="1"/>
    <col min="2331" max="2332" width="11" style="1093" customWidth="1"/>
    <col min="2333" max="2337" width="7.85546875" style="1093" bestFit="1" customWidth="1"/>
    <col min="2338" max="2338" width="8.42578125" style="1093" bestFit="1" customWidth="1"/>
    <col min="2339" max="2339" width="11.42578125" style="1093" customWidth="1"/>
    <col min="2340" max="2340" width="7.85546875" style="1093" bestFit="1" customWidth="1"/>
    <col min="2341" max="2341" width="9.5703125" style="1093" customWidth="1"/>
    <col min="2342" max="2342" width="7.85546875" style="1093" bestFit="1" customWidth="1"/>
    <col min="2343" max="2343" width="12" style="1093" customWidth="1"/>
    <col min="2344" max="2344" width="13.42578125" style="1093" customWidth="1"/>
    <col min="2345" max="2345" width="9.5703125" style="1093" bestFit="1" customWidth="1"/>
    <col min="2346" max="2352" width="9.140625" style="1093" customWidth="1"/>
    <col min="2353" max="2556" width="9.140625" style="1093"/>
    <col min="2557" max="2557" width="16.7109375" style="1093" customWidth="1"/>
    <col min="2558" max="2558" width="52.5703125" style="1093" customWidth="1"/>
    <col min="2559" max="2559" width="11" style="1093" customWidth="1"/>
    <col min="2560" max="2560" width="13.42578125" style="1093" customWidth="1"/>
    <col min="2561" max="2561" width="11.28515625" style="1093" customWidth="1"/>
    <col min="2562" max="2562" width="10.28515625" style="1093" customWidth="1"/>
    <col min="2563" max="2563" width="13.85546875" style="1093" customWidth="1"/>
    <col min="2564" max="2565" width="7.85546875" style="1093" customWidth="1"/>
    <col min="2566" max="2566" width="10.85546875" style="1093" customWidth="1"/>
    <col min="2567" max="2567" width="13" style="1093" customWidth="1"/>
    <col min="2568" max="2568" width="11.42578125" style="1093" customWidth="1"/>
    <col min="2569" max="2569" width="10" style="1093" customWidth="1"/>
    <col min="2570" max="2570" width="7.85546875" style="1093" customWidth="1"/>
    <col min="2571" max="2571" width="10.140625" style="1093" customWidth="1"/>
    <col min="2572" max="2573" width="7.85546875" style="1093" customWidth="1"/>
    <col min="2574" max="2574" width="10.85546875" style="1093" customWidth="1"/>
    <col min="2575" max="2575" width="10.7109375" style="1093" customWidth="1"/>
    <col min="2576" max="2576" width="11" style="1093" customWidth="1"/>
    <col min="2577" max="2579" width="7.85546875" style="1093" customWidth="1"/>
    <col min="2580" max="2580" width="11.28515625" style="1093" customWidth="1"/>
    <col min="2581" max="2581" width="12.42578125" style="1093" customWidth="1"/>
    <col min="2582" max="2582" width="11" style="1093" customWidth="1"/>
    <col min="2583" max="2584" width="7.85546875" style="1093" customWidth="1"/>
    <col min="2585" max="2585" width="11" style="1093" customWidth="1"/>
    <col min="2586" max="2586" width="10.5703125" style="1093" customWidth="1"/>
    <col min="2587" max="2588" width="11" style="1093" customWidth="1"/>
    <col min="2589" max="2593" width="7.85546875" style="1093" bestFit="1" customWidth="1"/>
    <col min="2594" max="2594" width="8.42578125" style="1093" bestFit="1" customWidth="1"/>
    <col min="2595" max="2595" width="11.42578125" style="1093" customWidth="1"/>
    <col min="2596" max="2596" width="7.85546875" style="1093" bestFit="1" customWidth="1"/>
    <col min="2597" max="2597" width="9.5703125" style="1093" customWidth="1"/>
    <col min="2598" max="2598" width="7.85546875" style="1093" bestFit="1" customWidth="1"/>
    <col min="2599" max="2599" width="12" style="1093" customWidth="1"/>
    <col min="2600" max="2600" width="13.42578125" style="1093" customWidth="1"/>
    <col min="2601" max="2601" width="9.5703125" style="1093" bestFit="1" customWidth="1"/>
    <col min="2602" max="2608" width="9.140625" style="1093" customWidth="1"/>
    <col min="2609" max="2812" width="9.140625" style="1093"/>
    <col min="2813" max="2813" width="16.7109375" style="1093" customWidth="1"/>
    <col min="2814" max="2814" width="52.5703125" style="1093" customWidth="1"/>
    <col min="2815" max="2815" width="11" style="1093" customWidth="1"/>
    <col min="2816" max="2816" width="13.42578125" style="1093" customWidth="1"/>
    <col min="2817" max="2817" width="11.28515625" style="1093" customWidth="1"/>
    <col min="2818" max="2818" width="10.28515625" style="1093" customWidth="1"/>
    <col min="2819" max="2819" width="13.85546875" style="1093" customWidth="1"/>
    <col min="2820" max="2821" width="7.85546875" style="1093" customWidth="1"/>
    <col min="2822" max="2822" width="10.85546875" style="1093" customWidth="1"/>
    <col min="2823" max="2823" width="13" style="1093" customWidth="1"/>
    <col min="2824" max="2824" width="11.42578125" style="1093" customWidth="1"/>
    <col min="2825" max="2825" width="10" style="1093" customWidth="1"/>
    <col min="2826" max="2826" width="7.85546875" style="1093" customWidth="1"/>
    <col min="2827" max="2827" width="10.140625" style="1093" customWidth="1"/>
    <col min="2828" max="2829" width="7.85546875" style="1093" customWidth="1"/>
    <col min="2830" max="2830" width="10.85546875" style="1093" customWidth="1"/>
    <col min="2831" max="2831" width="10.7109375" style="1093" customWidth="1"/>
    <col min="2832" max="2832" width="11" style="1093" customWidth="1"/>
    <col min="2833" max="2835" width="7.85546875" style="1093" customWidth="1"/>
    <col min="2836" max="2836" width="11.28515625" style="1093" customWidth="1"/>
    <col min="2837" max="2837" width="12.42578125" style="1093" customWidth="1"/>
    <col min="2838" max="2838" width="11" style="1093" customWidth="1"/>
    <col min="2839" max="2840" width="7.85546875" style="1093" customWidth="1"/>
    <col min="2841" max="2841" width="11" style="1093" customWidth="1"/>
    <col min="2842" max="2842" width="10.5703125" style="1093" customWidth="1"/>
    <col min="2843" max="2844" width="11" style="1093" customWidth="1"/>
    <col min="2845" max="2849" width="7.85546875" style="1093" bestFit="1" customWidth="1"/>
    <col min="2850" max="2850" width="8.42578125" style="1093" bestFit="1" customWidth="1"/>
    <col min="2851" max="2851" width="11.42578125" style="1093" customWidth="1"/>
    <col min="2852" max="2852" width="7.85546875" style="1093" bestFit="1" customWidth="1"/>
    <col min="2853" max="2853" width="9.5703125" style="1093" customWidth="1"/>
    <col min="2854" max="2854" width="7.85546875" style="1093" bestFit="1" customWidth="1"/>
    <col min="2855" max="2855" width="12" style="1093" customWidth="1"/>
    <col min="2856" max="2856" width="13.42578125" style="1093" customWidth="1"/>
    <col min="2857" max="2857" width="9.5703125" style="1093" bestFit="1" customWidth="1"/>
    <col min="2858" max="2864" width="9.140625" style="1093" customWidth="1"/>
    <col min="2865" max="3068" width="9.140625" style="1093"/>
    <col min="3069" max="3069" width="16.7109375" style="1093" customWidth="1"/>
    <col min="3070" max="3070" width="52.5703125" style="1093" customWidth="1"/>
    <col min="3071" max="3071" width="11" style="1093" customWidth="1"/>
    <col min="3072" max="3072" width="13.42578125" style="1093" customWidth="1"/>
    <col min="3073" max="3073" width="11.28515625" style="1093" customWidth="1"/>
    <col min="3074" max="3074" width="10.28515625" style="1093" customWidth="1"/>
    <col min="3075" max="3075" width="13.85546875" style="1093" customWidth="1"/>
    <col min="3076" max="3077" width="7.85546875" style="1093" customWidth="1"/>
    <col min="3078" max="3078" width="10.85546875" style="1093" customWidth="1"/>
    <col min="3079" max="3079" width="13" style="1093" customWidth="1"/>
    <col min="3080" max="3080" width="11.42578125" style="1093" customWidth="1"/>
    <col min="3081" max="3081" width="10" style="1093" customWidth="1"/>
    <col min="3082" max="3082" width="7.85546875" style="1093" customWidth="1"/>
    <col min="3083" max="3083" width="10.140625" style="1093" customWidth="1"/>
    <col min="3084" max="3085" width="7.85546875" style="1093" customWidth="1"/>
    <col min="3086" max="3086" width="10.85546875" style="1093" customWidth="1"/>
    <col min="3087" max="3087" width="10.7109375" style="1093" customWidth="1"/>
    <col min="3088" max="3088" width="11" style="1093" customWidth="1"/>
    <col min="3089" max="3091" width="7.85546875" style="1093" customWidth="1"/>
    <col min="3092" max="3092" width="11.28515625" style="1093" customWidth="1"/>
    <col min="3093" max="3093" width="12.42578125" style="1093" customWidth="1"/>
    <col min="3094" max="3094" width="11" style="1093" customWidth="1"/>
    <col min="3095" max="3096" width="7.85546875" style="1093" customWidth="1"/>
    <col min="3097" max="3097" width="11" style="1093" customWidth="1"/>
    <col min="3098" max="3098" width="10.5703125" style="1093" customWidth="1"/>
    <col min="3099" max="3100" width="11" style="1093" customWidth="1"/>
    <col min="3101" max="3105" width="7.85546875" style="1093" bestFit="1" customWidth="1"/>
    <col min="3106" max="3106" width="8.42578125" style="1093" bestFit="1" customWidth="1"/>
    <col min="3107" max="3107" width="11.42578125" style="1093" customWidth="1"/>
    <col min="3108" max="3108" width="7.85546875" style="1093" bestFit="1" customWidth="1"/>
    <col min="3109" max="3109" width="9.5703125" style="1093" customWidth="1"/>
    <col min="3110" max="3110" width="7.85546875" style="1093" bestFit="1" customWidth="1"/>
    <col min="3111" max="3111" width="12" style="1093" customWidth="1"/>
    <col min="3112" max="3112" width="13.42578125" style="1093" customWidth="1"/>
    <col min="3113" max="3113" width="9.5703125" style="1093" bestFit="1" customWidth="1"/>
    <col min="3114" max="3120" width="9.140625" style="1093" customWidth="1"/>
    <col min="3121" max="3324" width="9.140625" style="1093"/>
    <col min="3325" max="3325" width="16.7109375" style="1093" customWidth="1"/>
    <col min="3326" max="3326" width="52.5703125" style="1093" customWidth="1"/>
    <col min="3327" max="3327" width="11" style="1093" customWidth="1"/>
    <col min="3328" max="3328" width="13.42578125" style="1093" customWidth="1"/>
    <col min="3329" max="3329" width="11.28515625" style="1093" customWidth="1"/>
    <col min="3330" max="3330" width="10.28515625" style="1093" customWidth="1"/>
    <col min="3331" max="3331" width="13.85546875" style="1093" customWidth="1"/>
    <col min="3332" max="3333" width="7.85546875" style="1093" customWidth="1"/>
    <col min="3334" max="3334" width="10.85546875" style="1093" customWidth="1"/>
    <col min="3335" max="3335" width="13" style="1093" customWidth="1"/>
    <col min="3336" max="3336" width="11.42578125" style="1093" customWidth="1"/>
    <col min="3337" max="3337" width="10" style="1093" customWidth="1"/>
    <col min="3338" max="3338" width="7.85546875" style="1093" customWidth="1"/>
    <col min="3339" max="3339" width="10.140625" style="1093" customWidth="1"/>
    <col min="3340" max="3341" width="7.85546875" style="1093" customWidth="1"/>
    <col min="3342" max="3342" width="10.85546875" style="1093" customWidth="1"/>
    <col min="3343" max="3343" width="10.7109375" style="1093" customWidth="1"/>
    <col min="3344" max="3344" width="11" style="1093" customWidth="1"/>
    <col min="3345" max="3347" width="7.85546875" style="1093" customWidth="1"/>
    <col min="3348" max="3348" width="11.28515625" style="1093" customWidth="1"/>
    <col min="3349" max="3349" width="12.42578125" style="1093" customWidth="1"/>
    <col min="3350" max="3350" width="11" style="1093" customWidth="1"/>
    <col min="3351" max="3352" width="7.85546875" style="1093" customWidth="1"/>
    <col min="3353" max="3353" width="11" style="1093" customWidth="1"/>
    <col min="3354" max="3354" width="10.5703125" style="1093" customWidth="1"/>
    <col min="3355" max="3356" width="11" style="1093" customWidth="1"/>
    <col min="3357" max="3361" width="7.85546875" style="1093" bestFit="1" customWidth="1"/>
    <col min="3362" max="3362" width="8.42578125" style="1093" bestFit="1" customWidth="1"/>
    <col min="3363" max="3363" width="11.42578125" style="1093" customWidth="1"/>
    <col min="3364" max="3364" width="7.85546875" style="1093" bestFit="1" customWidth="1"/>
    <col min="3365" max="3365" width="9.5703125" style="1093" customWidth="1"/>
    <col min="3366" max="3366" width="7.85546875" style="1093" bestFit="1" customWidth="1"/>
    <col min="3367" max="3367" width="12" style="1093" customWidth="1"/>
    <col min="3368" max="3368" width="13.42578125" style="1093" customWidth="1"/>
    <col min="3369" max="3369" width="9.5703125" style="1093" bestFit="1" customWidth="1"/>
    <col min="3370" max="3376" width="9.140625" style="1093" customWidth="1"/>
    <col min="3377" max="3580" width="9.140625" style="1093"/>
    <col min="3581" max="3581" width="16.7109375" style="1093" customWidth="1"/>
    <col min="3582" max="3582" width="52.5703125" style="1093" customWidth="1"/>
    <col min="3583" max="3583" width="11" style="1093" customWidth="1"/>
    <col min="3584" max="3584" width="13.42578125" style="1093" customWidth="1"/>
    <col min="3585" max="3585" width="11.28515625" style="1093" customWidth="1"/>
    <col min="3586" max="3586" width="10.28515625" style="1093" customWidth="1"/>
    <col min="3587" max="3587" width="13.85546875" style="1093" customWidth="1"/>
    <col min="3588" max="3589" width="7.85546875" style="1093" customWidth="1"/>
    <col min="3590" max="3590" width="10.85546875" style="1093" customWidth="1"/>
    <col min="3591" max="3591" width="13" style="1093" customWidth="1"/>
    <col min="3592" max="3592" width="11.42578125" style="1093" customWidth="1"/>
    <col min="3593" max="3593" width="10" style="1093" customWidth="1"/>
    <col min="3594" max="3594" width="7.85546875" style="1093" customWidth="1"/>
    <col min="3595" max="3595" width="10.140625" style="1093" customWidth="1"/>
    <col min="3596" max="3597" width="7.85546875" style="1093" customWidth="1"/>
    <col min="3598" max="3598" width="10.85546875" style="1093" customWidth="1"/>
    <col min="3599" max="3599" width="10.7109375" style="1093" customWidth="1"/>
    <col min="3600" max="3600" width="11" style="1093" customWidth="1"/>
    <col min="3601" max="3603" width="7.85546875" style="1093" customWidth="1"/>
    <col min="3604" max="3604" width="11.28515625" style="1093" customWidth="1"/>
    <col min="3605" max="3605" width="12.42578125" style="1093" customWidth="1"/>
    <col min="3606" max="3606" width="11" style="1093" customWidth="1"/>
    <col min="3607" max="3608" width="7.85546875" style="1093" customWidth="1"/>
    <col min="3609" max="3609" width="11" style="1093" customWidth="1"/>
    <col min="3610" max="3610" width="10.5703125" style="1093" customWidth="1"/>
    <col min="3611" max="3612" width="11" style="1093" customWidth="1"/>
    <col min="3613" max="3617" width="7.85546875" style="1093" bestFit="1" customWidth="1"/>
    <col min="3618" max="3618" width="8.42578125" style="1093" bestFit="1" customWidth="1"/>
    <col min="3619" max="3619" width="11.42578125" style="1093" customWidth="1"/>
    <col min="3620" max="3620" width="7.85546875" style="1093" bestFit="1" customWidth="1"/>
    <col min="3621" max="3621" width="9.5703125" style="1093" customWidth="1"/>
    <col min="3622" max="3622" width="7.85546875" style="1093" bestFit="1" customWidth="1"/>
    <col min="3623" max="3623" width="12" style="1093" customWidth="1"/>
    <col min="3624" max="3624" width="13.42578125" style="1093" customWidth="1"/>
    <col min="3625" max="3625" width="9.5703125" style="1093" bestFit="1" customWidth="1"/>
    <col min="3626" max="3632" width="9.140625" style="1093" customWidth="1"/>
    <col min="3633" max="3836" width="9.140625" style="1093"/>
    <col min="3837" max="3837" width="16.7109375" style="1093" customWidth="1"/>
    <col min="3838" max="3838" width="52.5703125" style="1093" customWidth="1"/>
    <col min="3839" max="3839" width="11" style="1093" customWidth="1"/>
    <col min="3840" max="3840" width="13.42578125" style="1093" customWidth="1"/>
    <col min="3841" max="3841" width="11.28515625" style="1093" customWidth="1"/>
    <col min="3842" max="3842" width="10.28515625" style="1093" customWidth="1"/>
    <col min="3843" max="3843" width="13.85546875" style="1093" customWidth="1"/>
    <col min="3844" max="3845" width="7.85546875" style="1093" customWidth="1"/>
    <col min="3846" max="3846" width="10.85546875" style="1093" customWidth="1"/>
    <col min="3847" max="3847" width="13" style="1093" customWidth="1"/>
    <col min="3848" max="3848" width="11.42578125" style="1093" customWidth="1"/>
    <col min="3849" max="3849" width="10" style="1093" customWidth="1"/>
    <col min="3850" max="3850" width="7.85546875" style="1093" customWidth="1"/>
    <col min="3851" max="3851" width="10.140625" style="1093" customWidth="1"/>
    <col min="3852" max="3853" width="7.85546875" style="1093" customWidth="1"/>
    <col min="3854" max="3854" width="10.85546875" style="1093" customWidth="1"/>
    <col min="3855" max="3855" width="10.7109375" style="1093" customWidth="1"/>
    <col min="3856" max="3856" width="11" style="1093" customWidth="1"/>
    <col min="3857" max="3859" width="7.85546875" style="1093" customWidth="1"/>
    <col min="3860" max="3860" width="11.28515625" style="1093" customWidth="1"/>
    <col min="3861" max="3861" width="12.42578125" style="1093" customWidth="1"/>
    <col min="3862" max="3862" width="11" style="1093" customWidth="1"/>
    <col min="3863" max="3864" width="7.85546875" style="1093" customWidth="1"/>
    <col min="3865" max="3865" width="11" style="1093" customWidth="1"/>
    <col min="3866" max="3866" width="10.5703125" style="1093" customWidth="1"/>
    <col min="3867" max="3868" width="11" style="1093" customWidth="1"/>
    <col min="3869" max="3873" width="7.85546875" style="1093" bestFit="1" customWidth="1"/>
    <col min="3874" max="3874" width="8.42578125" style="1093" bestFit="1" customWidth="1"/>
    <col min="3875" max="3875" width="11.42578125" style="1093" customWidth="1"/>
    <col min="3876" max="3876" width="7.85546875" style="1093" bestFit="1" customWidth="1"/>
    <col min="3877" max="3877" width="9.5703125" style="1093" customWidth="1"/>
    <col min="3878" max="3878" width="7.85546875" style="1093" bestFit="1" customWidth="1"/>
    <col min="3879" max="3879" width="12" style="1093" customWidth="1"/>
    <col min="3880" max="3880" width="13.42578125" style="1093" customWidth="1"/>
    <col min="3881" max="3881" width="9.5703125" style="1093" bestFit="1" customWidth="1"/>
    <col min="3882" max="3888" width="9.140625" style="1093" customWidth="1"/>
    <col min="3889" max="4092" width="9.140625" style="1093"/>
    <col min="4093" max="4093" width="16.7109375" style="1093" customWidth="1"/>
    <col min="4094" max="4094" width="52.5703125" style="1093" customWidth="1"/>
    <col min="4095" max="4095" width="11" style="1093" customWidth="1"/>
    <col min="4096" max="4096" width="13.42578125" style="1093" customWidth="1"/>
    <col min="4097" max="4097" width="11.28515625" style="1093" customWidth="1"/>
    <col min="4098" max="4098" width="10.28515625" style="1093" customWidth="1"/>
    <col min="4099" max="4099" width="13.85546875" style="1093" customWidth="1"/>
    <col min="4100" max="4101" width="7.85546875" style="1093" customWidth="1"/>
    <col min="4102" max="4102" width="10.85546875" style="1093" customWidth="1"/>
    <col min="4103" max="4103" width="13" style="1093" customWidth="1"/>
    <col min="4104" max="4104" width="11.42578125" style="1093" customWidth="1"/>
    <col min="4105" max="4105" width="10" style="1093" customWidth="1"/>
    <col min="4106" max="4106" width="7.85546875" style="1093" customWidth="1"/>
    <col min="4107" max="4107" width="10.140625" style="1093" customWidth="1"/>
    <col min="4108" max="4109" width="7.85546875" style="1093" customWidth="1"/>
    <col min="4110" max="4110" width="10.85546875" style="1093" customWidth="1"/>
    <col min="4111" max="4111" width="10.7109375" style="1093" customWidth="1"/>
    <col min="4112" max="4112" width="11" style="1093" customWidth="1"/>
    <col min="4113" max="4115" width="7.85546875" style="1093" customWidth="1"/>
    <col min="4116" max="4116" width="11.28515625" style="1093" customWidth="1"/>
    <col min="4117" max="4117" width="12.42578125" style="1093" customWidth="1"/>
    <col min="4118" max="4118" width="11" style="1093" customWidth="1"/>
    <col min="4119" max="4120" width="7.85546875" style="1093" customWidth="1"/>
    <col min="4121" max="4121" width="11" style="1093" customWidth="1"/>
    <col min="4122" max="4122" width="10.5703125" style="1093" customWidth="1"/>
    <col min="4123" max="4124" width="11" style="1093" customWidth="1"/>
    <col min="4125" max="4129" width="7.85546875" style="1093" bestFit="1" customWidth="1"/>
    <col min="4130" max="4130" width="8.42578125" style="1093" bestFit="1" customWidth="1"/>
    <col min="4131" max="4131" width="11.42578125" style="1093" customWidth="1"/>
    <col min="4132" max="4132" width="7.85546875" style="1093" bestFit="1" customWidth="1"/>
    <col min="4133" max="4133" width="9.5703125" style="1093" customWidth="1"/>
    <col min="4134" max="4134" width="7.85546875" style="1093" bestFit="1" customWidth="1"/>
    <col min="4135" max="4135" width="12" style="1093" customWidth="1"/>
    <col min="4136" max="4136" width="13.42578125" style="1093" customWidth="1"/>
    <col min="4137" max="4137" width="9.5703125" style="1093" bestFit="1" customWidth="1"/>
    <col min="4138" max="4144" width="9.140625" style="1093" customWidth="1"/>
    <col min="4145" max="4348" width="9.140625" style="1093"/>
    <col min="4349" max="4349" width="16.7109375" style="1093" customWidth="1"/>
    <col min="4350" max="4350" width="52.5703125" style="1093" customWidth="1"/>
    <col min="4351" max="4351" width="11" style="1093" customWidth="1"/>
    <col min="4352" max="4352" width="13.42578125" style="1093" customWidth="1"/>
    <col min="4353" max="4353" width="11.28515625" style="1093" customWidth="1"/>
    <col min="4354" max="4354" width="10.28515625" style="1093" customWidth="1"/>
    <col min="4355" max="4355" width="13.85546875" style="1093" customWidth="1"/>
    <col min="4356" max="4357" width="7.85546875" style="1093" customWidth="1"/>
    <col min="4358" max="4358" width="10.85546875" style="1093" customWidth="1"/>
    <col min="4359" max="4359" width="13" style="1093" customWidth="1"/>
    <col min="4360" max="4360" width="11.42578125" style="1093" customWidth="1"/>
    <col min="4361" max="4361" width="10" style="1093" customWidth="1"/>
    <col min="4362" max="4362" width="7.85546875" style="1093" customWidth="1"/>
    <col min="4363" max="4363" width="10.140625" style="1093" customWidth="1"/>
    <col min="4364" max="4365" width="7.85546875" style="1093" customWidth="1"/>
    <col min="4366" max="4366" width="10.85546875" style="1093" customWidth="1"/>
    <col min="4367" max="4367" width="10.7109375" style="1093" customWidth="1"/>
    <col min="4368" max="4368" width="11" style="1093" customWidth="1"/>
    <col min="4369" max="4371" width="7.85546875" style="1093" customWidth="1"/>
    <col min="4372" max="4372" width="11.28515625" style="1093" customWidth="1"/>
    <col min="4373" max="4373" width="12.42578125" style="1093" customWidth="1"/>
    <col min="4374" max="4374" width="11" style="1093" customWidth="1"/>
    <col min="4375" max="4376" width="7.85546875" style="1093" customWidth="1"/>
    <col min="4377" max="4377" width="11" style="1093" customWidth="1"/>
    <col min="4378" max="4378" width="10.5703125" style="1093" customWidth="1"/>
    <col min="4379" max="4380" width="11" style="1093" customWidth="1"/>
    <col min="4381" max="4385" width="7.85546875" style="1093" bestFit="1" customWidth="1"/>
    <col min="4386" max="4386" width="8.42578125" style="1093" bestFit="1" customWidth="1"/>
    <col min="4387" max="4387" width="11.42578125" style="1093" customWidth="1"/>
    <col min="4388" max="4388" width="7.85546875" style="1093" bestFit="1" customWidth="1"/>
    <col min="4389" max="4389" width="9.5703125" style="1093" customWidth="1"/>
    <col min="4390" max="4390" width="7.85546875" style="1093" bestFit="1" customWidth="1"/>
    <col min="4391" max="4391" width="12" style="1093" customWidth="1"/>
    <col min="4392" max="4392" width="13.42578125" style="1093" customWidth="1"/>
    <col min="4393" max="4393" width="9.5703125" style="1093" bestFit="1" customWidth="1"/>
    <col min="4394" max="4400" width="9.140625" style="1093" customWidth="1"/>
    <col min="4401" max="4604" width="9.140625" style="1093"/>
    <col min="4605" max="4605" width="16.7109375" style="1093" customWidth="1"/>
    <col min="4606" max="4606" width="52.5703125" style="1093" customWidth="1"/>
    <col min="4607" max="4607" width="11" style="1093" customWidth="1"/>
    <col min="4608" max="4608" width="13.42578125" style="1093" customWidth="1"/>
    <col min="4609" max="4609" width="11.28515625" style="1093" customWidth="1"/>
    <col min="4610" max="4610" width="10.28515625" style="1093" customWidth="1"/>
    <col min="4611" max="4611" width="13.85546875" style="1093" customWidth="1"/>
    <col min="4612" max="4613" width="7.85546875" style="1093" customWidth="1"/>
    <col min="4614" max="4614" width="10.85546875" style="1093" customWidth="1"/>
    <col min="4615" max="4615" width="13" style="1093" customWidth="1"/>
    <col min="4616" max="4616" width="11.42578125" style="1093" customWidth="1"/>
    <col min="4617" max="4617" width="10" style="1093" customWidth="1"/>
    <col min="4618" max="4618" width="7.85546875" style="1093" customWidth="1"/>
    <col min="4619" max="4619" width="10.140625" style="1093" customWidth="1"/>
    <col min="4620" max="4621" width="7.85546875" style="1093" customWidth="1"/>
    <col min="4622" max="4622" width="10.85546875" style="1093" customWidth="1"/>
    <col min="4623" max="4623" width="10.7109375" style="1093" customWidth="1"/>
    <col min="4624" max="4624" width="11" style="1093" customWidth="1"/>
    <col min="4625" max="4627" width="7.85546875" style="1093" customWidth="1"/>
    <col min="4628" max="4628" width="11.28515625" style="1093" customWidth="1"/>
    <col min="4629" max="4629" width="12.42578125" style="1093" customWidth="1"/>
    <col min="4630" max="4630" width="11" style="1093" customWidth="1"/>
    <col min="4631" max="4632" width="7.85546875" style="1093" customWidth="1"/>
    <col min="4633" max="4633" width="11" style="1093" customWidth="1"/>
    <col min="4634" max="4634" width="10.5703125" style="1093" customWidth="1"/>
    <col min="4635" max="4636" width="11" style="1093" customWidth="1"/>
    <col min="4637" max="4641" width="7.85546875" style="1093" bestFit="1" customWidth="1"/>
    <col min="4642" max="4642" width="8.42578125" style="1093" bestFit="1" customWidth="1"/>
    <col min="4643" max="4643" width="11.42578125" style="1093" customWidth="1"/>
    <col min="4644" max="4644" width="7.85546875" style="1093" bestFit="1" customWidth="1"/>
    <col min="4645" max="4645" width="9.5703125" style="1093" customWidth="1"/>
    <col min="4646" max="4646" width="7.85546875" style="1093" bestFit="1" customWidth="1"/>
    <col min="4647" max="4647" width="12" style="1093" customWidth="1"/>
    <col min="4648" max="4648" width="13.42578125" style="1093" customWidth="1"/>
    <col min="4649" max="4649" width="9.5703125" style="1093" bestFit="1" customWidth="1"/>
    <col min="4650" max="4656" width="9.140625" style="1093" customWidth="1"/>
    <col min="4657" max="4860" width="9.140625" style="1093"/>
    <col min="4861" max="4861" width="16.7109375" style="1093" customWidth="1"/>
    <col min="4862" max="4862" width="52.5703125" style="1093" customWidth="1"/>
    <col min="4863" max="4863" width="11" style="1093" customWidth="1"/>
    <col min="4864" max="4864" width="13.42578125" style="1093" customWidth="1"/>
    <col min="4865" max="4865" width="11.28515625" style="1093" customWidth="1"/>
    <col min="4866" max="4866" width="10.28515625" style="1093" customWidth="1"/>
    <col min="4867" max="4867" width="13.85546875" style="1093" customWidth="1"/>
    <col min="4868" max="4869" width="7.85546875" style="1093" customWidth="1"/>
    <col min="4870" max="4870" width="10.85546875" style="1093" customWidth="1"/>
    <col min="4871" max="4871" width="13" style="1093" customWidth="1"/>
    <col min="4872" max="4872" width="11.42578125" style="1093" customWidth="1"/>
    <col min="4873" max="4873" width="10" style="1093" customWidth="1"/>
    <col min="4874" max="4874" width="7.85546875" style="1093" customWidth="1"/>
    <col min="4875" max="4875" width="10.140625" style="1093" customWidth="1"/>
    <col min="4876" max="4877" width="7.85546875" style="1093" customWidth="1"/>
    <col min="4878" max="4878" width="10.85546875" style="1093" customWidth="1"/>
    <col min="4879" max="4879" width="10.7109375" style="1093" customWidth="1"/>
    <col min="4880" max="4880" width="11" style="1093" customWidth="1"/>
    <col min="4881" max="4883" width="7.85546875" style="1093" customWidth="1"/>
    <col min="4884" max="4884" width="11.28515625" style="1093" customWidth="1"/>
    <col min="4885" max="4885" width="12.42578125" style="1093" customWidth="1"/>
    <col min="4886" max="4886" width="11" style="1093" customWidth="1"/>
    <col min="4887" max="4888" width="7.85546875" style="1093" customWidth="1"/>
    <col min="4889" max="4889" width="11" style="1093" customWidth="1"/>
    <col min="4890" max="4890" width="10.5703125" style="1093" customWidth="1"/>
    <col min="4891" max="4892" width="11" style="1093" customWidth="1"/>
    <col min="4893" max="4897" width="7.85546875" style="1093" bestFit="1" customWidth="1"/>
    <col min="4898" max="4898" width="8.42578125" style="1093" bestFit="1" customWidth="1"/>
    <col min="4899" max="4899" width="11.42578125" style="1093" customWidth="1"/>
    <col min="4900" max="4900" width="7.85546875" style="1093" bestFit="1" customWidth="1"/>
    <col min="4901" max="4901" width="9.5703125" style="1093" customWidth="1"/>
    <col min="4902" max="4902" width="7.85546875" style="1093" bestFit="1" customWidth="1"/>
    <col min="4903" max="4903" width="12" style="1093" customWidth="1"/>
    <col min="4904" max="4904" width="13.42578125" style="1093" customWidth="1"/>
    <col min="4905" max="4905" width="9.5703125" style="1093" bestFit="1" customWidth="1"/>
    <col min="4906" max="4912" width="9.140625" style="1093" customWidth="1"/>
    <col min="4913" max="5116" width="9.140625" style="1093"/>
    <col min="5117" max="5117" width="16.7109375" style="1093" customWidth="1"/>
    <col min="5118" max="5118" width="52.5703125" style="1093" customWidth="1"/>
    <col min="5119" max="5119" width="11" style="1093" customWidth="1"/>
    <col min="5120" max="5120" width="13.42578125" style="1093" customWidth="1"/>
    <col min="5121" max="5121" width="11.28515625" style="1093" customWidth="1"/>
    <col min="5122" max="5122" width="10.28515625" style="1093" customWidth="1"/>
    <col min="5123" max="5123" width="13.85546875" style="1093" customWidth="1"/>
    <col min="5124" max="5125" width="7.85546875" style="1093" customWidth="1"/>
    <col min="5126" max="5126" width="10.85546875" style="1093" customWidth="1"/>
    <col min="5127" max="5127" width="13" style="1093" customWidth="1"/>
    <col min="5128" max="5128" width="11.42578125" style="1093" customWidth="1"/>
    <col min="5129" max="5129" width="10" style="1093" customWidth="1"/>
    <col min="5130" max="5130" width="7.85546875" style="1093" customWidth="1"/>
    <col min="5131" max="5131" width="10.140625" style="1093" customWidth="1"/>
    <col min="5132" max="5133" width="7.85546875" style="1093" customWidth="1"/>
    <col min="5134" max="5134" width="10.85546875" style="1093" customWidth="1"/>
    <col min="5135" max="5135" width="10.7109375" style="1093" customWidth="1"/>
    <col min="5136" max="5136" width="11" style="1093" customWidth="1"/>
    <col min="5137" max="5139" width="7.85546875" style="1093" customWidth="1"/>
    <col min="5140" max="5140" width="11.28515625" style="1093" customWidth="1"/>
    <col min="5141" max="5141" width="12.42578125" style="1093" customWidth="1"/>
    <col min="5142" max="5142" width="11" style="1093" customWidth="1"/>
    <col min="5143" max="5144" width="7.85546875" style="1093" customWidth="1"/>
    <col min="5145" max="5145" width="11" style="1093" customWidth="1"/>
    <col min="5146" max="5146" width="10.5703125" style="1093" customWidth="1"/>
    <col min="5147" max="5148" width="11" style="1093" customWidth="1"/>
    <col min="5149" max="5153" width="7.85546875" style="1093" bestFit="1" customWidth="1"/>
    <col min="5154" max="5154" width="8.42578125" style="1093" bestFit="1" customWidth="1"/>
    <col min="5155" max="5155" width="11.42578125" style="1093" customWidth="1"/>
    <col min="5156" max="5156" width="7.85546875" style="1093" bestFit="1" customWidth="1"/>
    <col min="5157" max="5157" width="9.5703125" style="1093" customWidth="1"/>
    <col min="5158" max="5158" width="7.85546875" style="1093" bestFit="1" customWidth="1"/>
    <col min="5159" max="5159" width="12" style="1093" customWidth="1"/>
    <col min="5160" max="5160" width="13.42578125" style="1093" customWidth="1"/>
    <col min="5161" max="5161" width="9.5703125" style="1093" bestFit="1" customWidth="1"/>
    <col min="5162" max="5168" width="9.140625" style="1093" customWidth="1"/>
    <col min="5169" max="5372" width="9.140625" style="1093"/>
    <col min="5373" max="5373" width="16.7109375" style="1093" customWidth="1"/>
    <col min="5374" max="5374" width="52.5703125" style="1093" customWidth="1"/>
    <col min="5375" max="5375" width="11" style="1093" customWidth="1"/>
    <col min="5376" max="5376" width="13.42578125" style="1093" customWidth="1"/>
    <col min="5377" max="5377" width="11.28515625" style="1093" customWidth="1"/>
    <col min="5378" max="5378" width="10.28515625" style="1093" customWidth="1"/>
    <col min="5379" max="5379" width="13.85546875" style="1093" customWidth="1"/>
    <col min="5380" max="5381" width="7.85546875" style="1093" customWidth="1"/>
    <col min="5382" max="5382" width="10.85546875" style="1093" customWidth="1"/>
    <col min="5383" max="5383" width="13" style="1093" customWidth="1"/>
    <col min="5384" max="5384" width="11.42578125" style="1093" customWidth="1"/>
    <col min="5385" max="5385" width="10" style="1093" customWidth="1"/>
    <col min="5386" max="5386" width="7.85546875" style="1093" customWidth="1"/>
    <col min="5387" max="5387" width="10.140625" style="1093" customWidth="1"/>
    <col min="5388" max="5389" width="7.85546875" style="1093" customWidth="1"/>
    <col min="5390" max="5390" width="10.85546875" style="1093" customWidth="1"/>
    <col min="5391" max="5391" width="10.7109375" style="1093" customWidth="1"/>
    <col min="5392" max="5392" width="11" style="1093" customWidth="1"/>
    <col min="5393" max="5395" width="7.85546875" style="1093" customWidth="1"/>
    <col min="5396" max="5396" width="11.28515625" style="1093" customWidth="1"/>
    <col min="5397" max="5397" width="12.42578125" style="1093" customWidth="1"/>
    <col min="5398" max="5398" width="11" style="1093" customWidth="1"/>
    <col min="5399" max="5400" width="7.85546875" style="1093" customWidth="1"/>
    <col min="5401" max="5401" width="11" style="1093" customWidth="1"/>
    <col min="5402" max="5402" width="10.5703125" style="1093" customWidth="1"/>
    <col min="5403" max="5404" width="11" style="1093" customWidth="1"/>
    <col min="5405" max="5409" width="7.85546875" style="1093" bestFit="1" customWidth="1"/>
    <col min="5410" max="5410" width="8.42578125" style="1093" bestFit="1" customWidth="1"/>
    <col min="5411" max="5411" width="11.42578125" style="1093" customWidth="1"/>
    <col min="5412" max="5412" width="7.85546875" style="1093" bestFit="1" customWidth="1"/>
    <col min="5413" max="5413" width="9.5703125" style="1093" customWidth="1"/>
    <col min="5414" max="5414" width="7.85546875" style="1093" bestFit="1" customWidth="1"/>
    <col min="5415" max="5415" width="12" style="1093" customWidth="1"/>
    <col min="5416" max="5416" width="13.42578125" style="1093" customWidth="1"/>
    <col min="5417" max="5417" width="9.5703125" style="1093" bestFit="1" customWidth="1"/>
    <col min="5418" max="5424" width="9.140625" style="1093" customWidth="1"/>
    <col min="5425" max="5628" width="9.140625" style="1093"/>
    <col min="5629" max="5629" width="16.7109375" style="1093" customWidth="1"/>
    <col min="5630" max="5630" width="52.5703125" style="1093" customWidth="1"/>
    <col min="5631" max="5631" width="11" style="1093" customWidth="1"/>
    <col min="5632" max="5632" width="13.42578125" style="1093" customWidth="1"/>
    <col min="5633" max="5633" width="11.28515625" style="1093" customWidth="1"/>
    <col min="5634" max="5634" width="10.28515625" style="1093" customWidth="1"/>
    <col min="5635" max="5635" width="13.85546875" style="1093" customWidth="1"/>
    <col min="5636" max="5637" width="7.85546875" style="1093" customWidth="1"/>
    <col min="5638" max="5638" width="10.85546875" style="1093" customWidth="1"/>
    <col min="5639" max="5639" width="13" style="1093" customWidth="1"/>
    <col min="5640" max="5640" width="11.42578125" style="1093" customWidth="1"/>
    <col min="5641" max="5641" width="10" style="1093" customWidth="1"/>
    <col min="5642" max="5642" width="7.85546875" style="1093" customWidth="1"/>
    <col min="5643" max="5643" width="10.140625" style="1093" customWidth="1"/>
    <col min="5644" max="5645" width="7.85546875" style="1093" customWidth="1"/>
    <col min="5646" max="5646" width="10.85546875" style="1093" customWidth="1"/>
    <col min="5647" max="5647" width="10.7109375" style="1093" customWidth="1"/>
    <col min="5648" max="5648" width="11" style="1093" customWidth="1"/>
    <col min="5649" max="5651" width="7.85546875" style="1093" customWidth="1"/>
    <col min="5652" max="5652" width="11.28515625" style="1093" customWidth="1"/>
    <col min="5653" max="5653" width="12.42578125" style="1093" customWidth="1"/>
    <col min="5654" max="5654" width="11" style="1093" customWidth="1"/>
    <col min="5655" max="5656" width="7.85546875" style="1093" customWidth="1"/>
    <col min="5657" max="5657" width="11" style="1093" customWidth="1"/>
    <col min="5658" max="5658" width="10.5703125" style="1093" customWidth="1"/>
    <col min="5659" max="5660" width="11" style="1093" customWidth="1"/>
    <col min="5661" max="5665" width="7.85546875" style="1093" bestFit="1" customWidth="1"/>
    <col min="5666" max="5666" width="8.42578125" style="1093" bestFit="1" customWidth="1"/>
    <col min="5667" max="5667" width="11.42578125" style="1093" customWidth="1"/>
    <col min="5668" max="5668" width="7.85546875" style="1093" bestFit="1" customWidth="1"/>
    <col min="5669" max="5669" width="9.5703125" style="1093" customWidth="1"/>
    <col min="5670" max="5670" width="7.85546875" style="1093" bestFit="1" customWidth="1"/>
    <col min="5671" max="5671" width="12" style="1093" customWidth="1"/>
    <col min="5672" max="5672" width="13.42578125" style="1093" customWidth="1"/>
    <col min="5673" max="5673" width="9.5703125" style="1093" bestFit="1" customWidth="1"/>
    <col min="5674" max="5680" width="9.140625" style="1093" customWidth="1"/>
    <col min="5681" max="5884" width="9.140625" style="1093"/>
    <col min="5885" max="5885" width="16.7109375" style="1093" customWidth="1"/>
    <col min="5886" max="5886" width="52.5703125" style="1093" customWidth="1"/>
    <col min="5887" max="5887" width="11" style="1093" customWidth="1"/>
    <col min="5888" max="5888" width="13.42578125" style="1093" customWidth="1"/>
    <col min="5889" max="5889" width="11.28515625" style="1093" customWidth="1"/>
    <col min="5890" max="5890" width="10.28515625" style="1093" customWidth="1"/>
    <col min="5891" max="5891" width="13.85546875" style="1093" customWidth="1"/>
    <col min="5892" max="5893" width="7.85546875" style="1093" customWidth="1"/>
    <col min="5894" max="5894" width="10.85546875" style="1093" customWidth="1"/>
    <col min="5895" max="5895" width="13" style="1093" customWidth="1"/>
    <col min="5896" max="5896" width="11.42578125" style="1093" customWidth="1"/>
    <col min="5897" max="5897" width="10" style="1093" customWidth="1"/>
    <col min="5898" max="5898" width="7.85546875" style="1093" customWidth="1"/>
    <col min="5899" max="5899" width="10.140625" style="1093" customWidth="1"/>
    <col min="5900" max="5901" width="7.85546875" style="1093" customWidth="1"/>
    <col min="5902" max="5902" width="10.85546875" style="1093" customWidth="1"/>
    <col min="5903" max="5903" width="10.7109375" style="1093" customWidth="1"/>
    <col min="5904" max="5904" width="11" style="1093" customWidth="1"/>
    <col min="5905" max="5907" width="7.85546875" style="1093" customWidth="1"/>
    <col min="5908" max="5908" width="11.28515625" style="1093" customWidth="1"/>
    <col min="5909" max="5909" width="12.42578125" style="1093" customWidth="1"/>
    <col min="5910" max="5910" width="11" style="1093" customWidth="1"/>
    <col min="5911" max="5912" width="7.85546875" style="1093" customWidth="1"/>
    <col min="5913" max="5913" width="11" style="1093" customWidth="1"/>
    <col min="5914" max="5914" width="10.5703125" style="1093" customWidth="1"/>
    <col min="5915" max="5916" width="11" style="1093" customWidth="1"/>
    <col min="5917" max="5921" width="7.85546875" style="1093" bestFit="1" customWidth="1"/>
    <col min="5922" max="5922" width="8.42578125" style="1093" bestFit="1" customWidth="1"/>
    <col min="5923" max="5923" width="11.42578125" style="1093" customWidth="1"/>
    <col min="5924" max="5924" width="7.85546875" style="1093" bestFit="1" customWidth="1"/>
    <col min="5925" max="5925" width="9.5703125" style="1093" customWidth="1"/>
    <col min="5926" max="5926" width="7.85546875" style="1093" bestFit="1" customWidth="1"/>
    <col min="5927" max="5927" width="12" style="1093" customWidth="1"/>
    <col min="5928" max="5928" width="13.42578125" style="1093" customWidth="1"/>
    <col min="5929" max="5929" width="9.5703125" style="1093" bestFit="1" customWidth="1"/>
    <col min="5930" max="5936" width="9.140625" style="1093" customWidth="1"/>
    <col min="5937" max="6140" width="9.140625" style="1093"/>
    <col min="6141" max="6141" width="16.7109375" style="1093" customWidth="1"/>
    <col min="6142" max="6142" width="52.5703125" style="1093" customWidth="1"/>
    <col min="6143" max="6143" width="11" style="1093" customWidth="1"/>
    <col min="6144" max="6144" width="13.42578125" style="1093" customWidth="1"/>
    <col min="6145" max="6145" width="11.28515625" style="1093" customWidth="1"/>
    <col min="6146" max="6146" width="10.28515625" style="1093" customWidth="1"/>
    <col min="6147" max="6147" width="13.85546875" style="1093" customWidth="1"/>
    <col min="6148" max="6149" width="7.85546875" style="1093" customWidth="1"/>
    <col min="6150" max="6150" width="10.85546875" style="1093" customWidth="1"/>
    <col min="6151" max="6151" width="13" style="1093" customWidth="1"/>
    <col min="6152" max="6152" width="11.42578125" style="1093" customWidth="1"/>
    <col min="6153" max="6153" width="10" style="1093" customWidth="1"/>
    <col min="6154" max="6154" width="7.85546875" style="1093" customWidth="1"/>
    <col min="6155" max="6155" width="10.140625" style="1093" customWidth="1"/>
    <col min="6156" max="6157" width="7.85546875" style="1093" customWidth="1"/>
    <col min="6158" max="6158" width="10.85546875" style="1093" customWidth="1"/>
    <col min="6159" max="6159" width="10.7109375" style="1093" customWidth="1"/>
    <col min="6160" max="6160" width="11" style="1093" customWidth="1"/>
    <col min="6161" max="6163" width="7.85546875" style="1093" customWidth="1"/>
    <col min="6164" max="6164" width="11.28515625" style="1093" customWidth="1"/>
    <col min="6165" max="6165" width="12.42578125" style="1093" customWidth="1"/>
    <col min="6166" max="6166" width="11" style="1093" customWidth="1"/>
    <col min="6167" max="6168" width="7.85546875" style="1093" customWidth="1"/>
    <col min="6169" max="6169" width="11" style="1093" customWidth="1"/>
    <col min="6170" max="6170" width="10.5703125" style="1093" customWidth="1"/>
    <col min="6171" max="6172" width="11" style="1093" customWidth="1"/>
    <col min="6173" max="6177" width="7.85546875" style="1093" bestFit="1" customWidth="1"/>
    <col min="6178" max="6178" width="8.42578125" style="1093" bestFit="1" customWidth="1"/>
    <col min="6179" max="6179" width="11.42578125" style="1093" customWidth="1"/>
    <col min="6180" max="6180" width="7.85546875" style="1093" bestFit="1" customWidth="1"/>
    <col min="6181" max="6181" width="9.5703125" style="1093" customWidth="1"/>
    <col min="6182" max="6182" width="7.85546875" style="1093" bestFit="1" customWidth="1"/>
    <col min="6183" max="6183" width="12" style="1093" customWidth="1"/>
    <col min="6184" max="6184" width="13.42578125" style="1093" customWidth="1"/>
    <col min="6185" max="6185" width="9.5703125" style="1093" bestFit="1" customWidth="1"/>
    <col min="6186" max="6192" width="9.140625" style="1093" customWidth="1"/>
    <col min="6193" max="6396" width="9.140625" style="1093"/>
    <col min="6397" max="6397" width="16.7109375" style="1093" customWidth="1"/>
    <col min="6398" max="6398" width="52.5703125" style="1093" customWidth="1"/>
    <col min="6399" max="6399" width="11" style="1093" customWidth="1"/>
    <col min="6400" max="6400" width="13.42578125" style="1093" customWidth="1"/>
    <col min="6401" max="6401" width="11.28515625" style="1093" customWidth="1"/>
    <col min="6402" max="6402" width="10.28515625" style="1093" customWidth="1"/>
    <col min="6403" max="6403" width="13.85546875" style="1093" customWidth="1"/>
    <col min="6404" max="6405" width="7.85546875" style="1093" customWidth="1"/>
    <col min="6406" max="6406" width="10.85546875" style="1093" customWidth="1"/>
    <col min="6407" max="6407" width="13" style="1093" customWidth="1"/>
    <col min="6408" max="6408" width="11.42578125" style="1093" customWidth="1"/>
    <col min="6409" max="6409" width="10" style="1093" customWidth="1"/>
    <col min="6410" max="6410" width="7.85546875" style="1093" customWidth="1"/>
    <col min="6411" max="6411" width="10.140625" style="1093" customWidth="1"/>
    <col min="6412" max="6413" width="7.85546875" style="1093" customWidth="1"/>
    <col min="6414" max="6414" width="10.85546875" style="1093" customWidth="1"/>
    <col min="6415" max="6415" width="10.7109375" style="1093" customWidth="1"/>
    <col min="6416" max="6416" width="11" style="1093" customWidth="1"/>
    <col min="6417" max="6419" width="7.85546875" style="1093" customWidth="1"/>
    <col min="6420" max="6420" width="11.28515625" style="1093" customWidth="1"/>
    <col min="6421" max="6421" width="12.42578125" style="1093" customWidth="1"/>
    <col min="6422" max="6422" width="11" style="1093" customWidth="1"/>
    <col min="6423" max="6424" width="7.85546875" style="1093" customWidth="1"/>
    <col min="6425" max="6425" width="11" style="1093" customWidth="1"/>
    <col min="6426" max="6426" width="10.5703125" style="1093" customWidth="1"/>
    <col min="6427" max="6428" width="11" style="1093" customWidth="1"/>
    <col min="6429" max="6433" width="7.85546875" style="1093" bestFit="1" customWidth="1"/>
    <col min="6434" max="6434" width="8.42578125" style="1093" bestFit="1" customWidth="1"/>
    <col min="6435" max="6435" width="11.42578125" style="1093" customWidth="1"/>
    <col min="6436" max="6436" width="7.85546875" style="1093" bestFit="1" customWidth="1"/>
    <col min="6437" max="6437" width="9.5703125" style="1093" customWidth="1"/>
    <col min="6438" max="6438" width="7.85546875" style="1093" bestFit="1" customWidth="1"/>
    <col min="6439" max="6439" width="12" style="1093" customWidth="1"/>
    <col min="6440" max="6440" width="13.42578125" style="1093" customWidth="1"/>
    <col min="6441" max="6441" width="9.5703125" style="1093" bestFit="1" customWidth="1"/>
    <col min="6442" max="6448" width="9.140625" style="1093" customWidth="1"/>
    <col min="6449" max="6652" width="9.140625" style="1093"/>
    <col min="6653" max="6653" width="16.7109375" style="1093" customWidth="1"/>
    <col min="6654" max="6654" width="52.5703125" style="1093" customWidth="1"/>
    <col min="6655" max="6655" width="11" style="1093" customWidth="1"/>
    <col min="6656" max="6656" width="13.42578125" style="1093" customWidth="1"/>
    <col min="6657" max="6657" width="11.28515625" style="1093" customWidth="1"/>
    <col min="6658" max="6658" width="10.28515625" style="1093" customWidth="1"/>
    <col min="6659" max="6659" width="13.85546875" style="1093" customWidth="1"/>
    <col min="6660" max="6661" width="7.85546875" style="1093" customWidth="1"/>
    <col min="6662" max="6662" width="10.85546875" style="1093" customWidth="1"/>
    <col min="6663" max="6663" width="13" style="1093" customWidth="1"/>
    <col min="6664" max="6664" width="11.42578125" style="1093" customWidth="1"/>
    <col min="6665" max="6665" width="10" style="1093" customWidth="1"/>
    <col min="6666" max="6666" width="7.85546875" style="1093" customWidth="1"/>
    <col min="6667" max="6667" width="10.140625" style="1093" customWidth="1"/>
    <col min="6668" max="6669" width="7.85546875" style="1093" customWidth="1"/>
    <col min="6670" max="6670" width="10.85546875" style="1093" customWidth="1"/>
    <col min="6671" max="6671" width="10.7109375" style="1093" customWidth="1"/>
    <col min="6672" max="6672" width="11" style="1093" customWidth="1"/>
    <col min="6673" max="6675" width="7.85546875" style="1093" customWidth="1"/>
    <col min="6676" max="6676" width="11.28515625" style="1093" customWidth="1"/>
    <col min="6677" max="6677" width="12.42578125" style="1093" customWidth="1"/>
    <col min="6678" max="6678" width="11" style="1093" customWidth="1"/>
    <col min="6679" max="6680" width="7.85546875" style="1093" customWidth="1"/>
    <col min="6681" max="6681" width="11" style="1093" customWidth="1"/>
    <col min="6682" max="6682" width="10.5703125" style="1093" customWidth="1"/>
    <col min="6683" max="6684" width="11" style="1093" customWidth="1"/>
    <col min="6685" max="6689" width="7.85546875" style="1093" bestFit="1" customWidth="1"/>
    <col min="6690" max="6690" width="8.42578125" style="1093" bestFit="1" customWidth="1"/>
    <col min="6691" max="6691" width="11.42578125" style="1093" customWidth="1"/>
    <col min="6692" max="6692" width="7.85546875" style="1093" bestFit="1" customWidth="1"/>
    <col min="6693" max="6693" width="9.5703125" style="1093" customWidth="1"/>
    <col min="6694" max="6694" width="7.85546875" style="1093" bestFit="1" customWidth="1"/>
    <col min="6695" max="6695" width="12" style="1093" customWidth="1"/>
    <col min="6696" max="6696" width="13.42578125" style="1093" customWidth="1"/>
    <col min="6697" max="6697" width="9.5703125" style="1093" bestFit="1" customWidth="1"/>
    <col min="6698" max="6704" width="9.140625" style="1093" customWidth="1"/>
    <col min="6705" max="6908" width="9.140625" style="1093"/>
    <col min="6909" max="6909" width="16.7109375" style="1093" customWidth="1"/>
    <col min="6910" max="6910" width="52.5703125" style="1093" customWidth="1"/>
    <col min="6911" max="6911" width="11" style="1093" customWidth="1"/>
    <col min="6912" max="6912" width="13.42578125" style="1093" customWidth="1"/>
    <col min="6913" max="6913" width="11.28515625" style="1093" customWidth="1"/>
    <col min="6914" max="6914" width="10.28515625" style="1093" customWidth="1"/>
    <col min="6915" max="6915" width="13.85546875" style="1093" customWidth="1"/>
    <col min="6916" max="6917" width="7.85546875" style="1093" customWidth="1"/>
    <col min="6918" max="6918" width="10.85546875" style="1093" customWidth="1"/>
    <col min="6919" max="6919" width="13" style="1093" customWidth="1"/>
    <col min="6920" max="6920" width="11.42578125" style="1093" customWidth="1"/>
    <col min="6921" max="6921" width="10" style="1093" customWidth="1"/>
    <col min="6922" max="6922" width="7.85546875" style="1093" customWidth="1"/>
    <col min="6923" max="6923" width="10.140625" style="1093" customWidth="1"/>
    <col min="6924" max="6925" width="7.85546875" style="1093" customWidth="1"/>
    <col min="6926" max="6926" width="10.85546875" style="1093" customWidth="1"/>
    <col min="6927" max="6927" width="10.7109375" style="1093" customWidth="1"/>
    <col min="6928" max="6928" width="11" style="1093" customWidth="1"/>
    <col min="6929" max="6931" width="7.85546875" style="1093" customWidth="1"/>
    <col min="6932" max="6932" width="11.28515625" style="1093" customWidth="1"/>
    <col min="6933" max="6933" width="12.42578125" style="1093" customWidth="1"/>
    <col min="6934" max="6934" width="11" style="1093" customWidth="1"/>
    <col min="6935" max="6936" width="7.85546875" style="1093" customWidth="1"/>
    <col min="6937" max="6937" width="11" style="1093" customWidth="1"/>
    <col min="6938" max="6938" width="10.5703125" style="1093" customWidth="1"/>
    <col min="6939" max="6940" width="11" style="1093" customWidth="1"/>
    <col min="6941" max="6945" width="7.85546875" style="1093" bestFit="1" customWidth="1"/>
    <col min="6946" max="6946" width="8.42578125" style="1093" bestFit="1" customWidth="1"/>
    <col min="6947" max="6947" width="11.42578125" style="1093" customWidth="1"/>
    <col min="6948" max="6948" width="7.85546875" style="1093" bestFit="1" customWidth="1"/>
    <col min="6949" max="6949" width="9.5703125" style="1093" customWidth="1"/>
    <col min="6950" max="6950" width="7.85546875" style="1093" bestFit="1" customWidth="1"/>
    <col min="6951" max="6951" width="12" style="1093" customWidth="1"/>
    <col min="6952" max="6952" width="13.42578125" style="1093" customWidth="1"/>
    <col min="6953" max="6953" width="9.5703125" style="1093" bestFit="1" customWidth="1"/>
    <col min="6954" max="6960" width="9.140625" style="1093" customWidth="1"/>
    <col min="6961" max="7164" width="9.140625" style="1093"/>
    <col min="7165" max="7165" width="16.7109375" style="1093" customWidth="1"/>
    <col min="7166" max="7166" width="52.5703125" style="1093" customWidth="1"/>
    <col min="7167" max="7167" width="11" style="1093" customWidth="1"/>
    <col min="7168" max="7168" width="13.42578125" style="1093" customWidth="1"/>
    <col min="7169" max="7169" width="11.28515625" style="1093" customWidth="1"/>
    <col min="7170" max="7170" width="10.28515625" style="1093" customWidth="1"/>
    <col min="7171" max="7171" width="13.85546875" style="1093" customWidth="1"/>
    <col min="7172" max="7173" width="7.85546875" style="1093" customWidth="1"/>
    <col min="7174" max="7174" width="10.85546875" style="1093" customWidth="1"/>
    <col min="7175" max="7175" width="13" style="1093" customWidth="1"/>
    <col min="7176" max="7176" width="11.42578125" style="1093" customWidth="1"/>
    <col min="7177" max="7177" width="10" style="1093" customWidth="1"/>
    <col min="7178" max="7178" width="7.85546875" style="1093" customWidth="1"/>
    <col min="7179" max="7179" width="10.140625" style="1093" customWidth="1"/>
    <col min="7180" max="7181" width="7.85546875" style="1093" customWidth="1"/>
    <col min="7182" max="7182" width="10.85546875" style="1093" customWidth="1"/>
    <col min="7183" max="7183" width="10.7109375" style="1093" customWidth="1"/>
    <col min="7184" max="7184" width="11" style="1093" customWidth="1"/>
    <col min="7185" max="7187" width="7.85546875" style="1093" customWidth="1"/>
    <col min="7188" max="7188" width="11.28515625" style="1093" customWidth="1"/>
    <col min="7189" max="7189" width="12.42578125" style="1093" customWidth="1"/>
    <col min="7190" max="7190" width="11" style="1093" customWidth="1"/>
    <col min="7191" max="7192" width="7.85546875" style="1093" customWidth="1"/>
    <col min="7193" max="7193" width="11" style="1093" customWidth="1"/>
    <col min="7194" max="7194" width="10.5703125" style="1093" customWidth="1"/>
    <col min="7195" max="7196" width="11" style="1093" customWidth="1"/>
    <col min="7197" max="7201" width="7.85546875" style="1093" bestFit="1" customWidth="1"/>
    <col min="7202" max="7202" width="8.42578125" style="1093" bestFit="1" customWidth="1"/>
    <col min="7203" max="7203" width="11.42578125" style="1093" customWidth="1"/>
    <col min="7204" max="7204" width="7.85546875" style="1093" bestFit="1" customWidth="1"/>
    <col min="7205" max="7205" width="9.5703125" style="1093" customWidth="1"/>
    <col min="7206" max="7206" width="7.85546875" style="1093" bestFit="1" customWidth="1"/>
    <col min="7207" max="7207" width="12" style="1093" customWidth="1"/>
    <col min="7208" max="7208" width="13.42578125" style="1093" customWidth="1"/>
    <col min="7209" max="7209" width="9.5703125" style="1093" bestFit="1" customWidth="1"/>
    <col min="7210" max="7216" width="9.140625" style="1093" customWidth="1"/>
    <col min="7217" max="7420" width="9.140625" style="1093"/>
    <col min="7421" max="7421" width="16.7109375" style="1093" customWidth="1"/>
    <col min="7422" max="7422" width="52.5703125" style="1093" customWidth="1"/>
    <col min="7423" max="7423" width="11" style="1093" customWidth="1"/>
    <col min="7424" max="7424" width="13.42578125" style="1093" customWidth="1"/>
    <col min="7425" max="7425" width="11.28515625" style="1093" customWidth="1"/>
    <col min="7426" max="7426" width="10.28515625" style="1093" customWidth="1"/>
    <col min="7427" max="7427" width="13.85546875" style="1093" customWidth="1"/>
    <col min="7428" max="7429" width="7.85546875" style="1093" customWidth="1"/>
    <col min="7430" max="7430" width="10.85546875" style="1093" customWidth="1"/>
    <col min="7431" max="7431" width="13" style="1093" customWidth="1"/>
    <col min="7432" max="7432" width="11.42578125" style="1093" customWidth="1"/>
    <col min="7433" max="7433" width="10" style="1093" customWidth="1"/>
    <col min="7434" max="7434" width="7.85546875" style="1093" customWidth="1"/>
    <col min="7435" max="7435" width="10.140625" style="1093" customWidth="1"/>
    <col min="7436" max="7437" width="7.85546875" style="1093" customWidth="1"/>
    <col min="7438" max="7438" width="10.85546875" style="1093" customWidth="1"/>
    <col min="7439" max="7439" width="10.7109375" style="1093" customWidth="1"/>
    <col min="7440" max="7440" width="11" style="1093" customWidth="1"/>
    <col min="7441" max="7443" width="7.85546875" style="1093" customWidth="1"/>
    <col min="7444" max="7444" width="11.28515625" style="1093" customWidth="1"/>
    <col min="7445" max="7445" width="12.42578125" style="1093" customWidth="1"/>
    <col min="7446" max="7446" width="11" style="1093" customWidth="1"/>
    <col min="7447" max="7448" width="7.85546875" style="1093" customWidth="1"/>
    <col min="7449" max="7449" width="11" style="1093" customWidth="1"/>
    <col min="7450" max="7450" width="10.5703125" style="1093" customWidth="1"/>
    <col min="7451" max="7452" width="11" style="1093" customWidth="1"/>
    <col min="7453" max="7457" width="7.85546875" style="1093" bestFit="1" customWidth="1"/>
    <col min="7458" max="7458" width="8.42578125" style="1093" bestFit="1" customWidth="1"/>
    <col min="7459" max="7459" width="11.42578125" style="1093" customWidth="1"/>
    <col min="7460" max="7460" width="7.85546875" style="1093" bestFit="1" customWidth="1"/>
    <col min="7461" max="7461" width="9.5703125" style="1093" customWidth="1"/>
    <col min="7462" max="7462" width="7.85546875" style="1093" bestFit="1" customWidth="1"/>
    <col min="7463" max="7463" width="12" style="1093" customWidth="1"/>
    <col min="7464" max="7464" width="13.42578125" style="1093" customWidth="1"/>
    <col min="7465" max="7465" width="9.5703125" style="1093" bestFit="1" customWidth="1"/>
    <col min="7466" max="7472" width="9.140625" style="1093" customWidth="1"/>
    <col min="7473" max="7676" width="9.140625" style="1093"/>
    <col min="7677" max="7677" width="16.7109375" style="1093" customWidth="1"/>
    <col min="7678" max="7678" width="52.5703125" style="1093" customWidth="1"/>
    <col min="7679" max="7679" width="11" style="1093" customWidth="1"/>
    <col min="7680" max="7680" width="13.42578125" style="1093" customWidth="1"/>
    <col min="7681" max="7681" width="11.28515625" style="1093" customWidth="1"/>
    <col min="7682" max="7682" width="10.28515625" style="1093" customWidth="1"/>
    <col min="7683" max="7683" width="13.85546875" style="1093" customWidth="1"/>
    <col min="7684" max="7685" width="7.85546875" style="1093" customWidth="1"/>
    <col min="7686" max="7686" width="10.85546875" style="1093" customWidth="1"/>
    <col min="7687" max="7687" width="13" style="1093" customWidth="1"/>
    <col min="7688" max="7688" width="11.42578125" style="1093" customWidth="1"/>
    <col min="7689" max="7689" width="10" style="1093" customWidth="1"/>
    <col min="7690" max="7690" width="7.85546875" style="1093" customWidth="1"/>
    <col min="7691" max="7691" width="10.140625" style="1093" customWidth="1"/>
    <col min="7692" max="7693" width="7.85546875" style="1093" customWidth="1"/>
    <col min="7694" max="7694" width="10.85546875" style="1093" customWidth="1"/>
    <col min="7695" max="7695" width="10.7109375" style="1093" customWidth="1"/>
    <col min="7696" max="7696" width="11" style="1093" customWidth="1"/>
    <col min="7697" max="7699" width="7.85546875" style="1093" customWidth="1"/>
    <col min="7700" max="7700" width="11.28515625" style="1093" customWidth="1"/>
    <col min="7701" max="7701" width="12.42578125" style="1093" customWidth="1"/>
    <col min="7702" max="7702" width="11" style="1093" customWidth="1"/>
    <col min="7703" max="7704" width="7.85546875" style="1093" customWidth="1"/>
    <col min="7705" max="7705" width="11" style="1093" customWidth="1"/>
    <col min="7706" max="7706" width="10.5703125" style="1093" customWidth="1"/>
    <col min="7707" max="7708" width="11" style="1093" customWidth="1"/>
    <col min="7709" max="7713" width="7.85546875" style="1093" bestFit="1" customWidth="1"/>
    <col min="7714" max="7714" width="8.42578125" style="1093" bestFit="1" customWidth="1"/>
    <col min="7715" max="7715" width="11.42578125" style="1093" customWidth="1"/>
    <col min="7716" max="7716" width="7.85546875" style="1093" bestFit="1" customWidth="1"/>
    <col min="7717" max="7717" width="9.5703125" style="1093" customWidth="1"/>
    <col min="7718" max="7718" width="7.85546875" style="1093" bestFit="1" customWidth="1"/>
    <col min="7719" max="7719" width="12" style="1093" customWidth="1"/>
    <col min="7720" max="7720" width="13.42578125" style="1093" customWidth="1"/>
    <col min="7721" max="7721" width="9.5703125" style="1093" bestFit="1" customWidth="1"/>
    <col min="7722" max="7728" width="9.140625" style="1093" customWidth="1"/>
    <col min="7729" max="7932" width="9.140625" style="1093"/>
    <col min="7933" max="7933" width="16.7109375" style="1093" customWidth="1"/>
    <col min="7934" max="7934" width="52.5703125" style="1093" customWidth="1"/>
    <col min="7935" max="7935" width="11" style="1093" customWidth="1"/>
    <col min="7936" max="7936" width="13.42578125" style="1093" customWidth="1"/>
    <col min="7937" max="7937" width="11.28515625" style="1093" customWidth="1"/>
    <col min="7938" max="7938" width="10.28515625" style="1093" customWidth="1"/>
    <col min="7939" max="7939" width="13.85546875" style="1093" customWidth="1"/>
    <col min="7940" max="7941" width="7.85546875" style="1093" customWidth="1"/>
    <col min="7942" max="7942" width="10.85546875" style="1093" customWidth="1"/>
    <col min="7943" max="7943" width="13" style="1093" customWidth="1"/>
    <col min="7944" max="7944" width="11.42578125" style="1093" customWidth="1"/>
    <col min="7945" max="7945" width="10" style="1093" customWidth="1"/>
    <col min="7946" max="7946" width="7.85546875" style="1093" customWidth="1"/>
    <col min="7947" max="7947" width="10.140625" style="1093" customWidth="1"/>
    <col min="7948" max="7949" width="7.85546875" style="1093" customWidth="1"/>
    <col min="7950" max="7950" width="10.85546875" style="1093" customWidth="1"/>
    <col min="7951" max="7951" width="10.7109375" style="1093" customWidth="1"/>
    <col min="7952" max="7952" width="11" style="1093" customWidth="1"/>
    <col min="7953" max="7955" width="7.85546875" style="1093" customWidth="1"/>
    <col min="7956" max="7956" width="11.28515625" style="1093" customWidth="1"/>
    <col min="7957" max="7957" width="12.42578125" style="1093" customWidth="1"/>
    <col min="7958" max="7958" width="11" style="1093" customWidth="1"/>
    <col min="7959" max="7960" width="7.85546875" style="1093" customWidth="1"/>
    <col min="7961" max="7961" width="11" style="1093" customWidth="1"/>
    <col min="7962" max="7962" width="10.5703125" style="1093" customWidth="1"/>
    <col min="7963" max="7964" width="11" style="1093" customWidth="1"/>
    <col min="7965" max="7969" width="7.85546875" style="1093" bestFit="1" customWidth="1"/>
    <col min="7970" max="7970" width="8.42578125" style="1093" bestFit="1" customWidth="1"/>
    <col min="7971" max="7971" width="11.42578125" style="1093" customWidth="1"/>
    <col min="7972" max="7972" width="7.85546875" style="1093" bestFit="1" customWidth="1"/>
    <col min="7973" max="7973" width="9.5703125" style="1093" customWidth="1"/>
    <col min="7974" max="7974" width="7.85546875" style="1093" bestFit="1" customWidth="1"/>
    <col min="7975" max="7975" width="12" style="1093" customWidth="1"/>
    <col min="7976" max="7976" width="13.42578125" style="1093" customWidth="1"/>
    <col min="7977" max="7977" width="9.5703125" style="1093" bestFit="1" customWidth="1"/>
    <col min="7978" max="7984" width="9.140625" style="1093" customWidth="1"/>
    <col min="7985" max="8188" width="9.140625" style="1093"/>
    <col min="8189" max="8189" width="16.7109375" style="1093" customWidth="1"/>
    <col min="8190" max="8190" width="52.5703125" style="1093" customWidth="1"/>
    <col min="8191" max="8191" width="11" style="1093" customWidth="1"/>
    <col min="8192" max="8192" width="13.42578125" style="1093" customWidth="1"/>
    <col min="8193" max="8193" width="11.28515625" style="1093" customWidth="1"/>
    <col min="8194" max="8194" width="10.28515625" style="1093" customWidth="1"/>
    <col min="8195" max="8195" width="13.85546875" style="1093" customWidth="1"/>
    <col min="8196" max="8197" width="7.85546875" style="1093" customWidth="1"/>
    <col min="8198" max="8198" width="10.85546875" style="1093" customWidth="1"/>
    <col min="8199" max="8199" width="13" style="1093" customWidth="1"/>
    <col min="8200" max="8200" width="11.42578125" style="1093" customWidth="1"/>
    <col min="8201" max="8201" width="10" style="1093" customWidth="1"/>
    <col min="8202" max="8202" width="7.85546875" style="1093" customWidth="1"/>
    <col min="8203" max="8203" width="10.140625" style="1093" customWidth="1"/>
    <col min="8204" max="8205" width="7.85546875" style="1093" customWidth="1"/>
    <col min="8206" max="8206" width="10.85546875" style="1093" customWidth="1"/>
    <col min="8207" max="8207" width="10.7109375" style="1093" customWidth="1"/>
    <col min="8208" max="8208" width="11" style="1093" customWidth="1"/>
    <col min="8209" max="8211" width="7.85546875" style="1093" customWidth="1"/>
    <col min="8212" max="8212" width="11.28515625" style="1093" customWidth="1"/>
    <col min="8213" max="8213" width="12.42578125" style="1093" customWidth="1"/>
    <col min="8214" max="8214" width="11" style="1093" customWidth="1"/>
    <col min="8215" max="8216" width="7.85546875" style="1093" customWidth="1"/>
    <col min="8217" max="8217" width="11" style="1093" customWidth="1"/>
    <col min="8218" max="8218" width="10.5703125" style="1093" customWidth="1"/>
    <col min="8219" max="8220" width="11" style="1093" customWidth="1"/>
    <col min="8221" max="8225" width="7.85546875" style="1093" bestFit="1" customWidth="1"/>
    <col min="8226" max="8226" width="8.42578125" style="1093" bestFit="1" customWidth="1"/>
    <col min="8227" max="8227" width="11.42578125" style="1093" customWidth="1"/>
    <col min="8228" max="8228" width="7.85546875" style="1093" bestFit="1" customWidth="1"/>
    <col min="8229" max="8229" width="9.5703125" style="1093" customWidth="1"/>
    <col min="8230" max="8230" width="7.85546875" style="1093" bestFit="1" customWidth="1"/>
    <col min="8231" max="8231" width="12" style="1093" customWidth="1"/>
    <col min="8232" max="8232" width="13.42578125" style="1093" customWidth="1"/>
    <col min="8233" max="8233" width="9.5703125" style="1093" bestFit="1" customWidth="1"/>
    <col min="8234" max="8240" width="9.140625" style="1093" customWidth="1"/>
    <col min="8241" max="8444" width="9.140625" style="1093"/>
    <col min="8445" max="8445" width="16.7109375" style="1093" customWidth="1"/>
    <col min="8446" max="8446" width="52.5703125" style="1093" customWidth="1"/>
    <col min="8447" max="8447" width="11" style="1093" customWidth="1"/>
    <col min="8448" max="8448" width="13.42578125" style="1093" customWidth="1"/>
    <col min="8449" max="8449" width="11.28515625" style="1093" customWidth="1"/>
    <col min="8450" max="8450" width="10.28515625" style="1093" customWidth="1"/>
    <col min="8451" max="8451" width="13.85546875" style="1093" customWidth="1"/>
    <col min="8452" max="8453" width="7.85546875" style="1093" customWidth="1"/>
    <col min="8454" max="8454" width="10.85546875" style="1093" customWidth="1"/>
    <col min="8455" max="8455" width="13" style="1093" customWidth="1"/>
    <col min="8456" max="8456" width="11.42578125" style="1093" customWidth="1"/>
    <col min="8457" max="8457" width="10" style="1093" customWidth="1"/>
    <col min="8458" max="8458" width="7.85546875" style="1093" customWidth="1"/>
    <col min="8459" max="8459" width="10.140625" style="1093" customWidth="1"/>
    <col min="8460" max="8461" width="7.85546875" style="1093" customWidth="1"/>
    <col min="8462" max="8462" width="10.85546875" style="1093" customWidth="1"/>
    <col min="8463" max="8463" width="10.7109375" style="1093" customWidth="1"/>
    <col min="8464" max="8464" width="11" style="1093" customWidth="1"/>
    <col min="8465" max="8467" width="7.85546875" style="1093" customWidth="1"/>
    <col min="8468" max="8468" width="11.28515625" style="1093" customWidth="1"/>
    <col min="8469" max="8469" width="12.42578125" style="1093" customWidth="1"/>
    <col min="8470" max="8470" width="11" style="1093" customWidth="1"/>
    <col min="8471" max="8472" width="7.85546875" style="1093" customWidth="1"/>
    <col min="8473" max="8473" width="11" style="1093" customWidth="1"/>
    <col min="8474" max="8474" width="10.5703125" style="1093" customWidth="1"/>
    <col min="8475" max="8476" width="11" style="1093" customWidth="1"/>
    <col min="8477" max="8481" width="7.85546875" style="1093" bestFit="1" customWidth="1"/>
    <col min="8482" max="8482" width="8.42578125" style="1093" bestFit="1" customWidth="1"/>
    <col min="8483" max="8483" width="11.42578125" style="1093" customWidth="1"/>
    <col min="8484" max="8484" width="7.85546875" style="1093" bestFit="1" customWidth="1"/>
    <col min="8485" max="8485" width="9.5703125" style="1093" customWidth="1"/>
    <col min="8486" max="8486" width="7.85546875" style="1093" bestFit="1" customWidth="1"/>
    <col min="8487" max="8487" width="12" style="1093" customWidth="1"/>
    <col min="8488" max="8488" width="13.42578125" style="1093" customWidth="1"/>
    <col min="8489" max="8489" width="9.5703125" style="1093" bestFit="1" customWidth="1"/>
    <col min="8490" max="8496" width="9.140625" style="1093" customWidth="1"/>
    <col min="8497" max="8700" width="9.140625" style="1093"/>
    <col min="8701" max="8701" width="16.7109375" style="1093" customWidth="1"/>
    <col min="8702" max="8702" width="52.5703125" style="1093" customWidth="1"/>
    <col min="8703" max="8703" width="11" style="1093" customWidth="1"/>
    <col min="8704" max="8704" width="13.42578125" style="1093" customWidth="1"/>
    <col min="8705" max="8705" width="11.28515625" style="1093" customWidth="1"/>
    <col min="8706" max="8706" width="10.28515625" style="1093" customWidth="1"/>
    <col min="8707" max="8707" width="13.85546875" style="1093" customWidth="1"/>
    <col min="8708" max="8709" width="7.85546875" style="1093" customWidth="1"/>
    <col min="8710" max="8710" width="10.85546875" style="1093" customWidth="1"/>
    <col min="8711" max="8711" width="13" style="1093" customWidth="1"/>
    <col min="8712" max="8712" width="11.42578125" style="1093" customWidth="1"/>
    <col min="8713" max="8713" width="10" style="1093" customWidth="1"/>
    <col min="8714" max="8714" width="7.85546875" style="1093" customWidth="1"/>
    <col min="8715" max="8715" width="10.140625" style="1093" customWidth="1"/>
    <col min="8716" max="8717" width="7.85546875" style="1093" customWidth="1"/>
    <col min="8718" max="8718" width="10.85546875" style="1093" customWidth="1"/>
    <col min="8719" max="8719" width="10.7109375" style="1093" customWidth="1"/>
    <col min="8720" max="8720" width="11" style="1093" customWidth="1"/>
    <col min="8721" max="8723" width="7.85546875" style="1093" customWidth="1"/>
    <col min="8724" max="8724" width="11.28515625" style="1093" customWidth="1"/>
    <col min="8725" max="8725" width="12.42578125" style="1093" customWidth="1"/>
    <col min="8726" max="8726" width="11" style="1093" customWidth="1"/>
    <col min="8727" max="8728" width="7.85546875" style="1093" customWidth="1"/>
    <col min="8729" max="8729" width="11" style="1093" customWidth="1"/>
    <col min="8730" max="8730" width="10.5703125" style="1093" customWidth="1"/>
    <col min="8731" max="8732" width="11" style="1093" customWidth="1"/>
    <col min="8733" max="8737" width="7.85546875" style="1093" bestFit="1" customWidth="1"/>
    <col min="8738" max="8738" width="8.42578125" style="1093" bestFit="1" customWidth="1"/>
    <col min="8739" max="8739" width="11.42578125" style="1093" customWidth="1"/>
    <col min="8740" max="8740" width="7.85546875" style="1093" bestFit="1" customWidth="1"/>
    <col min="8741" max="8741" width="9.5703125" style="1093" customWidth="1"/>
    <col min="8742" max="8742" width="7.85546875" style="1093" bestFit="1" customWidth="1"/>
    <col min="8743" max="8743" width="12" style="1093" customWidth="1"/>
    <col min="8744" max="8744" width="13.42578125" style="1093" customWidth="1"/>
    <col min="8745" max="8745" width="9.5703125" style="1093" bestFit="1" customWidth="1"/>
    <col min="8746" max="8752" width="9.140625" style="1093" customWidth="1"/>
    <col min="8753" max="8956" width="9.140625" style="1093"/>
    <col min="8957" max="8957" width="16.7109375" style="1093" customWidth="1"/>
    <col min="8958" max="8958" width="52.5703125" style="1093" customWidth="1"/>
    <col min="8959" max="8959" width="11" style="1093" customWidth="1"/>
    <col min="8960" max="8960" width="13.42578125" style="1093" customWidth="1"/>
    <col min="8961" max="8961" width="11.28515625" style="1093" customWidth="1"/>
    <col min="8962" max="8962" width="10.28515625" style="1093" customWidth="1"/>
    <col min="8963" max="8963" width="13.85546875" style="1093" customWidth="1"/>
    <col min="8964" max="8965" width="7.85546875" style="1093" customWidth="1"/>
    <col min="8966" max="8966" width="10.85546875" style="1093" customWidth="1"/>
    <col min="8967" max="8967" width="13" style="1093" customWidth="1"/>
    <col min="8968" max="8968" width="11.42578125" style="1093" customWidth="1"/>
    <col min="8969" max="8969" width="10" style="1093" customWidth="1"/>
    <col min="8970" max="8970" width="7.85546875" style="1093" customWidth="1"/>
    <col min="8971" max="8971" width="10.140625" style="1093" customWidth="1"/>
    <col min="8972" max="8973" width="7.85546875" style="1093" customWidth="1"/>
    <col min="8974" max="8974" width="10.85546875" style="1093" customWidth="1"/>
    <col min="8975" max="8975" width="10.7109375" style="1093" customWidth="1"/>
    <col min="8976" max="8976" width="11" style="1093" customWidth="1"/>
    <col min="8977" max="8979" width="7.85546875" style="1093" customWidth="1"/>
    <col min="8980" max="8980" width="11.28515625" style="1093" customWidth="1"/>
    <col min="8981" max="8981" width="12.42578125" style="1093" customWidth="1"/>
    <col min="8982" max="8982" width="11" style="1093" customWidth="1"/>
    <col min="8983" max="8984" width="7.85546875" style="1093" customWidth="1"/>
    <col min="8985" max="8985" width="11" style="1093" customWidth="1"/>
    <col min="8986" max="8986" width="10.5703125" style="1093" customWidth="1"/>
    <col min="8987" max="8988" width="11" style="1093" customWidth="1"/>
    <col min="8989" max="8993" width="7.85546875" style="1093" bestFit="1" customWidth="1"/>
    <col min="8994" max="8994" width="8.42578125" style="1093" bestFit="1" customWidth="1"/>
    <col min="8995" max="8995" width="11.42578125" style="1093" customWidth="1"/>
    <col min="8996" max="8996" width="7.85546875" style="1093" bestFit="1" customWidth="1"/>
    <col min="8997" max="8997" width="9.5703125" style="1093" customWidth="1"/>
    <col min="8998" max="8998" width="7.85546875" style="1093" bestFit="1" customWidth="1"/>
    <col min="8999" max="8999" width="12" style="1093" customWidth="1"/>
    <col min="9000" max="9000" width="13.42578125" style="1093" customWidth="1"/>
    <col min="9001" max="9001" width="9.5703125" style="1093" bestFit="1" customWidth="1"/>
    <col min="9002" max="9008" width="9.140625" style="1093" customWidth="1"/>
    <col min="9009" max="9212" width="9.140625" style="1093"/>
    <col min="9213" max="9213" width="16.7109375" style="1093" customWidth="1"/>
    <col min="9214" max="9214" width="52.5703125" style="1093" customWidth="1"/>
    <col min="9215" max="9215" width="11" style="1093" customWidth="1"/>
    <col min="9216" max="9216" width="13.42578125" style="1093" customWidth="1"/>
    <col min="9217" max="9217" width="11.28515625" style="1093" customWidth="1"/>
    <col min="9218" max="9218" width="10.28515625" style="1093" customWidth="1"/>
    <col min="9219" max="9219" width="13.85546875" style="1093" customWidth="1"/>
    <col min="9220" max="9221" width="7.85546875" style="1093" customWidth="1"/>
    <col min="9222" max="9222" width="10.85546875" style="1093" customWidth="1"/>
    <col min="9223" max="9223" width="13" style="1093" customWidth="1"/>
    <col min="9224" max="9224" width="11.42578125" style="1093" customWidth="1"/>
    <col min="9225" max="9225" width="10" style="1093" customWidth="1"/>
    <col min="9226" max="9226" width="7.85546875" style="1093" customWidth="1"/>
    <col min="9227" max="9227" width="10.140625" style="1093" customWidth="1"/>
    <col min="9228" max="9229" width="7.85546875" style="1093" customWidth="1"/>
    <col min="9230" max="9230" width="10.85546875" style="1093" customWidth="1"/>
    <col min="9231" max="9231" width="10.7109375" style="1093" customWidth="1"/>
    <col min="9232" max="9232" width="11" style="1093" customWidth="1"/>
    <col min="9233" max="9235" width="7.85546875" style="1093" customWidth="1"/>
    <col min="9236" max="9236" width="11.28515625" style="1093" customWidth="1"/>
    <col min="9237" max="9237" width="12.42578125" style="1093" customWidth="1"/>
    <col min="9238" max="9238" width="11" style="1093" customWidth="1"/>
    <col min="9239" max="9240" width="7.85546875" style="1093" customWidth="1"/>
    <col min="9241" max="9241" width="11" style="1093" customWidth="1"/>
    <col min="9242" max="9242" width="10.5703125" style="1093" customWidth="1"/>
    <col min="9243" max="9244" width="11" style="1093" customWidth="1"/>
    <col min="9245" max="9249" width="7.85546875" style="1093" bestFit="1" customWidth="1"/>
    <col min="9250" max="9250" width="8.42578125" style="1093" bestFit="1" customWidth="1"/>
    <col min="9251" max="9251" width="11.42578125" style="1093" customWidth="1"/>
    <col min="9252" max="9252" width="7.85546875" style="1093" bestFit="1" customWidth="1"/>
    <col min="9253" max="9253" width="9.5703125" style="1093" customWidth="1"/>
    <col min="9254" max="9254" width="7.85546875" style="1093" bestFit="1" customWidth="1"/>
    <col min="9255" max="9255" width="12" style="1093" customWidth="1"/>
    <col min="9256" max="9256" width="13.42578125" style="1093" customWidth="1"/>
    <col min="9257" max="9257" width="9.5703125" style="1093" bestFit="1" customWidth="1"/>
    <col min="9258" max="9264" width="9.140625" style="1093" customWidth="1"/>
    <col min="9265" max="9468" width="9.140625" style="1093"/>
    <col min="9469" max="9469" width="16.7109375" style="1093" customWidth="1"/>
    <col min="9470" max="9470" width="52.5703125" style="1093" customWidth="1"/>
    <col min="9471" max="9471" width="11" style="1093" customWidth="1"/>
    <col min="9472" max="9472" width="13.42578125" style="1093" customWidth="1"/>
    <col min="9473" max="9473" width="11.28515625" style="1093" customWidth="1"/>
    <col min="9474" max="9474" width="10.28515625" style="1093" customWidth="1"/>
    <col min="9475" max="9475" width="13.85546875" style="1093" customWidth="1"/>
    <col min="9476" max="9477" width="7.85546875" style="1093" customWidth="1"/>
    <col min="9478" max="9478" width="10.85546875" style="1093" customWidth="1"/>
    <col min="9479" max="9479" width="13" style="1093" customWidth="1"/>
    <col min="9480" max="9480" width="11.42578125" style="1093" customWidth="1"/>
    <col min="9481" max="9481" width="10" style="1093" customWidth="1"/>
    <col min="9482" max="9482" width="7.85546875" style="1093" customWidth="1"/>
    <col min="9483" max="9483" width="10.140625" style="1093" customWidth="1"/>
    <col min="9484" max="9485" width="7.85546875" style="1093" customWidth="1"/>
    <col min="9486" max="9486" width="10.85546875" style="1093" customWidth="1"/>
    <col min="9487" max="9487" width="10.7109375" style="1093" customWidth="1"/>
    <col min="9488" max="9488" width="11" style="1093" customWidth="1"/>
    <col min="9489" max="9491" width="7.85546875" style="1093" customWidth="1"/>
    <col min="9492" max="9492" width="11.28515625" style="1093" customWidth="1"/>
    <col min="9493" max="9493" width="12.42578125" style="1093" customWidth="1"/>
    <col min="9494" max="9494" width="11" style="1093" customWidth="1"/>
    <col min="9495" max="9496" width="7.85546875" style="1093" customWidth="1"/>
    <col min="9497" max="9497" width="11" style="1093" customWidth="1"/>
    <col min="9498" max="9498" width="10.5703125" style="1093" customWidth="1"/>
    <col min="9499" max="9500" width="11" style="1093" customWidth="1"/>
    <col min="9501" max="9505" width="7.85546875" style="1093" bestFit="1" customWidth="1"/>
    <col min="9506" max="9506" width="8.42578125" style="1093" bestFit="1" customWidth="1"/>
    <col min="9507" max="9507" width="11.42578125" style="1093" customWidth="1"/>
    <col min="9508" max="9508" width="7.85546875" style="1093" bestFit="1" customWidth="1"/>
    <col min="9509" max="9509" width="9.5703125" style="1093" customWidth="1"/>
    <col min="9510" max="9510" width="7.85546875" style="1093" bestFit="1" customWidth="1"/>
    <col min="9511" max="9511" width="12" style="1093" customWidth="1"/>
    <col min="9512" max="9512" width="13.42578125" style="1093" customWidth="1"/>
    <col min="9513" max="9513" width="9.5703125" style="1093" bestFit="1" customWidth="1"/>
    <col min="9514" max="9520" width="9.140625" style="1093" customWidth="1"/>
    <col min="9521" max="9724" width="9.140625" style="1093"/>
    <col min="9725" max="9725" width="16.7109375" style="1093" customWidth="1"/>
    <col min="9726" max="9726" width="52.5703125" style="1093" customWidth="1"/>
    <col min="9727" max="9727" width="11" style="1093" customWidth="1"/>
    <col min="9728" max="9728" width="13.42578125" style="1093" customWidth="1"/>
    <col min="9729" max="9729" width="11.28515625" style="1093" customWidth="1"/>
    <col min="9730" max="9730" width="10.28515625" style="1093" customWidth="1"/>
    <col min="9731" max="9731" width="13.85546875" style="1093" customWidth="1"/>
    <col min="9732" max="9733" width="7.85546875" style="1093" customWidth="1"/>
    <col min="9734" max="9734" width="10.85546875" style="1093" customWidth="1"/>
    <col min="9735" max="9735" width="13" style="1093" customWidth="1"/>
    <col min="9736" max="9736" width="11.42578125" style="1093" customWidth="1"/>
    <col min="9737" max="9737" width="10" style="1093" customWidth="1"/>
    <col min="9738" max="9738" width="7.85546875" style="1093" customWidth="1"/>
    <col min="9739" max="9739" width="10.140625" style="1093" customWidth="1"/>
    <col min="9740" max="9741" width="7.85546875" style="1093" customWidth="1"/>
    <col min="9742" max="9742" width="10.85546875" style="1093" customWidth="1"/>
    <col min="9743" max="9743" width="10.7109375" style="1093" customWidth="1"/>
    <col min="9744" max="9744" width="11" style="1093" customWidth="1"/>
    <col min="9745" max="9747" width="7.85546875" style="1093" customWidth="1"/>
    <col min="9748" max="9748" width="11.28515625" style="1093" customWidth="1"/>
    <col min="9749" max="9749" width="12.42578125" style="1093" customWidth="1"/>
    <col min="9750" max="9750" width="11" style="1093" customWidth="1"/>
    <col min="9751" max="9752" width="7.85546875" style="1093" customWidth="1"/>
    <col min="9753" max="9753" width="11" style="1093" customWidth="1"/>
    <col min="9754" max="9754" width="10.5703125" style="1093" customWidth="1"/>
    <col min="9755" max="9756" width="11" style="1093" customWidth="1"/>
    <col min="9757" max="9761" width="7.85546875" style="1093" bestFit="1" customWidth="1"/>
    <col min="9762" max="9762" width="8.42578125" style="1093" bestFit="1" customWidth="1"/>
    <col min="9763" max="9763" width="11.42578125" style="1093" customWidth="1"/>
    <col min="9764" max="9764" width="7.85546875" style="1093" bestFit="1" customWidth="1"/>
    <col min="9765" max="9765" width="9.5703125" style="1093" customWidth="1"/>
    <col min="9766" max="9766" width="7.85546875" style="1093" bestFit="1" customWidth="1"/>
    <col min="9767" max="9767" width="12" style="1093" customWidth="1"/>
    <col min="9768" max="9768" width="13.42578125" style="1093" customWidth="1"/>
    <col min="9769" max="9769" width="9.5703125" style="1093" bestFit="1" customWidth="1"/>
    <col min="9770" max="9776" width="9.140625" style="1093" customWidth="1"/>
    <col min="9777" max="9980" width="9.140625" style="1093"/>
    <col min="9981" max="9981" width="16.7109375" style="1093" customWidth="1"/>
    <col min="9982" max="9982" width="52.5703125" style="1093" customWidth="1"/>
    <col min="9983" max="9983" width="11" style="1093" customWidth="1"/>
    <col min="9984" max="9984" width="13.42578125" style="1093" customWidth="1"/>
    <col min="9985" max="9985" width="11.28515625" style="1093" customWidth="1"/>
    <col min="9986" max="9986" width="10.28515625" style="1093" customWidth="1"/>
    <col min="9987" max="9987" width="13.85546875" style="1093" customWidth="1"/>
    <col min="9988" max="9989" width="7.85546875" style="1093" customWidth="1"/>
    <col min="9990" max="9990" width="10.85546875" style="1093" customWidth="1"/>
    <col min="9991" max="9991" width="13" style="1093" customWidth="1"/>
    <col min="9992" max="9992" width="11.42578125" style="1093" customWidth="1"/>
    <col min="9993" max="9993" width="10" style="1093" customWidth="1"/>
    <col min="9994" max="9994" width="7.85546875" style="1093" customWidth="1"/>
    <col min="9995" max="9995" width="10.140625" style="1093" customWidth="1"/>
    <col min="9996" max="9997" width="7.85546875" style="1093" customWidth="1"/>
    <col min="9998" max="9998" width="10.85546875" style="1093" customWidth="1"/>
    <col min="9999" max="9999" width="10.7109375" style="1093" customWidth="1"/>
    <col min="10000" max="10000" width="11" style="1093" customWidth="1"/>
    <col min="10001" max="10003" width="7.85546875" style="1093" customWidth="1"/>
    <col min="10004" max="10004" width="11.28515625" style="1093" customWidth="1"/>
    <col min="10005" max="10005" width="12.42578125" style="1093" customWidth="1"/>
    <col min="10006" max="10006" width="11" style="1093" customWidth="1"/>
    <col min="10007" max="10008" width="7.85546875" style="1093" customWidth="1"/>
    <col min="10009" max="10009" width="11" style="1093" customWidth="1"/>
    <col min="10010" max="10010" width="10.5703125" style="1093" customWidth="1"/>
    <col min="10011" max="10012" width="11" style="1093" customWidth="1"/>
    <col min="10013" max="10017" width="7.85546875" style="1093" bestFit="1" customWidth="1"/>
    <col min="10018" max="10018" width="8.42578125" style="1093" bestFit="1" customWidth="1"/>
    <col min="10019" max="10019" width="11.42578125" style="1093" customWidth="1"/>
    <col min="10020" max="10020" width="7.85546875" style="1093" bestFit="1" customWidth="1"/>
    <col min="10021" max="10021" width="9.5703125" style="1093" customWidth="1"/>
    <col min="10022" max="10022" width="7.85546875" style="1093" bestFit="1" customWidth="1"/>
    <col min="10023" max="10023" width="12" style="1093" customWidth="1"/>
    <col min="10024" max="10024" width="13.42578125" style="1093" customWidth="1"/>
    <col min="10025" max="10025" width="9.5703125" style="1093" bestFit="1" customWidth="1"/>
    <col min="10026" max="10032" width="9.140625" style="1093" customWidth="1"/>
    <col min="10033" max="10236" width="9.140625" style="1093"/>
    <col min="10237" max="10237" width="16.7109375" style="1093" customWidth="1"/>
    <col min="10238" max="10238" width="52.5703125" style="1093" customWidth="1"/>
    <col min="10239" max="10239" width="11" style="1093" customWidth="1"/>
    <col min="10240" max="10240" width="13.42578125" style="1093" customWidth="1"/>
    <col min="10241" max="10241" width="11.28515625" style="1093" customWidth="1"/>
    <col min="10242" max="10242" width="10.28515625" style="1093" customWidth="1"/>
    <col min="10243" max="10243" width="13.85546875" style="1093" customWidth="1"/>
    <col min="10244" max="10245" width="7.85546875" style="1093" customWidth="1"/>
    <col min="10246" max="10246" width="10.85546875" style="1093" customWidth="1"/>
    <col min="10247" max="10247" width="13" style="1093" customWidth="1"/>
    <col min="10248" max="10248" width="11.42578125" style="1093" customWidth="1"/>
    <col min="10249" max="10249" width="10" style="1093" customWidth="1"/>
    <col min="10250" max="10250" width="7.85546875" style="1093" customWidth="1"/>
    <col min="10251" max="10251" width="10.140625" style="1093" customWidth="1"/>
    <col min="10252" max="10253" width="7.85546875" style="1093" customWidth="1"/>
    <col min="10254" max="10254" width="10.85546875" style="1093" customWidth="1"/>
    <col min="10255" max="10255" width="10.7109375" style="1093" customWidth="1"/>
    <col min="10256" max="10256" width="11" style="1093" customWidth="1"/>
    <col min="10257" max="10259" width="7.85546875" style="1093" customWidth="1"/>
    <col min="10260" max="10260" width="11.28515625" style="1093" customWidth="1"/>
    <col min="10261" max="10261" width="12.42578125" style="1093" customWidth="1"/>
    <col min="10262" max="10262" width="11" style="1093" customWidth="1"/>
    <col min="10263" max="10264" width="7.85546875" style="1093" customWidth="1"/>
    <col min="10265" max="10265" width="11" style="1093" customWidth="1"/>
    <col min="10266" max="10266" width="10.5703125" style="1093" customWidth="1"/>
    <col min="10267" max="10268" width="11" style="1093" customWidth="1"/>
    <col min="10269" max="10273" width="7.85546875" style="1093" bestFit="1" customWidth="1"/>
    <col min="10274" max="10274" width="8.42578125" style="1093" bestFit="1" customWidth="1"/>
    <col min="10275" max="10275" width="11.42578125" style="1093" customWidth="1"/>
    <col min="10276" max="10276" width="7.85546875" style="1093" bestFit="1" customWidth="1"/>
    <col min="10277" max="10277" width="9.5703125" style="1093" customWidth="1"/>
    <col min="10278" max="10278" width="7.85546875" style="1093" bestFit="1" customWidth="1"/>
    <col min="10279" max="10279" width="12" style="1093" customWidth="1"/>
    <col min="10280" max="10280" width="13.42578125" style="1093" customWidth="1"/>
    <col min="10281" max="10281" width="9.5703125" style="1093" bestFit="1" customWidth="1"/>
    <col min="10282" max="10288" width="9.140625" style="1093" customWidth="1"/>
    <col min="10289" max="10492" width="9.140625" style="1093"/>
    <col min="10493" max="10493" width="16.7109375" style="1093" customWidth="1"/>
    <col min="10494" max="10494" width="52.5703125" style="1093" customWidth="1"/>
    <col min="10495" max="10495" width="11" style="1093" customWidth="1"/>
    <col min="10496" max="10496" width="13.42578125" style="1093" customWidth="1"/>
    <col min="10497" max="10497" width="11.28515625" style="1093" customWidth="1"/>
    <col min="10498" max="10498" width="10.28515625" style="1093" customWidth="1"/>
    <col min="10499" max="10499" width="13.85546875" style="1093" customWidth="1"/>
    <col min="10500" max="10501" width="7.85546875" style="1093" customWidth="1"/>
    <col min="10502" max="10502" width="10.85546875" style="1093" customWidth="1"/>
    <col min="10503" max="10503" width="13" style="1093" customWidth="1"/>
    <col min="10504" max="10504" width="11.42578125" style="1093" customWidth="1"/>
    <col min="10505" max="10505" width="10" style="1093" customWidth="1"/>
    <col min="10506" max="10506" width="7.85546875" style="1093" customWidth="1"/>
    <col min="10507" max="10507" width="10.140625" style="1093" customWidth="1"/>
    <col min="10508" max="10509" width="7.85546875" style="1093" customWidth="1"/>
    <col min="10510" max="10510" width="10.85546875" style="1093" customWidth="1"/>
    <col min="10511" max="10511" width="10.7109375" style="1093" customWidth="1"/>
    <col min="10512" max="10512" width="11" style="1093" customWidth="1"/>
    <col min="10513" max="10515" width="7.85546875" style="1093" customWidth="1"/>
    <col min="10516" max="10516" width="11.28515625" style="1093" customWidth="1"/>
    <col min="10517" max="10517" width="12.42578125" style="1093" customWidth="1"/>
    <col min="10518" max="10518" width="11" style="1093" customWidth="1"/>
    <col min="10519" max="10520" width="7.85546875" style="1093" customWidth="1"/>
    <col min="10521" max="10521" width="11" style="1093" customWidth="1"/>
    <col min="10522" max="10522" width="10.5703125" style="1093" customWidth="1"/>
    <col min="10523" max="10524" width="11" style="1093" customWidth="1"/>
    <col min="10525" max="10529" width="7.85546875" style="1093" bestFit="1" customWidth="1"/>
    <col min="10530" max="10530" width="8.42578125" style="1093" bestFit="1" customWidth="1"/>
    <col min="10531" max="10531" width="11.42578125" style="1093" customWidth="1"/>
    <col min="10532" max="10532" width="7.85546875" style="1093" bestFit="1" customWidth="1"/>
    <col min="10533" max="10533" width="9.5703125" style="1093" customWidth="1"/>
    <col min="10534" max="10534" width="7.85546875" style="1093" bestFit="1" customWidth="1"/>
    <col min="10535" max="10535" width="12" style="1093" customWidth="1"/>
    <col min="10536" max="10536" width="13.42578125" style="1093" customWidth="1"/>
    <col min="10537" max="10537" width="9.5703125" style="1093" bestFit="1" customWidth="1"/>
    <col min="10538" max="10544" width="9.140625" style="1093" customWidth="1"/>
    <col min="10545" max="10748" width="9.140625" style="1093"/>
    <col min="10749" max="10749" width="16.7109375" style="1093" customWidth="1"/>
    <col min="10750" max="10750" width="52.5703125" style="1093" customWidth="1"/>
    <col min="10751" max="10751" width="11" style="1093" customWidth="1"/>
    <col min="10752" max="10752" width="13.42578125" style="1093" customWidth="1"/>
    <col min="10753" max="10753" width="11.28515625" style="1093" customWidth="1"/>
    <col min="10754" max="10754" width="10.28515625" style="1093" customWidth="1"/>
    <col min="10755" max="10755" width="13.85546875" style="1093" customWidth="1"/>
    <col min="10756" max="10757" width="7.85546875" style="1093" customWidth="1"/>
    <col min="10758" max="10758" width="10.85546875" style="1093" customWidth="1"/>
    <col min="10759" max="10759" width="13" style="1093" customWidth="1"/>
    <col min="10760" max="10760" width="11.42578125" style="1093" customWidth="1"/>
    <col min="10761" max="10761" width="10" style="1093" customWidth="1"/>
    <col min="10762" max="10762" width="7.85546875" style="1093" customWidth="1"/>
    <col min="10763" max="10763" width="10.140625" style="1093" customWidth="1"/>
    <col min="10764" max="10765" width="7.85546875" style="1093" customWidth="1"/>
    <col min="10766" max="10766" width="10.85546875" style="1093" customWidth="1"/>
    <col min="10767" max="10767" width="10.7109375" style="1093" customWidth="1"/>
    <col min="10768" max="10768" width="11" style="1093" customWidth="1"/>
    <col min="10769" max="10771" width="7.85546875" style="1093" customWidth="1"/>
    <col min="10772" max="10772" width="11.28515625" style="1093" customWidth="1"/>
    <col min="10773" max="10773" width="12.42578125" style="1093" customWidth="1"/>
    <col min="10774" max="10774" width="11" style="1093" customWidth="1"/>
    <col min="10775" max="10776" width="7.85546875" style="1093" customWidth="1"/>
    <col min="10777" max="10777" width="11" style="1093" customWidth="1"/>
    <col min="10778" max="10778" width="10.5703125" style="1093" customWidth="1"/>
    <col min="10779" max="10780" width="11" style="1093" customWidth="1"/>
    <col min="10781" max="10785" width="7.85546875" style="1093" bestFit="1" customWidth="1"/>
    <col min="10786" max="10786" width="8.42578125" style="1093" bestFit="1" customWidth="1"/>
    <col min="10787" max="10787" width="11.42578125" style="1093" customWidth="1"/>
    <col min="10788" max="10788" width="7.85546875" style="1093" bestFit="1" customWidth="1"/>
    <col min="10789" max="10789" width="9.5703125" style="1093" customWidth="1"/>
    <col min="10790" max="10790" width="7.85546875" style="1093" bestFit="1" customWidth="1"/>
    <col min="10791" max="10791" width="12" style="1093" customWidth="1"/>
    <col min="10792" max="10792" width="13.42578125" style="1093" customWidth="1"/>
    <col min="10793" max="10793" width="9.5703125" style="1093" bestFit="1" customWidth="1"/>
    <col min="10794" max="10800" width="9.140625" style="1093" customWidth="1"/>
    <col min="10801" max="11004" width="9.140625" style="1093"/>
    <col min="11005" max="11005" width="16.7109375" style="1093" customWidth="1"/>
    <col min="11006" max="11006" width="52.5703125" style="1093" customWidth="1"/>
    <col min="11007" max="11007" width="11" style="1093" customWidth="1"/>
    <col min="11008" max="11008" width="13.42578125" style="1093" customWidth="1"/>
    <col min="11009" max="11009" width="11.28515625" style="1093" customWidth="1"/>
    <col min="11010" max="11010" width="10.28515625" style="1093" customWidth="1"/>
    <col min="11011" max="11011" width="13.85546875" style="1093" customWidth="1"/>
    <col min="11012" max="11013" width="7.85546875" style="1093" customWidth="1"/>
    <col min="11014" max="11014" width="10.85546875" style="1093" customWidth="1"/>
    <col min="11015" max="11015" width="13" style="1093" customWidth="1"/>
    <col min="11016" max="11016" width="11.42578125" style="1093" customWidth="1"/>
    <col min="11017" max="11017" width="10" style="1093" customWidth="1"/>
    <col min="11018" max="11018" width="7.85546875" style="1093" customWidth="1"/>
    <col min="11019" max="11019" width="10.140625" style="1093" customWidth="1"/>
    <col min="11020" max="11021" width="7.85546875" style="1093" customWidth="1"/>
    <col min="11022" max="11022" width="10.85546875" style="1093" customWidth="1"/>
    <col min="11023" max="11023" width="10.7109375" style="1093" customWidth="1"/>
    <col min="11024" max="11024" width="11" style="1093" customWidth="1"/>
    <col min="11025" max="11027" width="7.85546875" style="1093" customWidth="1"/>
    <col min="11028" max="11028" width="11.28515625" style="1093" customWidth="1"/>
    <col min="11029" max="11029" width="12.42578125" style="1093" customWidth="1"/>
    <col min="11030" max="11030" width="11" style="1093" customWidth="1"/>
    <col min="11031" max="11032" width="7.85546875" style="1093" customWidth="1"/>
    <col min="11033" max="11033" width="11" style="1093" customWidth="1"/>
    <col min="11034" max="11034" width="10.5703125" style="1093" customWidth="1"/>
    <col min="11035" max="11036" width="11" style="1093" customWidth="1"/>
    <col min="11037" max="11041" width="7.85546875" style="1093" bestFit="1" customWidth="1"/>
    <col min="11042" max="11042" width="8.42578125" style="1093" bestFit="1" customWidth="1"/>
    <col min="11043" max="11043" width="11.42578125" style="1093" customWidth="1"/>
    <col min="11044" max="11044" width="7.85546875" style="1093" bestFit="1" customWidth="1"/>
    <col min="11045" max="11045" width="9.5703125" style="1093" customWidth="1"/>
    <col min="11046" max="11046" width="7.85546875" style="1093" bestFit="1" customWidth="1"/>
    <col min="11047" max="11047" width="12" style="1093" customWidth="1"/>
    <col min="11048" max="11048" width="13.42578125" style="1093" customWidth="1"/>
    <col min="11049" max="11049" width="9.5703125" style="1093" bestFit="1" customWidth="1"/>
    <col min="11050" max="11056" width="9.140625" style="1093" customWidth="1"/>
    <col min="11057" max="11260" width="9.140625" style="1093"/>
    <col min="11261" max="11261" width="16.7109375" style="1093" customWidth="1"/>
    <col min="11262" max="11262" width="52.5703125" style="1093" customWidth="1"/>
    <col min="11263" max="11263" width="11" style="1093" customWidth="1"/>
    <col min="11264" max="11264" width="13.42578125" style="1093" customWidth="1"/>
    <col min="11265" max="11265" width="11.28515625" style="1093" customWidth="1"/>
    <col min="11266" max="11266" width="10.28515625" style="1093" customWidth="1"/>
    <col min="11267" max="11267" width="13.85546875" style="1093" customWidth="1"/>
    <col min="11268" max="11269" width="7.85546875" style="1093" customWidth="1"/>
    <col min="11270" max="11270" width="10.85546875" style="1093" customWidth="1"/>
    <col min="11271" max="11271" width="13" style="1093" customWidth="1"/>
    <col min="11272" max="11272" width="11.42578125" style="1093" customWidth="1"/>
    <col min="11273" max="11273" width="10" style="1093" customWidth="1"/>
    <col min="11274" max="11274" width="7.85546875" style="1093" customWidth="1"/>
    <col min="11275" max="11275" width="10.140625" style="1093" customWidth="1"/>
    <col min="11276" max="11277" width="7.85546875" style="1093" customWidth="1"/>
    <col min="11278" max="11278" width="10.85546875" style="1093" customWidth="1"/>
    <col min="11279" max="11279" width="10.7109375" style="1093" customWidth="1"/>
    <col min="11280" max="11280" width="11" style="1093" customWidth="1"/>
    <col min="11281" max="11283" width="7.85546875" style="1093" customWidth="1"/>
    <col min="11284" max="11284" width="11.28515625" style="1093" customWidth="1"/>
    <col min="11285" max="11285" width="12.42578125" style="1093" customWidth="1"/>
    <col min="11286" max="11286" width="11" style="1093" customWidth="1"/>
    <col min="11287" max="11288" width="7.85546875" style="1093" customWidth="1"/>
    <col min="11289" max="11289" width="11" style="1093" customWidth="1"/>
    <col min="11290" max="11290" width="10.5703125" style="1093" customWidth="1"/>
    <col min="11291" max="11292" width="11" style="1093" customWidth="1"/>
    <col min="11293" max="11297" width="7.85546875" style="1093" bestFit="1" customWidth="1"/>
    <col min="11298" max="11298" width="8.42578125" style="1093" bestFit="1" customWidth="1"/>
    <col min="11299" max="11299" width="11.42578125" style="1093" customWidth="1"/>
    <col min="11300" max="11300" width="7.85546875" style="1093" bestFit="1" customWidth="1"/>
    <col min="11301" max="11301" width="9.5703125" style="1093" customWidth="1"/>
    <col min="11302" max="11302" width="7.85546875" style="1093" bestFit="1" customWidth="1"/>
    <col min="11303" max="11303" width="12" style="1093" customWidth="1"/>
    <col min="11304" max="11304" width="13.42578125" style="1093" customWidth="1"/>
    <col min="11305" max="11305" width="9.5703125" style="1093" bestFit="1" customWidth="1"/>
    <col min="11306" max="11312" width="9.140625" style="1093" customWidth="1"/>
    <col min="11313" max="11516" width="9.140625" style="1093"/>
    <col min="11517" max="11517" width="16.7109375" style="1093" customWidth="1"/>
    <col min="11518" max="11518" width="52.5703125" style="1093" customWidth="1"/>
    <col min="11519" max="11519" width="11" style="1093" customWidth="1"/>
    <col min="11520" max="11520" width="13.42578125" style="1093" customWidth="1"/>
    <col min="11521" max="11521" width="11.28515625" style="1093" customWidth="1"/>
    <col min="11522" max="11522" width="10.28515625" style="1093" customWidth="1"/>
    <col min="11523" max="11523" width="13.85546875" style="1093" customWidth="1"/>
    <col min="11524" max="11525" width="7.85546875" style="1093" customWidth="1"/>
    <col min="11526" max="11526" width="10.85546875" style="1093" customWidth="1"/>
    <col min="11527" max="11527" width="13" style="1093" customWidth="1"/>
    <col min="11528" max="11528" width="11.42578125" style="1093" customWidth="1"/>
    <col min="11529" max="11529" width="10" style="1093" customWidth="1"/>
    <col min="11530" max="11530" width="7.85546875" style="1093" customWidth="1"/>
    <col min="11531" max="11531" width="10.140625" style="1093" customWidth="1"/>
    <col min="11532" max="11533" width="7.85546875" style="1093" customWidth="1"/>
    <col min="11534" max="11534" width="10.85546875" style="1093" customWidth="1"/>
    <col min="11535" max="11535" width="10.7109375" style="1093" customWidth="1"/>
    <col min="11536" max="11536" width="11" style="1093" customWidth="1"/>
    <col min="11537" max="11539" width="7.85546875" style="1093" customWidth="1"/>
    <col min="11540" max="11540" width="11.28515625" style="1093" customWidth="1"/>
    <col min="11541" max="11541" width="12.42578125" style="1093" customWidth="1"/>
    <col min="11542" max="11542" width="11" style="1093" customWidth="1"/>
    <col min="11543" max="11544" width="7.85546875" style="1093" customWidth="1"/>
    <col min="11545" max="11545" width="11" style="1093" customWidth="1"/>
    <col min="11546" max="11546" width="10.5703125" style="1093" customWidth="1"/>
    <col min="11547" max="11548" width="11" style="1093" customWidth="1"/>
    <col min="11549" max="11553" width="7.85546875" style="1093" bestFit="1" customWidth="1"/>
    <col min="11554" max="11554" width="8.42578125" style="1093" bestFit="1" customWidth="1"/>
    <col min="11555" max="11555" width="11.42578125" style="1093" customWidth="1"/>
    <col min="11556" max="11556" width="7.85546875" style="1093" bestFit="1" customWidth="1"/>
    <col min="11557" max="11557" width="9.5703125" style="1093" customWidth="1"/>
    <col min="11558" max="11558" width="7.85546875" style="1093" bestFit="1" customWidth="1"/>
    <col min="11559" max="11559" width="12" style="1093" customWidth="1"/>
    <col min="11560" max="11560" width="13.42578125" style="1093" customWidth="1"/>
    <col min="11561" max="11561" width="9.5703125" style="1093" bestFit="1" customWidth="1"/>
    <col min="11562" max="11568" width="9.140625" style="1093" customWidth="1"/>
    <col min="11569" max="11772" width="9.140625" style="1093"/>
    <col min="11773" max="11773" width="16.7109375" style="1093" customWidth="1"/>
    <col min="11774" max="11774" width="52.5703125" style="1093" customWidth="1"/>
    <col min="11775" max="11775" width="11" style="1093" customWidth="1"/>
    <col min="11776" max="11776" width="13.42578125" style="1093" customWidth="1"/>
    <col min="11777" max="11777" width="11.28515625" style="1093" customWidth="1"/>
    <col min="11778" max="11778" width="10.28515625" style="1093" customWidth="1"/>
    <col min="11779" max="11779" width="13.85546875" style="1093" customWidth="1"/>
    <col min="11780" max="11781" width="7.85546875" style="1093" customWidth="1"/>
    <col min="11782" max="11782" width="10.85546875" style="1093" customWidth="1"/>
    <col min="11783" max="11783" width="13" style="1093" customWidth="1"/>
    <col min="11784" max="11784" width="11.42578125" style="1093" customWidth="1"/>
    <col min="11785" max="11785" width="10" style="1093" customWidth="1"/>
    <col min="11786" max="11786" width="7.85546875" style="1093" customWidth="1"/>
    <col min="11787" max="11787" width="10.140625" style="1093" customWidth="1"/>
    <col min="11788" max="11789" width="7.85546875" style="1093" customWidth="1"/>
    <col min="11790" max="11790" width="10.85546875" style="1093" customWidth="1"/>
    <col min="11791" max="11791" width="10.7109375" style="1093" customWidth="1"/>
    <col min="11792" max="11792" width="11" style="1093" customWidth="1"/>
    <col min="11793" max="11795" width="7.85546875" style="1093" customWidth="1"/>
    <col min="11796" max="11796" width="11.28515625" style="1093" customWidth="1"/>
    <col min="11797" max="11797" width="12.42578125" style="1093" customWidth="1"/>
    <col min="11798" max="11798" width="11" style="1093" customWidth="1"/>
    <col min="11799" max="11800" width="7.85546875" style="1093" customWidth="1"/>
    <col min="11801" max="11801" width="11" style="1093" customWidth="1"/>
    <col min="11802" max="11802" width="10.5703125" style="1093" customWidth="1"/>
    <col min="11803" max="11804" width="11" style="1093" customWidth="1"/>
    <col min="11805" max="11809" width="7.85546875" style="1093" bestFit="1" customWidth="1"/>
    <col min="11810" max="11810" width="8.42578125" style="1093" bestFit="1" customWidth="1"/>
    <col min="11811" max="11811" width="11.42578125" style="1093" customWidth="1"/>
    <col min="11812" max="11812" width="7.85546875" style="1093" bestFit="1" customWidth="1"/>
    <col min="11813" max="11813" width="9.5703125" style="1093" customWidth="1"/>
    <col min="11814" max="11814" width="7.85546875" style="1093" bestFit="1" customWidth="1"/>
    <col min="11815" max="11815" width="12" style="1093" customWidth="1"/>
    <col min="11816" max="11816" width="13.42578125" style="1093" customWidth="1"/>
    <col min="11817" max="11817" width="9.5703125" style="1093" bestFit="1" customWidth="1"/>
    <col min="11818" max="11824" width="9.140625" style="1093" customWidth="1"/>
    <col min="11825" max="12028" width="9.140625" style="1093"/>
    <col min="12029" max="12029" width="16.7109375" style="1093" customWidth="1"/>
    <col min="12030" max="12030" width="52.5703125" style="1093" customWidth="1"/>
    <col min="12031" max="12031" width="11" style="1093" customWidth="1"/>
    <col min="12032" max="12032" width="13.42578125" style="1093" customWidth="1"/>
    <col min="12033" max="12033" width="11.28515625" style="1093" customWidth="1"/>
    <col min="12034" max="12034" width="10.28515625" style="1093" customWidth="1"/>
    <col min="12035" max="12035" width="13.85546875" style="1093" customWidth="1"/>
    <col min="12036" max="12037" width="7.85546875" style="1093" customWidth="1"/>
    <col min="12038" max="12038" width="10.85546875" style="1093" customWidth="1"/>
    <col min="12039" max="12039" width="13" style="1093" customWidth="1"/>
    <col min="12040" max="12040" width="11.42578125" style="1093" customWidth="1"/>
    <col min="12041" max="12041" width="10" style="1093" customWidth="1"/>
    <col min="12042" max="12042" width="7.85546875" style="1093" customWidth="1"/>
    <col min="12043" max="12043" width="10.140625" style="1093" customWidth="1"/>
    <col min="12044" max="12045" width="7.85546875" style="1093" customWidth="1"/>
    <col min="12046" max="12046" width="10.85546875" style="1093" customWidth="1"/>
    <col min="12047" max="12047" width="10.7109375" style="1093" customWidth="1"/>
    <col min="12048" max="12048" width="11" style="1093" customWidth="1"/>
    <col min="12049" max="12051" width="7.85546875" style="1093" customWidth="1"/>
    <col min="12052" max="12052" width="11.28515625" style="1093" customWidth="1"/>
    <col min="12053" max="12053" width="12.42578125" style="1093" customWidth="1"/>
    <col min="12054" max="12054" width="11" style="1093" customWidth="1"/>
    <col min="12055" max="12056" width="7.85546875" style="1093" customWidth="1"/>
    <col min="12057" max="12057" width="11" style="1093" customWidth="1"/>
    <col min="12058" max="12058" width="10.5703125" style="1093" customWidth="1"/>
    <col min="12059" max="12060" width="11" style="1093" customWidth="1"/>
    <col min="12061" max="12065" width="7.85546875" style="1093" bestFit="1" customWidth="1"/>
    <col min="12066" max="12066" width="8.42578125" style="1093" bestFit="1" customWidth="1"/>
    <col min="12067" max="12067" width="11.42578125" style="1093" customWidth="1"/>
    <col min="12068" max="12068" width="7.85546875" style="1093" bestFit="1" customWidth="1"/>
    <col min="12069" max="12069" width="9.5703125" style="1093" customWidth="1"/>
    <col min="12070" max="12070" width="7.85546875" style="1093" bestFit="1" customWidth="1"/>
    <col min="12071" max="12071" width="12" style="1093" customWidth="1"/>
    <col min="12072" max="12072" width="13.42578125" style="1093" customWidth="1"/>
    <col min="12073" max="12073" width="9.5703125" style="1093" bestFit="1" customWidth="1"/>
    <col min="12074" max="12080" width="9.140625" style="1093" customWidth="1"/>
    <col min="12081" max="12284" width="9.140625" style="1093"/>
    <col min="12285" max="12285" width="16.7109375" style="1093" customWidth="1"/>
    <col min="12286" max="12286" width="52.5703125" style="1093" customWidth="1"/>
    <col min="12287" max="12287" width="11" style="1093" customWidth="1"/>
    <col min="12288" max="12288" width="13.42578125" style="1093" customWidth="1"/>
    <col min="12289" max="12289" width="11.28515625" style="1093" customWidth="1"/>
    <col min="12290" max="12290" width="10.28515625" style="1093" customWidth="1"/>
    <col min="12291" max="12291" width="13.85546875" style="1093" customWidth="1"/>
    <col min="12292" max="12293" width="7.85546875" style="1093" customWidth="1"/>
    <col min="12294" max="12294" width="10.85546875" style="1093" customWidth="1"/>
    <col min="12295" max="12295" width="13" style="1093" customWidth="1"/>
    <col min="12296" max="12296" width="11.42578125" style="1093" customWidth="1"/>
    <col min="12297" max="12297" width="10" style="1093" customWidth="1"/>
    <col min="12298" max="12298" width="7.85546875" style="1093" customWidth="1"/>
    <col min="12299" max="12299" width="10.140625" style="1093" customWidth="1"/>
    <col min="12300" max="12301" width="7.85546875" style="1093" customWidth="1"/>
    <col min="12302" max="12302" width="10.85546875" style="1093" customWidth="1"/>
    <col min="12303" max="12303" width="10.7109375" style="1093" customWidth="1"/>
    <col min="12304" max="12304" width="11" style="1093" customWidth="1"/>
    <col min="12305" max="12307" width="7.85546875" style="1093" customWidth="1"/>
    <col min="12308" max="12308" width="11.28515625" style="1093" customWidth="1"/>
    <col min="12309" max="12309" width="12.42578125" style="1093" customWidth="1"/>
    <col min="12310" max="12310" width="11" style="1093" customWidth="1"/>
    <col min="12311" max="12312" width="7.85546875" style="1093" customWidth="1"/>
    <col min="12313" max="12313" width="11" style="1093" customWidth="1"/>
    <col min="12314" max="12314" width="10.5703125" style="1093" customWidth="1"/>
    <col min="12315" max="12316" width="11" style="1093" customWidth="1"/>
    <col min="12317" max="12321" width="7.85546875" style="1093" bestFit="1" customWidth="1"/>
    <col min="12322" max="12322" width="8.42578125" style="1093" bestFit="1" customWidth="1"/>
    <col min="12323" max="12323" width="11.42578125" style="1093" customWidth="1"/>
    <col min="12324" max="12324" width="7.85546875" style="1093" bestFit="1" customWidth="1"/>
    <col min="12325" max="12325" width="9.5703125" style="1093" customWidth="1"/>
    <col min="12326" max="12326" width="7.85546875" style="1093" bestFit="1" customWidth="1"/>
    <col min="12327" max="12327" width="12" style="1093" customWidth="1"/>
    <col min="12328" max="12328" width="13.42578125" style="1093" customWidth="1"/>
    <col min="12329" max="12329" width="9.5703125" style="1093" bestFit="1" customWidth="1"/>
    <col min="12330" max="12336" width="9.140625" style="1093" customWidth="1"/>
    <col min="12337" max="12540" width="9.140625" style="1093"/>
    <col min="12541" max="12541" width="16.7109375" style="1093" customWidth="1"/>
    <col min="12542" max="12542" width="52.5703125" style="1093" customWidth="1"/>
    <col min="12543" max="12543" width="11" style="1093" customWidth="1"/>
    <col min="12544" max="12544" width="13.42578125" style="1093" customWidth="1"/>
    <col min="12545" max="12545" width="11.28515625" style="1093" customWidth="1"/>
    <col min="12546" max="12546" width="10.28515625" style="1093" customWidth="1"/>
    <col min="12547" max="12547" width="13.85546875" style="1093" customWidth="1"/>
    <col min="12548" max="12549" width="7.85546875" style="1093" customWidth="1"/>
    <col min="12550" max="12550" width="10.85546875" style="1093" customWidth="1"/>
    <col min="12551" max="12551" width="13" style="1093" customWidth="1"/>
    <col min="12552" max="12552" width="11.42578125" style="1093" customWidth="1"/>
    <col min="12553" max="12553" width="10" style="1093" customWidth="1"/>
    <col min="12554" max="12554" width="7.85546875" style="1093" customWidth="1"/>
    <col min="12555" max="12555" width="10.140625" style="1093" customWidth="1"/>
    <col min="12556" max="12557" width="7.85546875" style="1093" customWidth="1"/>
    <col min="12558" max="12558" width="10.85546875" style="1093" customWidth="1"/>
    <col min="12559" max="12559" width="10.7109375" style="1093" customWidth="1"/>
    <col min="12560" max="12560" width="11" style="1093" customWidth="1"/>
    <col min="12561" max="12563" width="7.85546875" style="1093" customWidth="1"/>
    <col min="12564" max="12564" width="11.28515625" style="1093" customWidth="1"/>
    <col min="12565" max="12565" width="12.42578125" style="1093" customWidth="1"/>
    <col min="12566" max="12566" width="11" style="1093" customWidth="1"/>
    <col min="12567" max="12568" width="7.85546875" style="1093" customWidth="1"/>
    <col min="12569" max="12569" width="11" style="1093" customWidth="1"/>
    <col min="12570" max="12570" width="10.5703125" style="1093" customWidth="1"/>
    <col min="12571" max="12572" width="11" style="1093" customWidth="1"/>
    <col min="12573" max="12577" width="7.85546875" style="1093" bestFit="1" customWidth="1"/>
    <col min="12578" max="12578" width="8.42578125" style="1093" bestFit="1" customWidth="1"/>
    <col min="12579" max="12579" width="11.42578125" style="1093" customWidth="1"/>
    <col min="12580" max="12580" width="7.85546875" style="1093" bestFit="1" customWidth="1"/>
    <col min="12581" max="12581" width="9.5703125" style="1093" customWidth="1"/>
    <col min="12582" max="12582" width="7.85546875" style="1093" bestFit="1" customWidth="1"/>
    <col min="12583" max="12583" width="12" style="1093" customWidth="1"/>
    <col min="12584" max="12584" width="13.42578125" style="1093" customWidth="1"/>
    <col min="12585" max="12585" width="9.5703125" style="1093" bestFit="1" customWidth="1"/>
    <col min="12586" max="12592" width="9.140625" style="1093" customWidth="1"/>
    <col min="12593" max="12796" width="9.140625" style="1093"/>
    <col min="12797" max="12797" width="16.7109375" style="1093" customWidth="1"/>
    <col min="12798" max="12798" width="52.5703125" style="1093" customWidth="1"/>
    <col min="12799" max="12799" width="11" style="1093" customWidth="1"/>
    <col min="12800" max="12800" width="13.42578125" style="1093" customWidth="1"/>
    <col min="12801" max="12801" width="11.28515625" style="1093" customWidth="1"/>
    <col min="12802" max="12802" width="10.28515625" style="1093" customWidth="1"/>
    <col min="12803" max="12803" width="13.85546875" style="1093" customWidth="1"/>
    <col min="12804" max="12805" width="7.85546875" style="1093" customWidth="1"/>
    <col min="12806" max="12806" width="10.85546875" style="1093" customWidth="1"/>
    <col min="12807" max="12807" width="13" style="1093" customWidth="1"/>
    <col min="12808" max="12808" width="11.42578125" style="1093" customWidth="1"/>
    <col min="12809" max="12809" width="10" style="1093" customWidth="1"/>
    <col min="12810" max="12810" width="7.85546875" style="1093" customWidth="1"/>
    <col min="12811" max="12811" width="10.140625" style="1093" customWidth="1"/>
    <col min="12812" max="12813" width="7.85546875" style="1093" customWidth="1"/>
    <col min="12814" max="12814" width="10.85546875" style="1093" customWidth="1"/>
    <col min="12815" max="12815" width="10.7109375" style="1093" customWidth="1"/>
    <col min="12816" max="12816" width="11" style="1093" customWidth="1"/>
    <col min="12817" max="12819" width="7.85546875" style="1093" customWidth="1"/>
    <col min="12820" max="12820" width="11.28515625" style="1093" customWidth="1"/>
    <col min="12821" max="12821" width="12.42578125" style="1093" customWidth="1"/>
    <col min="12822" max="12822" width="11" style="1093" customWidth="1"/>
    <col min="12823" max="12824" width="7.85546875" style="1093" customWidth="1"/>
    <col min="12825" max="12825" width="11" style="1093" customWidth="1"/>
    <col min="12826" max="12826" width="10.5703125" style="1093" customWidth="1"/>
    <col min="12827" max="12828" width="11" style="1093" customWidth="1"/>
    <col min="12829" max="12833" width="7.85546875" style="1093" bestFit="1" customWidth="1"/>
    <col min="12834" max="12834" width="8.42578125" style="1093" bestFit="1" customWidth="1"/>
    <col min="12835" max="12835" width="11.42578125" style="1093" customWidth="1"/>
    <col min="12836" max="12836" width="7.85546875" style="1093" bestFit="1" customWidth="1"/>
    <col min="12837" max="12837" width="9.5703125" style="1093" customWidth="1"/>
    <col min="12838" max="12838" width="7.85546875" style="1093" bestFit="1" customWidth="1"/>
    <col min="12839" max="12839" width="12" style="1093" customWidth="1"/>
    <col min="12840" max="12840" width="13.42578125" style="1093" customWidth="1"/>
    <col min="12841" max="12841" width="9.5703125" style="1093" bestFit="1" customWidth="1"/>
    <col min="12842" max="12848" width="9.140625" style="1093" customWidth="1"/>
    <col min="12849" max="13052" width="9.140625" style="1093"/>
    <col min="13053" max="13053" width="16.7109375" style="1093" customWidth="1"/>
    <col min="13054" max="13054" width="52.5703125" style="1093" customWidth="1"/>
    <col min="13055" max="13055" width="11" style="1093" customWidth="1"/>
    <col min="13056" max="13056" width="13.42578125" style="1093" customWidth="1"/>
    <col min="13057" max="13057" width="11.28515625" style="1093" customWidth="1"/>
    <col min="13058" max="13058" width="10.28515625" style="1093" customWidth="1"/>
    <col min="13059" max="13059" width="13.85546875" style="1093" customWidth="1"/>
    <col min="13060" max="13061" width="7.85546875" style="1093" customWidth="1"/>
    <col min="13062" max="13062" width="10.85546875" style="1093" customWidth="1"/>
    <col min="13063" max="13063" width="13" style="1093" customWidth="1"/>
    <col min="13064" max="13064" width="11.42578125" style="1093" customWidth="1"/>
    <col min="13065" max="13065" width="10" style="1093" customWidth="1"/>
    <col min="13066" max="13066" width="7.85546875" style="1093" customWidth="1"/>
    <col min="13067" max="13067" width="10.140625" style="1093" customWidth="1"/>
    <col min="13068" max="13069" width="7.85546875" style="1093" customWidth="1"/>
    <col min="13070" max="13070" width="10.85546875" style="1093" customWidth="1"/>
    <col min="13071" max="13071" width="10.7109375" style="1093" customWidth="1"/>
    <col min="13072" max="13072" width="11" style="1093" customWidth="1"/>
    <col min="13073" max="13075" width="7.85546875" style="1093" customWidth="1"/>
    <col min="13076" max="13076" width="11.28515625" style="1093" customWidth="1"/>
    <col min="13077" max="13077" width="12.42578125" style="1093" customWidth="1"/>
    <col min="13078" max="13078" width="11" style="1093" customWidth="1"/>
    <col min="13079" max="13080" width="7.85546875" style="1093" customWidth="1"/>
    <col min="13081" max="13081" width="11" style="1093" customWidth="1"/>
    <col min="13082" max="13082" width="10.5703125" style="1093" customWidth="1"/>
    <col min="13083" max="13084" width="11" style="1093" customWidth="1"/>
    <col min="13085" max="13089" width="7.85546875" style="1093" bestFit="1" customWidth="1"/>
    <col min="13090" max="13090" width="8.42578125" style="1093" bestFit="1" customWidth="1"/>
    <col min="13091" max="13091" width="11.42578125" style="1093" customWidth="1"/>
    <col min="13092" max="13092" width="7.85546875" style="1093" bestFit="1" customWidth="1"/>
    <col min="13093" max="13093" width="9.5703125" style="1093" customWidth="1"/>
    <col min="13094" max="13094" width="7.85546875" style="1093" bestFit="1" customWidth="1"/>
    <col min="13095" max="13095" width="12" style="1093" customWidth="1"/>
    <col min="13096" max="13096" width="13.42578125" style="1093" customWidth="1"/>
    <col min="13097" max="13097" width="9.5703125" style="1093" bestFit="1" customWidth="1"/>
    <col min="13098" max="13104" width="9.140625" style="1093" customWidth="1"/>
    <col min="13105" max="13308" width="9.140625" style="1093"/>
    <col min="13309" max="13309" width="16.7109375" style="1093" customWidth="1"/>
    <col min="13310" max="13310" width="52.5703125" style="1093" customWidth="1"/>
    <col min="13311" max="13311" width="11" style="1093" customWidth="1"/>
    <col min="13312" max="13312" width="13.42578125" style="1093" customWidth="1"/>
    <col min="13313" max="13313" width="11.28515625" style="1093" customWidth="1"/>
    <col min="13314" max="13314" width="10.28515625" style="1093" customWidth="1"/>
    <col min="13315" max="13315" width="13.85546875" style="1093" customWidth="1"/>
    <col min="13316" max="13317" width="7.85546875" style="1093" customWidth="1"/>
    <col min="13318" max="13318" width="10.85546875" style="1093" customWidth="1"/>
    <col min="13319" max="13319" width="13" style="1093" customWidth="1"/>
    <col min="13320" max="13320" width="11.42578125" style="1093" customWidth="1"/>
    <col min="13321" max="13321" width="10" style="1093" customWidth="1"/>
    <col min="13322" max="13322" width="7.85546875" style="1093" customWidth="1"/>
    <col min="13323" max="13323" width="10.140625" style="1093" customWidth="1"/>
    <col min="13324" max="13325" width="7.85546875" style="1093" customWidth="1"/>
    <col min="13326" max="13326" width="10.85546875" style="1093" customWidth="1"/>
    <col min="13327" max="13327" width="10.7109375" style="1093" customWidth="1"/>
    <col min="13328" max="13328" width="11" style="1093" customWidth="1"/>
    <col min="13329" max="13331" width="7.85546875" style="1093" customWidth="1"/>
    <col min="13332" max="13332" width="11.28515625" style="1093" customWidth="1"/>
    <col min="13333" max="13333" width="12.42578125" style="1093" customWidth="1"/>
    <col min="13334" max="13334" width="11" style="1093" customWidth="1"/>
    <col min="13335" max="13336" width="7.85546875" style="1093" customWidth="1"/>
    <col min="13337" max="13337" width="11" style="1093" customWidth="1"/>
    <col min="13338" max="13338" width="10.5703125" style="1093" customWidth="1"/>
    <col min="13339" max="13340" width="11" style="1093" customWidth="1"/>
    <col min="13341" max="13345" width="7.85546875" style="1093" bestFit="1" customWidth="1"/>
    <col min="13346" max="13346" width="8.42578125" style="1093" bestFit="1" customWidth="1"/>
    <col min="13347" max="13347" width="11.42578125" style="1093" customWidth="1"/>
    <col min="13348" max="13348" width="7.85546875" style="1093" bestFit="1" customWidth="1"/>
    <col min="13349" max="13349" width="9.5703125" style="1093" customWidth="1"/>
    <col min="13350" max="13350" width="7.85546875" style="1093" bestFit="1" customWidth="1"/>
    <col min="13351" max="13351" width="12" style="1093" customWidth="1"/>
    <col min="13352" max="13352" width="13.42578125" style="1093" customWidth="1"/>
    <col min="13353" max="13353" width="9.5703125" style="1093" bestFit="1" customWidth="1"/>
    <col min="13354" max="13360" width="9.140625" style="1093" customWidth="1"/>
    <col min="13361" max="13564" width="9.140625" style="1093"/>
    <col min="13565" max="13565" width="16.7109375" style="1093" customWidth="1"/>
    <col min="13566" max="13566" width="52.5703125" style="1093" customWidth="1"/>
    <col min="13567" max="13567" width="11" style="1093" customWidth="1"/>
    <col min="13568" max="13568" width="13.42578125" style="1093" customWidth="1"/>
    <col min="13569" max="13569" width="11.28515625" style="1093" customWidth="1"/>
    <col min="13570" max="13570" width="10.28515625" style="1093" customWidth="1"/>
    <col min="13571" max="13571" width="13.85546875" style="1093" customWidth="1"/>
    <col min="13572" max="13573" width="7.85546875" style="1093" customWidth="1"/>
    <col min="13574" max="13574" width="10.85546875" style="1093" customWidth="1"/>
    <col min="13575" max="13575" width="13" style="1093" customWidth="1"/>
    <col min="13576" max="13576" width="11.42578125" style="1093" customWidth="1"/>
    <col min="13577" max="13577" width="10" style="1093" customWidth="1"/>
    <col min="13578" max="13578" width="7.85546875" style="1093" customWidth="1"/>
    <col min="13579" max="13579" width="10.140625" style="1093" customWidth="1"/>
    <col min="13580" max="13581" width="7.85546875" style="1093" customWidth="1"/>
    <col min="13582" max="13582" width="10.85546875" style="1093" customWidth="1"/>
    <col min="13583" max="13583" width="10.7109375" style="1093" customWidth="1"/>
    <col min="13584" max="13584" width="11" style="1093" customWidth="1"/>
    <col min="13585" max="13587" width="7.85546875" style="1093" customWidth="1"/>
    <col min="13588" max="13588" width="11.28515625" style="1093" customWidth="1"/>
    <col min="13589" max="13589" width="12.42578125" style="1093" customWidth="1"/>
    <col min="13590" max="13590" width="11" style="1093" customWidth="1"/>
    <col min="13591" max="13592" width="7.85546875" style="1093" customWidth="1"/>
    <col min="13593" max="13593" width="11" style="1093" customWidth="1"/>
    <col min="13594" max="13594" width="10.5703125" style="1093" customWidth="1"/>
    <col min="13595" max="13596" width="11" style="1093" customWidth="1"/>
    <col min="13597" max="13601" width="7.85546875" style="1093" bestFit="1" customWidth="1"/>
    <col min="13602" max="13602" width="8.42578125" style="1093" bestFit="1" customWidth="1"/>
    <col min="13603" max="13603" width="11.42578125" style="1093" customWidth="1"/>
    <col min="13604" max="13604" width="7.85546875" style="1093" bestFit="1" customWidth="1"/>
    <col min="13605" max="13605" width="9.5703125" style="1093" customWidth="1"/>
    <col min="13606" max="13606" width="7.85546875" style="1093" bestFit="1" customWidth="1"/>
    <col min="13607" max="13607" width="12" style="1093" customWidth="1"/>
    <col min="13608" max="13608" width="13.42578125" style="1093" customWidth="1"/>
    <col min="13609" max="13609" width="9.5703125" style="1093" bestFit="1" customWidth="1"/>
    <col min="13610" max="13616" width="9.140625" style="1093" customWidth="1"/>
    <col min="13617" max="13820" width="9.140625" style="1093"/>
    <col min="13821" max="13821" width="16.7109375" style="1093" customWidth="1"/>
    <col min="13822" max="13822" width="52.5703125" style="1093" customWidth="1"/>
    <col min="13823" max="13823" width="11" style="1093" customWidth="1"/>
    <col min="13824" max="13824" width="13.42578125" style="1093" customWidth="1"/>
    <col min="13825" max="13825" width="11.28515625" style="1093" customWidth="1"/>
    <col min="13826" max="13826" width="10.28515625" style="1093" customWidth="1"/>
    <col min="13827" max="13827" width="13.85546875" style="1093" customWidth="1"/>
    <col min="13828" max="13829" width="7.85546875" style="1093" customWidth="1"/>
    <col min="13830" max="13830" width="10.85546875" style="1093" customWidth="1"/>
    <col min="13831" max="13831" width="13" style="1093" customWidth="1"/>
    <col min="13832" max="13832" width="11.42578125" style="1093" customWidth="1"/>
    <col min="13833" max="13833" width="10" style="1093" customWidth="1"/>
    <col min="13834" max="13834" width="7.85546875" style="1093" customWidth="1"/>
    <col min="13835" max="13835" width="10.140625" style="1093" customWidth="1"/>
    <col min="13836" max="13837" width="7.85546875" style="1093" customWidth="1"/>
    <col min="13838" max="13838" width="10.85546875" style="1093" customWidth="1"/>
    <col min="13839" max="13839" width="10.7109375" style="1093" customWidth="1"/>
    <col min="13840" max="13840" width="11" style="1093" customWidth="1"/>
    <col min="13841" max="13843" width="7.85546875" style="1093" customWidth="1"/>
    <col min="13844" max="13844" width="11.28515625" style="1093" customWidth="1"/>
    <col min="13845" max="13845" width="12.42578125" style="1093" customWidth="1"/>
    <col min="13846" max="13846" width="11" style="1093" customWidth="1"/>
    <col min="13847" max="13848" width="7.85546875" style="1093" customWidth="1"/>
    <col min="13849" max="13849" width="11" style="1093" customWidth="1"/>
    <col min="13850" max="13850" width="10.5703125" style="1093" customWidth="1"/>
    <col min="13851" max="13852" width="11" style="1093" customWidth="1"/>
    <col min="13853" max="13857" width="7.85546875" style="1093" bestFit="1" customWidth="1"/>
    <col min="13858" max="13858" width="8.42578125" style="1093" bestFit="1" customWidth="1"/>
    <col min="13859" max="13859" width="11.42578125" style="1093" customWidth="1"/>
    <col min="13860" max="13860" width="7.85546875" style="1093" bestFit="1" customWidth="1"/>
    <col min="13861" max="13861" width="9.5703125" style="1093" customWidth="1"/>
    <col min="13862" max="13862" width="7.85546875" style="1093" bestFit="1" customWidth="1"/>
    <col min="13863" max="13863" width="12" style="1093" customWidth="1"/>
    <col min="13864" max="13864" width="13.42578125" style="1093" customWidth="1"/>
    <col min="13865" max="13865" width="9.5703125" style="1093" bestFit="1" customWidth="1"/>
    <col min="13866" max="13872" width="9.140625" style="1093" customWidth="1"/>
    <col min="13873" max="14076" width="9.140625" style="1093"/>
    <col min="14077" max="14077" width="16.7109375" style="1093" customWidth="1"/>
    <col min="14078" max="14078" width="52.5703125" style="1093" customWidth="1"/>
    <col min="14079" max="14079" width="11" style="1093" customWidth="1"/>
    <col min="14080" max="14080" width="13.42578125" style="1093" customWidth="1"/>
    <col min="14081" max="14081" width="11.28515625" style="1093" customWidth="1"/>
    <col min="14082" max="14082" width="10.28515625" style="1093" customWidth="1"/>
    <col min="14083" max="14083" width="13.85546875" style="1093" customWidth="1"/>
    <col min="14084" max="14085" width="7.85546875" style="1093" customWidth="1"/>
    <col min="14086" max="14086" width="10.85546875" style="1093" customWidth="1"/>
    <col min="14087" max="14087" width="13" style="1093" customWidth="1"/>
    <col min="14088" max="14088" width="11.42578125" style="1093" customWidth="1"/>
    <col min="14089" max="14089" width="10" style="1093" customWidth="1"/>
    <col min="14090" max="14090" width="7.85546875" style="1093" customWidth="1"/>
    <col min="14091" max="14091" width="10.140625" style="1093" customWidth="1"/>
    <col min="14092" max="14093" width="7.85546875" style="1093" customWidth="1"/>
    <col min="14094" max="14094" width="10.85546875" style="1093" customWidth="1"/>
    <col min="14095" max="14095" width="10.7109375" style="1093" customWidth="1"/>
    <col min="14096" max="14096" width="11" style="1093" customWidth="1"/>
    <col min="14097" max="14099" width="7.85546875" style="1093" customWidth="1"/>
    <col min="14100" max="14100" width="11.28515625" style="1093" customWidth="1"/>
    <col min="14101" max="14101" width="12.42578125" style="1093" customWidth="1"/>
    <col min="14102" max="14102" width="11" style="1093" customWidth="1"/>
    <col min="14103" max="14104" width="7.85546875" style="1093" customWidth="1"/>
    <col min="14105" max="14105" width="11" style="1093" customWidth="1"/>
    <col min="14106" max="14106" width="10.5703125" style="1093" customWidth="1"/>
    <col min="14107" max="14108" width="11" style="1093" customWidth="1"/>
    <col min="14109" max="14113" width="7.85546875" style="1093" bestFit="1" customWidth="1"/>
    <col min="14114" max="14114" width="8.42578125" style="1093" bestFit="1" customWidth="1"/>
    <col min="14115" max="14115" width="11.42578125" style="1093" customWidth="1"/>
    <col min="14116" max="14116" width="7.85546875" style="1093" bestFit="1" customWidth="1"/>
    <col min="14117" max="14117" width="9.5703125" style="1093" customWidth="1"/>
    <col min="14118" max="14118" width="7.85546875" style="1093" bestFit="1" customWidth="1"/>
    <col min="14119" max="14119" width="12" style="1093" customWidth="1"/>
    <col min="14120" max="14120" width="13.42578125" style="1093" customWidth="1"/>
    <col min="14121" max="14121" width="9.5703125" style="1093" bestFit="1" customWidth="1"/>
    <col min="14122" max="14128" width="9.140625" style="1093" customWidth="1"/>
    <col min="14129" max="14332" width="9.140625" style="1093"/>
    <col min="14333" max="14333" width="16.7109375" style="1093" customWidth="1"/>
    <col min="14334" max="14334" width="52.5703125" style="1093" customWidth="1"/>
    <col min="14335" max="14335" width="11" style="1093" customWidth="1"/>
    <col min="14336" max="14336" width="13.42578125" style="1093" customWidth="1"/>
    <col min="14337" max="14337" width="11.28515625" style="1093" customWidth="1"/>
    <col min="14338" max="14338" width="10.28515625" style="1093" customWidth="1"/>
    <col min="14339" max="14339" width="13.85546875" style="1093" customWidth="1"/>
    <col min="14340" max="14341" width="7.85546875" style="1093" customWidth="1"/>
    <col min="14342" max="14342" width="10.85546875" style="1093" customWidth="1"/>
    <col min="14343" max="14343" width="13" style="1093" customWidth="1"/>
    <col min="14344" max="14344" width="11.42578125" style="1093" customWidth="1"/>
    <col min="14345" max="14345" width="10" style="1093" customWidth="1"/>
    <col min="14346" max="14346" width="7.85546875" style="1093" customWidth="1"/>
    <col min="14347" max="14347" width="10.140625" style="1093" customWidth="1"/>
    <col min="14348" max="14349" width="7.85546875" style="1093" customWidth="1"/>
    <col min="14350" max="14350" width="10.85546875" style="1093" customWidth="1"/>
    <col min="14351" max="14351" width="10.7109375" style="1093" customWidth="1"/>
    <col min="14352" max="14352" width="11" style="1093" customWidth="1"/>
    <col min="14353" max="14355" width="7.85546875" style="1093" customWidth="1"/>
    <col min="14356" max="14356" width="11.28515625" style="1093" customWidth="1"/>
    <col min="14357" max="14357" width="12.42578125" style="1093" customWidth="1"/>
    <col min="14358" max="14358" width="11" style="1093" customWidth="1"/>
    <col min="14359" max="14360" width="7.85546875" style="1093" customWidth="1"/>
    <col min="14361" max="14361" width="11" style="1093" customWidth="1"/>
    <col min="14362" max="14362" width="10.5703125" style="1093" customWidth="1"/>
    <col min="14363" max="14364" width="11" style="1093" customWidth="1"/>
    <col min="14365" max="14369" width="7.85546875" style="1093" bestFit="1" customWidth="1"/>
    <col min="14370" max="14370" width="8.42578125" style="1093" bestFit="1" customWidth="1"/>
    <col min="14371" max="14371" width="11.42578125" style="1093" customWidth="1"/>
    <col min="14372" max="14372" width="7.85546875" style="1093" bestFit="1" customWidth="1"/>
    <col min="14373" max="14373" width="9.5703125" style="1093" customWidth="1"/>
    <col min="14374" max="14374" width="7.85546875" style="1093" bestFit="1" customWidth="1"/>
    <col min="14375" max="14375" width="12" style="1093" customWidth="1"/>
    <col min="14376" max="14376" width="13.42578125" style="1093" customWidth="1"/>
    <col min="14377" max="14377" width="9.5703125" style="1093" bestFit="1" customWidth="1"/>
    <col min="14378" max="14384" width="9.140625" style="1093" customWidth="1"/>
    <col min="14385" max="14588" width="9.140625" style="1093"/>
    <col min="14589" max="14589" width="16.7109375" style="1093" customWidth="1"/>
    <col min="14590" max="14590" width="52.5703125" style="1093" customWidth="1"/>
    <col min="14591" max="14591" width="11" style="1093" customWidth="1"/>
    <col min="14592" max="14592" width="13.42578125" style="1093" customWidth="1"/>
    <col min="14593" max="14593" width="11.28515625" style="1093" customWidth="1"/>
    <col min="14594" max="14594" width="10.28515625" style="1093" customWidth="1"/>
    <col min="14595" max="14595" width="13.85546875" style="1093" customWidth="1"/>
    <col min="14596" max="14597" width="7.85546875" style="1093" customWidth="1"/>
    <col min="14598" max="14598" width="10.85546875" style="1093" customWidth="1"/>
    <col min="14599" max="14599" width="13" style="1093" customWidth="1"/>
    <col min="14600" max="14600" width="11.42578125" style="1093" customWidth="1"/>
    <col min="14601" max="14601" width="10" style="1093" customWidth="1"/>
    <col min="14602" max="14602" width="7.85546875" style="1093" customWidth="1"/>
    <col min="14603" max="14603" width="10.140625" style="1093" customWidth="1"/>
    <col min="14604" max="14605" width="7.85546875" style="1093" customWidth="1"/>
    <col min="14606" max="14606" width="10.85546875" style="1093" customWidth="1"/>
    <col min="14607" max="14607" width="10.7109375" style="1093" customWidth="1"/>
    <col min="14608" max="14608" width="11" style="1093" customWidth="1"/>
    <col min="14609" max="14611" width="7.85546875" style="1093" customWidth="1"/>
    <col min="14612" max="14612" width="11.28515625" style="1093" customWidth="1"/>
    <col min="14613" max="14613" width="12.42578125" style="1093" customWidth="1"/>
    <col min="14614" max="14614" width="11" style="1093" customWidth="1"/>
    <col min="14615" max="14616" width="7.85546875" style="1093" customWidth="1"/>
    <col min="14617" max="14617" width="11" style="1093" customWidth="1"/>
    <col min="14618" max="14618" width="10.5703125" style="1093" customWidth="1"/>
    <col min="14619" max="14620" width="11" style="1093" customWidth="1"/>
    <col min="14621" max="14625" width="7.85546875" style="1093" bestFit="1" customWidth="1"/>
    <col min="14626" max="14626" width="8.42578125" style="1093" bestFit="1" customWidth="1"/>
    <col min="14627" max="14627" width="11.42578125" style="1093" customWidth="1"/>
    <col min="14628" max="14628" width="7.85546875" style="1093" bestFit="1" customWidth="1"/>
    <col min="14629" max="14629" width="9.5703125" style="1093" customWidth="1"/>
    <col min="14630" max="14630" width="7.85546875" style="1093" bestFit="1" customWidth="1"/>
    <col min="14631" max="14631" width="12" style="1093" customWidth="1"/>
    <col min="14632" max="14632" width="13.42578125" style="1093" customWidth="1"/>
    <col min="14633" max="14633" width="9.5703125" style="1093" bestFit="1" customWidth="1"/>
    <col min="14634" max="14640" width="9.140625" style="1093" customWidth="1"/>
    <col min="14641" max="14844" width="9.140625" style="1093"/>
    <col min="14845" max="14845" width="16.7109375" style="1093" customWidth="1"/>
    <col min="14846" max="14846" width="52.5703125" style="1093" customWidth="1"/>
    <col min="14847" max="14847" width="11" style="1093" customWidth="1"/>
    <col min="14848" max="14848" width="13.42578125" style="1093" customWidth="1"/>
    <col min="14849" max="14849" width="11.28515625" style="1093" customWidth="1"/>
    <col min="14850" max="14850" width="10.28515625" style="1093" customWidth="1"/>
    <col min="14851" max="14851" width="13.85546875" style="1093" customWidth="1"/>
    <col min="14852" max="14853" width="7.85546875" style="1093" customWidth="1"/>
    <col min="14854" max="14854" width="10.85546875" style="1093" customWidth="1"/>
    <col min="14855" max="14855" width="13" style="1093" customWidth="1"/>
    <col min="14856" max="14856" width="11.42578125" style="1093" customWidth="1"/>
    <col min="14857" max="14857" width="10" style="1093" customWidth="1"/>
    <col min="14858" max="14858" width="7.85546875" style="1093" customWidth="1"/>
    <col min="14859" max="14859" width="10.140625" style="1093" customWidth="1"/>
    <col min="14860" max="14861" width="7.85546875" style="1093" customWidth="1"/>
    <col min="14862" max="14862" width="10.85546875" style="1093" customWidth="1"/>
    <col min="14863" max="14863" width="10.7109375" style="1093" customWidth="1"/>
    <col min="14864" max="14864" width="11" style="1093" customWidth="1"/>
    <col min="14865" max="14867" width="7.85546875" style="1093" customWidth="1"/>
    <col min="14868" max="14868" width="11.28515625" style="1093" customWidth="1"/>
    <col min="14869" max="14869" width="12.42578125" style="1093" customWidth="1"/>
    <col min="14870" max="14870" width="11" style="1093" customWidth="1"/>
    <col min="14871" max="14872" width="7.85546875" style="1093" customWidth="1"/>
    <col min="14873" max="14873" width="11" style="1093" customWidth="1"/>
    <col min="14874" max="14874" width="10.5703125" style="1093" customWidth="1"/>
    <col min="14875" max="14876" width="11" style="1093" customWidth="1"/>
    <col min="14877" max="14881" width="7.85546875" style="1093" bestFit="1" customWidth="1"/>
    <col min="14882" max="14882" width="8.42578125" style="1093" bestFit="1" customWidth="1"/>
    <col min="14883" max="14883" width="11.42578125" style="1093" customWidth="1"/>
    <col min="14884" max="14884" width="7.85546875" style="1093" bestFit="1" customWidth="1"/>
    <col min="14885" max="14885" width="9.5703125" style="1093" customWidth="1"/>
    <col min="14886" max="14886" width="7.85546875" style="1093" bestFit="1" customWidth="1"/>
    <col min="14887" max="14887" width="12" style="1093" customWidth="1"/>
    <col min="14888" max="14888" width="13.42578125" style="1093" customWidth="1"/>
    <col min="14889" max="14889" width="9.5703125" style="1093" bestFit="1" customWidth="1"/>
    <col min="14890" max="14896" width="9.140625" style="1093" customWidth="1"/>
    <col min="14897" max="15100" width="9.140625" style="1093"/>
    <col min="15101" max="15101" width="16.7109375" style="1093" customWidth="1"/>
    <col min="15102" max="15102" width="52.5703125" style="1093" customWidth="1"/>
    <col min="15103" max="15103" width="11" style="1093" customWidth="1"/>
    <col min="15104" max="15104" width="13.42578125" style="1093" customWidth="1"/>
    <col min="15105" max="15105" width="11.28515625" style="1093" customWidth="1"/>
    <col min="15106" max="15106" width="10.28515625" style="1093" customWidth="1"/>
    <col min="15107" max="15107" width="13.85546875" style="1093" customWidth="1"/>
    <col min="15108" max="15109" width="7.85546875" style="1093" customWidth="1"/>
    <col min="15110" max="15110" width="10.85546875" style="1093" customWidth="1"/>
    <col min="15111" max="15111" width="13" style="1093" customWidth="1"/>
    <col min="15112" max="15112" width="11.42578125" style="1093" customWidth="1"/>
    <col min="15113" max="15113" width="10" style="1093" customWidth="1"/>
    <col min="15114" max="15114" width="7.85546875" style="1093" customWidth="1"/>
    <col min="15115" max="15115" width="10.140625" style="1093" customWidth="1"/>
    <col min="15116" max="15117" width="7.85546875" style="1093" customWidth="1"/>
    <col min="15118" max="15118" width="10.85546875" style="1093" customWidth="1"/>
    <col min="15119" max="15119" width="10.7109375" style="1093" customWidth="1"/>
    <col min="15120" max="15120" width="11" style="1093" customWidth="1"/>
    <col min="15121" max="15123" width="7.85546875" style="1093" customWidth="1"/>
    <col min="15124" max="15124" width="11.28515625" style="1093" customWidth="1"/>
    <col min="15125" max="15125" width="12.42578125" style="1093" customWidth="1"/>
    <col min="15126" max="15126" width="11" style="1093" customWidth="1"/>
    <col min="15127" max="15128" width="7.85546875" style="1093" customWidth="1"/>
    <col min="15129" max="15129" width="11" style="1093" customWidth="1"/>
    <col min="15130" max="15130" width="10.5703125" style="1093" customWidth="1"/>
    <col min="15131" max="15132" width="11" style="1093" customWidth="1"/>
    <col min="15133" max="15137" width="7.85546875" style="1093" bestFit="1" customWidth="1"/>
    <col min="15138" max="15138" width="8.42578125" style="1093" bestFit="1" customWidth="1"/>
    <col min="15139" max="15139" width="11.42578125" style="1093" customWidth="1"/>
    <col min="15140" max="15140" width="7.85546875" style="1093" bestFit="1" customWidth="1"/>
    <col min="15141" max="15141" width="9.5703125" style="1093" customWidth="1"/>
    <col min="15142" max="15142" width="7.85546875" style="1093" bestFit="1" customWidth="1"/>
    <col min="15143" max="15143" width="12" style="1093" customWidth="1"/>
    <col min="15144" max="15144" width="13.42578125" style="1093" customWidth="1"/>
    <col min="15145" max="15145" width="9.5703125" style="1093" bestFit="1" customWidth="1"/>
    <col min="15146" max="15152" width="9.140625" style="1093" customWidth="1"/>
    <col min="15153" max="15356" width="9.140625" style="1093"/>
    <col min="15357" max="15357" width="16.7109375" style="1093" customWidth="1"/>
    <col min="15358" max="15358" width="52.5703125" style="1093" customWidth="1"/>
    <col min="15359" max="15359" width="11" style="1093" customWidth="1"/>
    <col min="15360" max="15360" width="13.42578125" style="1093" customWidth="1"/>
    <col min="15361" max="15361" width="11.28515625" style="1093" customWidth="1"/>
    <col min="15362" max="15362" width="10.28515625" style="1093" customWidth="1"/>
    <col min="15363" max="15363" width="13.85546875" style="1093" customWidth="1"/>
    <col min="15364" max="15365" width="7.85546875" style="1093" customWidth="1"/>
    <col min="15366" max="15366" width="10.85546875" style="1093" customWidth="1"/>
    <col min="15367" max="15367" width="13" style="1093" customWidth="1"/>
    <col min="15368" max="15368" width="11.42578125" style="1093" customWidth="1"/>
    <col min="15369" max="15369" width="10" style="1093" customWidth="1"/>
    <col min="15370" max="15370" width="7.85546875" style="1093" customWidth="1"/>
    <col min="15371" max="15371" width="10.140625" style="1093" customWidth="1"/>
    <col min="15372" max="15373" width="7.85546875" style="1093" customWidth="1"/>
    <col min="15374" max="15374" width="10.85546875" style="1093" customWidth="1"/>
    <col min="15375" max="15375" width="10.7109375" style="1093" customWidth="1"/>
    <col min="15376" max="15376" width="11" style="1093" customWidth="1"/>
    <col min="15377" max="15379" width="7.85546875" style="1093" customWidth="1"/>
    <col min="15380" max="15380" width="11.28515625" style="1093" customWidth="1"/>
    <col min="15381" max="15381" width="12.42578125" style="1093" customWidth="1"/>
    <col min="15382" max="15382" width="11" style="1093" customWidth="1"/>
    <col min="15383" max="15384" width="7.85546875" style="1093" customWidth="1"/>
    <col min="15385" max="15385" width="11" style="1093" customWidth="1"/>
    <col min="15386" max="15386" width="10.5703125" style="1093" customWidth="1"/>
    <col min="15387" max="15388" width="11" style="1093" customWidth="1"/>
    <col min="15389" max="15393" width="7.85546875" style="1093" bestFit="1" customWidth="1"/>
    <col min="15394" max="15394" width="8.42578125" style="1093" bestFit="1" customWidth="1"/>
    <col min="15395" max="15395" width="11.42578125" style="1093" customWidth="1"/>
    <col min="15396" max="15396" width="7.85546875" style="1093" bestFit="1" customWidth="1"/>
    <col min="15397" max="15397" width="9.5703125" style="1093" customWidth="1"/>
    <col min="15398" max="15398" width="7.85546875" style="1093" bestFit="1" customWidth="1"/>
    <col min="15399" max="15399" width="12" style="1093" customWidth="1"/>
    <col min="15400" max="15400" width="13.42578125" style="1093" customWidth="1"/>
    <col min="15401" max="15401" width="9.5703125" style="1093" bestFit="1" customWidth="1"/>
    <col min="15402" max="15408" width="9.140625" style="1093" customWidth="1"/>
    <col min="15409" max="15612" width="9.140625" style="1093"/>
    <col min="15613" max="15613" width="16.7109375" style="1093" customWidth="1"/>
    <col min="15614" max="15614" width="52.5703125" style="1093" customWidth="1"/>
    <col min="15615" max="15615" width="11" style="1093" customWidth="1"/>
    <col min="15616" max="15616" width="13.42578125" style="1093" customWidth="1"/>
    <col min="15617" max="15617" width="11.28515625" style="1093" customWidth="1"/>
    <col min="15618" max="15618" width="10.28515625" style="1093" customWidth="1"/>
    <col min="15619" max="15619" width="13.85546875" style="1093" customWidth="1"/>
    <col min="15620" max="15621" width="7.85546875" style="1093" customWidth="1"/>
    <col min="15622" max="15622" width="10.85546875" style="1093" customWidth="1"/>
    <col min="15623" max="15623" width="13" style="1093" customWidth="1"/>
    <col min="15624" max="15624" width="11.42578125" style="1093" customWidth="1"/>
    <col min="15625" max="15625" width="10" style="1093" customWidth="1"/>
    <col min="15626" max="15626" width="7.85546875" style="1093" customWidth="1"/>
    <col min="15627" max="15627" width="10.140625" style="1093" customWidth="1"/>
    <col min="15628" max="15629" width="7.85546875" style="1093" customWidth="1"/>
    <col min="15630" max="15630" width="10.85546875" style="1093" customWidth="1"/>
    <col min="15631" max="15631" width="10.7109375" style="1093" customWidth="1"/>
    <col min="15632" max="15632" width="11" style="1093" customWidth="1"/>
    <col min="15633" max="15635" width="7.85546875" style="1093" customWidth="1"/>
    <col min="15636" max="15636" width="11.28515625" style="1093" customWidth="1"/>
    <col min="15637" max="15637" width="12.42578125" style="1093" customWidth="1"/>
    <col min="15638" max="15638" width="11" style="1093" customWidth="1"/>
    <col min="15639" max="15640" width="7.85546875" style="1093" customWidth="1"/>
    <col min="15641" max="15641" width="11" style="1093" customWidth="1"/>
    <col min="15642" max="15642" width="10.5703125" style="1093" customWidth="1"/>
    <col min="15643" max="15644" width="11" style="1093" customWidth="1"/>
    <col min="15645" max="15649" width="7.85546875" style="1093" bestFit="1" customWidth="1"/>
    <col min="15650" max="15650" width="8.42578125" style="1093" bestFit="1" customWidth="1"/>
    <col min="15651" max="15651" width="11.42578125" style="1093" customWidth="1"/>
    <col min="15652" max="15652" width="7.85546875" style="1093" bestFit="1" customWidth="1"/>
    <col min="15653" max="15653" width="9.5703125" style="1093" customWidth="1"/>
    <col min="15654" max="15654" width="7.85546875" style="1093" bestFit="1" customWidth="1"/>
    <col min="15655" max="15655" width="12" style="1093" customWidth="1"/>
    <col min="15656" max="15656" width="13.42578125" style="1093" customWidth="1"/>
    <col min="15657" max="15657" width="9.5703125" style="1093" bestFit="1" customWidth="1"/>
    <col min="15658" max="15664" width="9.140625" style="1093" customWidth="1"/>
    <col min="15665" max="15868" width="9.140625" style="1093"/>
    <col min="15869" max="15869" width="16.7109375" style="1093" customWidth="1"/>
    <col min="15870" max="15870" width="52.5703125" style="1093" customWidth="1"/>
    <col min="15871" max="15871" width="11" style="1093" customWidth="1"/>
    <col min="15872" max="15872" width="13.42578125" style="1093" customWidth="1"/>
    <col min="15873" max="15873" width="11.28515625" style="1093" customWidth="1"/>
    <col min="15874" max="15874" width="10.28515625" style="1093" customWidth="1"/>
    <col min="15875" max="15875" width="13.85546875" style="1093" customWidth="1"/>
    <col min="15876" max="15877" width="7.85546875" style="1093" customWidth="1"/>
    <col min="15878" max="15878" width="10.85546875" style="1093" customWidth="1"/>
    <col min="15879" max="15879" width="13" style="1093" customWidth="1"/>
    <col min="15880" max="15880" width="11.42578125" style="1093" customWidth="1"/>
    <col min="15881" max="15881" width="10" style="1093" customWidth="1"/>
    <col min="15882" max="15882" width="7.85546875" style="1093" customWidth="1"/>
    <col min="15883" max="15883" width="10.140625" style="1093" customWidth="1"/>
    <col min="15884" max="15885" width="7.85546875" style="1093" customWidth="1"/>
    <col min="15886" max="15886" width="10.85546875" style="1093" customWidth="1"/>
    <col min="15887" max="15887" width="10.7109375" style="1093" customWidth="1"/>
    <col min="15888" max="15888" width="11" style="1093" customWidth="1"/>
    <col min="15889" max="15891" width="7.85546875" style="1093" customWidth="1"/>
    <col min="15892" max="15892" width="11.28515625" style="1093" customWidth="1"/>
    <col min="15893" max="15893" width="12.42578125" style="1093" customWidth="1"/>
    <col min="15894" max="15894" width="11" style="1093" customWidth="1"/>
    <col min="15895" max="15896" width="7.85546875" style="1093" customWidth="1"/>
    <col min="15897" max="15897" width="11" style="1093" customWidth="1"/>
    <col min="15898" max="15898" width="10.5703125" style="1093" customWidth="1"/>
    <col min="15899" max="15900" width="11" style="1093" customWidth="1"/>
    <col min="15901" max="15905" width="7.85546875" style="1093" bestFit="1" customWidth="1"/>
    <col min="15906" max="15906" width="8.42578125" style="1093" bestFit="1" customWidth="1"/>
    <col min="15907" max="15907" width="11.42578125" style="1093" customWidth="1"/>
    <col min="15908" max="15908" width="7.85546875" style="1093" bestFit="1" customWidth="1"/>
    <col min="15909" max="15909" width="9.5703125" style="1093" customWidth="1"/>
    <col min="15910" max="15910" width="7.85546875" style="1093" bestFit="1" customWidth="1"/>
    <col min="15911" max="15911" width="12" style="1093" customWidth="1"/>
    <col min="15912" max="15912" width="13.42578125" style="1093" customWidth="1"/>
    <col min="15913" max="15913" width="9.5703125" style="1093" bestFit="1" customWidth="1"/>
    <col min="15914" max="15920" width="9.140625" style="1093" customWidth="1"/>
    <col min="15921" max="16124" width="9.140625" style="1093"/>
    <col min="16125" max="16125" width="16.7109375" style="1093" customWidth="1"/>
    <col min="16126" max="16126" width="52.5703125" style="1093" customWidth="1"/>
    <col min="16127" max="16127" width="11" style="1093" customWidth="1"/>
    <col min="16128" max="16128" width="13.42578125" style="1093" customWidth="1"/>
    <col min="16129" max="16129" width="11.28515625" style="1093" customWidth="1"/>
    <col min="16130" max="16130" width="10.28515625" style="1093" customWidth="1"/>
    <col min="16131" max="16131" width="13.85546875" style="1093" customWidth="1"/>
    <col min="16132" max="16133" width="7.85546875" style="1093" customWidth="1"/>
    <col min="16134" max="16134" width="10.85546875" style="1093" customWidth="1"/>
    <col min="16135" max="16135" width="13" style="1093" customWidth="1"/>
    <col min="16136" max="16136" width="11.42578125" style="1093" customWidth="1"/>
    <col min="16137" max="16137" width="10" style="1093" customWidth="1"/>
    <col min="16138" max="16138" width="7.85546875" style="1093" customWidth="1"/>
    <col min="16139" max="16139" width="10.140625" style="1093" customWidth="1"/>
    <col min="16140" max="16141" width="7.85546875" style="1093" customWidth="1"/>
    <col min="16142" max="16142" width="10.85546875" style="1093" customWidth="1"/>
    <col min="16143" max="16143" width="10.7109375" style="1093" customWidth="1"/>
    <col min="16144" max="16144" width="11" style="1093" customWidth="1"/>
    <col min="16145" max="16147" width="7.85546875" style="1093" customWidth="1"/>
    <col min="16148" max="16148" width="11.28515625" style="1093" customWidth="1"/>
    <col min="16149" max="16149" width="12.42578125" style="1093" customWidth="1"/>
    <col min="16150" max="16150" width="11" style="1093" customWidth="1"/>
    <col min="16151" max="16152" width="7.85546875" style="1093" customWidth="1"/>
    <col min="16153" max="16153" width="11" style="1093" customWidth="1"/>
    <col min="16154" max="16154" width="10.5703125" style="1093" customWidth="1"/>
    <col min="16155" max="16156" width="11" style="1093" customWidth="1"/>
    <col min="16157" max="16161" width="7.85546875" style="1093" bestFit="1" customWidth="1"/>
    <col min="16162" max="16162" width="8.42578125" style="1093" bestFit="1" customWidth="1"/>
    <col min="16163" max="16163" width="11.42578125" style="1093" customWidth="1"/>
    <col min="16164" max="16164" width="7.85546875" style="1093" bestFit="1" customWidth="1"/>
    <col min="16165" max="16165" width="9.5703125" style="1093" customWidth="1"/>
    <col min="16166" max="16166" width="7.85546875" style="1093" bestFit="1" customWidth="1"/>
    <col min="16167" max="16167" width="12" style="1093" customWidth="1"/>
    <col min="16168" max="16168" width="13.42578125" style="1093" customWidth="1"/>
    <col min="16169" max="16169" width="9.5703125" style="1093" bestFit="1" customWidth="1"/>
    <col min="16170" max="16176" width="9.140625" style="1093" customWidth="1"/>
    <col min="16177" max="16384" width="9.140625" style="1093"/>
  </cols>
  <sheetData>
    <row r="1" spans="1:44" s="1080" customFormat="1" ht="16.5" customHeight="1" thickBot="1">
      <c r="A1" s="1820" t="s">
        <v>1246</v>
      </c>
      <c r="B1" s="1820"/>
      <c r="C1" s="1820"/>
      <c r="D1" s="1820"/>
      <c r="E1" s="1193"/>
      <c r="F1" s="1193"/>
      <c r="G1" s="1193"/>
      <c r="H1" s="1193"/>
      <c r="I1" s="1193"/>
      <c r="J1" s="1193"/>
      <c r="K1" s="1193"/>
      <c r="L1" s="1193"/>
      <c r="M1" s="1193"/>
      <c r="N1" s="1193"/>
      <c r="O1" s="1193"/>
      <c r="P1" s="1193"/>
      <c r="Q1" s="1193"/>
      <c r="R1" s="1193"/>
      <c r="S1" s="1193"/>
      <c r="T1" s="1193"/>
      <c r="U1" s="1193"/>
      <c r="V1" s="1193"/>
      <c r="W1" s="1193"/>
      <c r="X1" s="1193"/>
      <c r="Y1" s="1193"/>
      <c r="Z1" s="1194"/>
      <c r="AA1" s="1194"/>
      <c r="AB1" s="1194"/>
      <c r="AC1" s="1194"/>
      <c r="AD1" s="1194"/>
      <c r="AE1" s="1194"/>
      <c r="AF1" s="1194"/>
      <c r="AG1" s="1194"/>
      <c r="AH1" s="1194"/>
      <c r="AI1" s="1194"/>
      <c r="AJ1" s="1194"/>
      <c r="AK1" s="1194"/>
      <c r="AL1" s="1194"/>
      <c r="AM1" s="1194"/>
      <c r="AN1" s="1194"/>
      <c r="AO1" s="1741"/>
      <c r="AR1" s="1732"/>
    </row>
    <row r="2" spans="1:44" s="1083" customFormat="1" ht="21" customHeight="1">
      <c r="A2" s="1081" t="s">
        <v>682</v>
      </c>
      <c r="B2" s="1082" t="s">
        <v>683</v>
      </c>
      <c r="C2" s="1860" t="s">
        <v>684</v>
      </c>
      <c r="D2" s="1861"/>
      <c r="E2" s="1195"/>
      <c r="F2" s="1195"/>
      <c r="G2" s="1195"/>
      <c r="H2" s="1195"/>
      <c r="I2" s="1195"/>
      <c r="J2" s="1195"/>
      <c r="K2" s="1195"/>
      <c r="L2" s="1195"/>
      <c r="M2" s="1195"/>
      <c r="N2" s="1195"/>
      <c r="O2" s="1195"/>
      <c r="P2" s="1195"/>
      <c r="Q2" s="1195"/>
      <c r="R2" s="1195"/>
      <c r="S2" s="1195"/>
      <c r="T2" s="1195"/>
      <c r="U2" s="1195"/>
      <c r="V2" s="1195"/>
      <c r="W2" s="1195"/>
      <c r="X2" s="1195"/>
      <c r="Y2" s="1195"/>
      <c r="Z2" s="1196"/>
      <c r="AA2" s="1196"/>
      <c r="AB2" s="1196"/>
      <c r="AC2" s="1196"/>
      <c r="AD2" s="1196"/>
      <c r="AE2" s="1196"/>
      <c r="AF2" s="1196"/>
      <c r="AG2" s="1196"/>
      <c r="AH2" s="1196"/>
      <c r="AI2" s="1196"/>
      <c r="AJ2" s="1196"/>
      <c r="AK2" s="1196"/>
      <c r="AL2" s="1196"/>
      <c r="AM2" s="1196"/>
      <c r="AN2" s="1196"/>
      <c r="AO2" s="1742"/>
      <c r="AR2" s="1733"/>
    </row>
    <row r="3" spans="1:44" s="1083" customFormat="1" ht="16.5" thickBot="1">
      <c r="A3" s="1084" t="s">
        <v>685</v>
      </c>
      <c r="B3" s="1085" t="s">
        <v>1237</v>
      </c>
      <c r="C3" s="1862"/>
      <c r="D3" s="1863"/>
      <c r="E3" s="1195"/>
      <c r="F3" s="1195"/>
      <c r="G3" s="1195"/>
      <c r="H3" s="1195"/>
      <c r="I3" s="1195"/>
      <c r="J3" s="1195"/>
      <c r="K3" s="1195"/>
      <c r="L3" s="1195"/>
      <c r="M3" s="1195"/>
      <c r="N3" s="1195"/>
      <c r="O3" s="1195"/>
      <c r="P3" s="1195"/>
      <c r="Q3" s="1195"/>
      <c r="R3" s="1195"/>
      <c r="S3" s="1195"/>
      <c r="T3" s="1195"/>
      <c r="U3" s="1195"/>
      <c r="V3" s="1195"/>
      <c r="W3" s="1195"/>
      <c r="X3" s="1195"/>
      <c r="Y3" s="1195"/>
      <c r="Z3" s="1196"/>
      <c r="AA3" s="1196"/>
      <c r="AB3" s="1196"/>
      <c r="AC3" s="1196"/>
      <c r="AD3" s="1196"/>
      <c r="AE3" s="1196"/>
      <c r="AF3" s="1196"/>
      <c r="AG3" s="1196"/>
      <c r="AH3" s="1196"/>
      <c r="AI3" s="1196"/>
      <c r="AJ3" s="1196"/>
      <c r="AK3" s="1196"/>
      <c r="AL3" s="1196"/>
      <c r="AM3" s="1196"/>
      <c r="AN3" s="1196"/>
      <c r="AO3" s="1742"/>
      <c r="AR3" s="1733"/>
    </row>
    <row r="4" spans="1:44" s="1088" customFormat="1" ht="15.95" customHeight="1" thickBot="1">
      <c r="A4" s="1086"/>
      <c r="B4" s="1087"/>
      <c r="C4" s="1825" t="s">
        <v>687</v>
      </c>
      <c r="D4" s="1826"/>
      <c r="E4" s="1197"/>
      <c r="F4" s="1197"/>
      <c r="G4" s="1197"/>
      <c r="H4" s="1197"/>
      <c r="I4" s="1197"/>
      <c r="J4" s="1197"/>
      <c r="K4" s="1197"/>
      <c r="L4" s="1197"/>
      <c r="M4" s="1197"/>
      <c r="N4" s="1197"/>
      <c r="O4" s="1197"/>
      <c r="P4" s="1197"/>
      <c r="Q4" s="1197"/>
      <c r="R4" s="1197"/>
      <c r="S4" s="1197"/>
      <c r="T4" s="1197"/>
      <c r="U4" s="1197"/>
      <c r="V4" s="1197"/>
      <c r="W4" s="1197"/>
      <c r="X4" s="1197"/>
      <c r="Y4" s="1197"/>
      <c r="Z4" s="1198"/>
      <c r="AA4" s="1198"/>
      <c r="AB4" s="1198"/>
      <c r="AC4" s="1198"/>
      <c r="AD4" s="1198"/>
      <c r="AE4" s="1198"/>
      <c r="AF4" s="1198"/>
      <c r="AG4" s="1198"/>
      <c r="AH4" s="1198"/>
      <c r="AI4" s="1198"/>
      <c r="AJ4" s="1198"/>
      <c r="AK4" s="1198"/>
      <c r="AL4" s="1198"/>
      <c r="AM4" s="1198"/>
      <c r="AN4" s="1198"/>
      <c r="AO4" s="1743"/>
      <c r="AR4" s="1734"/>
    </row>
    <row r="5" spans="1:44" ht="36.75" thickBot="1">
      <c r="A5" s="1522" t="s">
        <v>688</v>
      </c>
      <c r="B5" s="1090" t="s">
        <v>689</v>
      </c>
      <c r="C5" s="1091" t="s">
        <v>690</v>
      </c>
      <c r="D5" s="1092" t="s">
        <v>691</v>
      </c>
    </row>
    <row r="6" spans="1:44" s="1098" customFormat="1" ht="12.95" customHeight="1" thickBot="1">
      <c r="A6" s="1094">
        <v>1</v>
      </c>
      <c r="B6" s="1095">
        <v>2</v>
      </c>
      <c r="C6" s="1096">
        <v>3</v>
      </c>
      <c r="D6" s="1097">
        <v>4</v>
      </c>
      <c r="E6" s="1201"/>
      <c r="F6" s="1201"/>
      <c r="G6" s="1201"/>
      <c r="H6" s="1201"/>
      <c r="I6" s="1201"/>
      <c r="J6" s="1201"/>
      <c r="K6" s="1201"/>
      <c r="L6" s="1201"/>
      <c r="M6" s="1201"/>
      <c r="N6" s="1201"/>
      <c r="O6" s="1201"/>
      <c r="P6" s="1201"/>
      <c r="Q6" s="1201"/>
      <c r="R6" s="1201"/>
      <c r="S6" s="1201"/>
      <c r="T6" s="1201"/>
      <c r="U6" s="1201"/>
      <c r="V6" s="1201"/>
      <c r="W6" s="1201"/>
      <c r="X6" s="1201"/>
      <c r="Y6" s="1201"/>
      <c r="Z6" s="1202"/>
      <c r="AA6" s="1202"/>
      <c r="AB6" s="1202"/>
      <c r="AC6" s="1202"/>
      <c r="AD6" s="1202"/>
      <c r="AE6" s="1202"/>
      <c r="AF6" s="1202"/>
      <c r="AG6" s="1202"/>
      <c r="AH6" s="1202"/>
      <c r="AI6" s="1202"/>
      <c r="AJ6" s="1202"/>
      <c r="AK6" s="1202"/>
      <c r="AL6" s="1202"/>
      <c r="AM6" s="1202"/>
      <c r="AN6" s="1202"/>
      <c r="AO6" s="1745"/>
      <c r="AR6" s="1736"/>
    </row>
    <row r="7" spans="1:44" s="1204" customFormat="1" ht="15.95" customHeight="1" thickBot="1">
      <c r="A7" s="1864" t="s">
        <v>692</v>
      </c>
      <c r="B7" s="1865"/>
      <c r="C7" s="1865"/>
      <c r="D7" s="1866"/>
      <c r="E7" s="1201" t="s">
        <v>925</v>
      </c>
      <c r="F7" s="1201" t="s">
        <v>926</v>
      </c>
      <c r="G7" s="1201" t="s">
        <v>927</v>
      </c>
      <c r="H7" s="1203" t="s">
        <v>928</v>
      </c>
      <c r="I7" s="1203" t="s">
        <v>929</v>
      </c>
      <c r="J7" s="1201" t="s">
        <v>930</v>
      </c>
      <c r="K7" s="1201" t="s">
        <v>931</v>
      </c>
      <c r="L7" s="1201" t="s">
        <v>932</v>
      </c>
      <c r="M7" s="1201" t="s">
        <v>933</v>
      </c>
      <c r="N7" s="1201" t="s">
        <v>934</v>
      </c>
      <c r="O7" s="1201" t="s">
        <v>935</v>
      </c>
      <c r="P7" s="1201" t="s">
        <v>936</v>
      </c>
      <c r="Q7" s="1201" t="s">
        <v>937</v>
      </c>
      <c r="R7" s="1201" t="s">
        <v>938</v>
      </c>
      <c r="S7" s="1201" t="s">
        <v>939</v>
      </c>
      <c r="T7" s="1201" t="s">
        <v>940</v>
      </c>
      <c r="U7" s="1201" t="s">
        <v>941</v>
      </c>
      <c r="V7" s="1201" t="s">
        <v>942</v>
      </c>
      <c r="W7" s="1201" t="s">
        <v>943</v>
      </c>
      <c r="X7" s="1201" t="s">
        <v>944</v>
      </c>
      <c r="Y7" s="1201" t="s">
        <v>945</v>
      </c>
      <c r="Z7" s="1202" t="s">
        <v>948</v>
      </c>
      <c r="AA7" s="1202" t="s">
        <v>949</v>
      </c>
      <c r="AB7" s="1202" t="s">
        <v>950</v>
      </c>
      <c r="AC7" s="1204" t="s">
        <v>952</v>
      </c>
      <c r="AD7" s="1202" t="s">
        <v>953</v>
      </c>
      <c r="AE7" s="1202" t="s">
        <v>954</v>
      </c>
      <c r="AF7" s="1202" t="s">
        <v>955</v>
      </c>
      <c r="AG7" s="1202" t="s">
        <v>956</v>
      </c>
      <c r="AH7" s="1202">
        <v>104031</v>
      </c>
      <c r="AI7" s="1202" t="s">
        <v>957</v>
      </c>
      <c r="AJ7" s="1202" t="s">
        <v>958</v>
      </c>
      <c r="AK7" s="1202" t="s">
        <v>959</v>
      </c>
      <c r="AL7" s="1202" t="s">
        <v>960</v>
      </c>
      <c r="AM7" s="1202">
        <v>107060</v>
      </c>
      <c r="AN7" s="1202" t="s">
        <v>961</v>
      </c>
      <c r="AO7" s="1745" t="s">
        <v>962</v>
      </c>
      <c r="AP7" s="1204" t="s">
        <v>925</v>
      </c>
      <c r="AQ7" s="1204" t="s">
        <v>931</v>
      </c>
      <c r="AR7" s="1737" t="s">
        <v>932</v>
      </c>
    </row>
    <row r="8" spans="1:44" s="1098" customFormat="1" ht="12" customHeight="1" thickBot="1">
      <c r="A8" s="1099" t="s">
        <v>693</v>
      </c>
      <c r="B8" s="1100" t="s">
        <v>694</v>
      </c>
      <c r="C8" s="1101">
        <f>+C9+C10+C11+C12+C13+C14</f>
        <v>121541683</v>
      </c>
      <c r="D8" s="1102">
        <f>+D9+D10+D11+D12+D13+D14</f>
        <v>121541683</v>
      </c>
      <c r="E8" s="1205"/>
      <c r="F8" s="1205"/>
      <c r="G8" s="1205"/>
      <c r="H8" s="1205"/>
      <c r="I8" s="1205"/>
      <c r="J8" s="1205"/>
      <c r="K8" s="1205"/>
      <c r="L8" s="1205"/>
      <c r="M8" s="1205"/>
      <c r="N8" s="1205"/>
      <c r="O8" s="1205"/>
      <c r="P8" s="1205"/>
      <c r="Q8" s="1205"/>
      <c r="R8" s="1205"/>
      <c r="S8" s="1205"/>
      <c r="T8" s="1205"/>
      <c r="U8" s="1205"/>
      <c r="V8" s="1205"/>
      <c r="W8" s="1205"/>
      <c r="X8" s="1205"/>
      <c r="Y8" s="1205"/>
      <c r="Z8" s="1205"/>
      <c r="AA8" s="1205"/>
      <c r="AB8" s="1205"/>
      <c r="AC8" s="1205"/>
      <c r="AD8" s="1205"/>
      <c r="AE8" s="1205"/>
      <c r="AF8" s="1205"/>
      <c r="AG8" s="1205"/>
      <c r="AH8" s="1205"/>
      <c r="AI8" s="1205"/>
      <c r="AJ8" s="1205"/>
      <c r="AK8" s="1205"/>
      <c r="AL8" s="1205"/>
      <c r="AM8" s="1205"/>
      <c r="AN8" s="1205"/>
      <c r="AO8" s="1740"/>
      <c r="AR8" s="1736"/>
    </row>
    <row r="9" spans="1:44" s="1107" customFormat="1" ht="12" customHeight="1">
      <c r="A9" s="1103" t="s">
        <v>695</v>
      </c>
      <c r="B9" s="1104" t="s">
        <v>696</v>
      </c>
      <c r="C9" s="1105">
        <f t="shared" ref="C9:C14" si="0">SUM(E9:AO9)</f>
        <v>23096959</v>
      </c>
      <c r="D9" s="1106">
        <f>C9+SUM(AP9:AR9)</f>
        <v>23096959</v>
      </c>
      <c r="E9" s="1199"/>
      <c r="F9" s="1199"/>
      <c r="G9" s="1199"/>
      <c r="H9" s="1199"/>
      <c r="I9" s="1199"/>
      <c r="J9" s="1199"/>
      <c r="K9" s="1199">
        <v>23096959</v>
      </c>
      <c r="L9" s="1199"/>
      <c r="M9" s="1199"/>
      <c r="N9" s="1199"/>
      <c r="O9" s="1199"/>
      <c r="P9" s="1199"/>
      <c r="Q9" s="1199"/>
      <c r="R9" s="1199"/>
      <c r="S9" s="1199"/>
      <c r="T9" s="1199"/>
      <c r="U9" s="1199"/>
      <c r="V9" s="1199"/>
      <c r="W9" s="1199"/>
      <c r="X9" s="1199"/>
      <c r="Y9" s="1199"/>
      <c r="Z9" s="1206"/>
      <c r="AA9" s="1206"/>
      <c r="AB9" s="1206"/>
      <c r="AC9" s="1206"/>
      <c r="AD9" s="1206"/>
      <c r="AE9" s="1206"/>
      <c r="AF9" s="1206"/>
      <c r="AG9" s="1206"/>
      <c r="AH9" s="1206"/>
      <c r="AI9" s="1206"/>
      <c r="AJ9" s="1206"/>
      <c r="AK9" s="1206"/>
      <c r="AL9" s="1206"/>
      <c r="AM9" s="1206"/>
      <c r="AN9" s="1206"/>
      <c r="AO9" s="1746"/>
      <c r="AP9" s="1199"/>
      <c r="AQ9" s="1199"/>
      <c r="AR9" s="1738"/>
    </row>
    <row r="10" spans="1:44" s="1111" customFormat="1" ht="12" customHeight="1">
      <c r="A10" s="1108" t="s">
        <v>697</v>
      </c>
      <c r="B10" s="1109" t="s">
        <v>698</v>
      </c>
      <c r="C10" s="1105">
        <f t="shared" si="0"/>
        <v>59510000</v>
      </c>
      <c r="D10" s="1106">
        <f t="shared" ref="D10:D14" si="1">C10+SUM(AP10:AR10)</f>
        <v>59510000</v>
      </c>
      <c r="E10" s="1199"/>
      <c r="F10" s="1199"/>
      <c r="G10" s="1199"/>
      <c r="H10" s="1199"/>
      <c r="I10" s="1199"/>
      <c r="J10" s="1199"/>
      <c r="K10" s="1199">
        <v>59510000</v>
      </c>
      <c r="L10" s="1199"/>
      <c r="M10" s="1199"/>
      <c r="N10" s="1199"/>
      <c r="O10" s="1199"/>
      <c r="P10" s="1199"/>
      <c r="Q10" s="1199"/>
      <c r="R10" s="1199"/>
      <c r="S10" s="1199"/>
      <c r="T10" s="1199"/>
      <c r="U10" s="1199"/>
      <c r="V10" s="1199"/>
      <c r="W10" s="1199"/>
      <c r="X10" s="1199"/>
      <c r="Y10" s="1199"/>
      <c r="Z10" s="1199"/>
      <c r="AA10" s="1199"/>
      <c r="AB10" s="1199"/>
      <c r="AC10" s="1199"/>
      <c r="AD10" s="1199"/>
      <c r="AE10" s="1199"/>
      <c r="AF10" s="1199"/>
      <c r="AG10" s="1199"/>
      <c r="AH10" s="1199"/>
      <c r="AI10" s="1199"/>
      <c r="AJ10" s="1199"/>
      <c r="AK10" s="1199"/>
      <c r="AL10" s="1199"/>
      <c r="AM10" s="1199"/>
      <c r="AN10" s="1199"/>
      <c r="AO10" s="1738"/>
      <c r="AP10" s="1199"/>
      <c r="AQ10" s="1199"/>
      <c r="AR10" s="1738"/>
    </row>
    <row r="11" spans="1:44" s="1111" customFormat="1" ht="12" customHeight="1">
      <c r="A11" s="1108" t="s">
        <v>699</v>
      </c>
      <c r="B11" s="1109" t="s">
        <v>700</v>
      </c>
      <c r="C11" s="1105">
        <f t="shared" si="0"/>
        <v>35217604</v>
      </c>
      <c r="D11" s="1106">
        <f t="shared" si="1"/>
        <v>35217604</v>
      </c>
      <c r="E11" s="1199"/>
      <c r="F11" s="1199"/>
      <c r="G11" s="1199"/>
      <c r="H11" s="1199"/>
      <c r="I11" s="1199"/>
      <c r="J11" s="1199"/>
      <c r="K11" s="1199">
        <v>35217604</v>
      </c>
      <c r="L11" s="1199"/>
      <c r="M11" s="1199"/>
      <c r="N11" s="1199"/>
      <c r="O11" s="1199"/>
      <c r="P11" s="1199"/>
      <c r="Q11" s="1199"/>
      <c r="R11" s="1199"/>
      <c r="S11" s="1199"/>
      <c r="T11" s="1199"/>
      <c r="U11" s="1199"/>
      <c r="V11" s="1199"/>
      <c r="W11" s="1199"/>
      <c r="X11" s="1199"/>
      <c r="Y11" s="1199"/>
      <c r="Z11" s="1199"/>
      <c r="AA11" s="1199"/>
      <c r="AB11" s="1199"/>
      <c r="AC11" s="1199"/>
      <c r="AD11" s="1199"/>
      <c r="AE11" s="1199"/>
      <c r="AF11" s="1199"/>
      <c r="AG11" s="1199"/>
      <c r="AH11" s="1199"/>
      <c r="AI11" s="1199"/>
      <c r="AJ11" s="1199"/>
      <c r="AK11" s="1199"/>
      <c r="AL11" s="1199"/>
      <c r="AM11" s="1199"/>
      <c r="AN11" s="1199"/>
      <c r="AO11" s="1738"/>
      <c r="AP11" s="1199"/>
      <c r="AQ11" s="1199"/>
      <c r="AR11" s="1738"/>
    </row>
    <row r="12" spans="1:44" s="1111" customFormat="1" ht="12" customHeight="1">
      <c r="A12" s="1108" t="s">
        <v>701</v>
      </c>
      <c r="B12" s="1109" t="s">
        <v>702</v>
      </c>
      <c r="C12" s="1105">
        <f t="shared" si="0"/>
        <v>3717120</v>
      </c>
      <c r="D12" s="1106">
        <f t="shared" si="1"/>
        <v>3717120</v>
      </c>
      <c r="E12" s="1199"/>
      <c r="F12" s="1199"/>
      <c r="G12" s="1199"/>
      <c r="H12" s="1199"/>
      <c r="I12" s="1199"/>
      <c r="J12" s="1199"/>
      <c r="K12" s="1199">
        <v>3717120</v>
      </c>
      <c r="L12" s="1199"/>
      <c r="M12" s="1199"/>
      <c r="N12" s="1199"/>
      <c r="O12" s="1199"/>
      <c r="P12" s="1199"/>
      <c r="Q12" s="1199"/>
      <c r="R12" s="1199"/>
      <c r="S12" s="1199"/>
      <c r="T12" s="1199"/>
      <c r="U12" s="1199"/>
      <c r="V12" s="1199"/>
      <c r="W12" s="1199"/>
      <c r="X12" s="1199"/>
      <c r="Y12" s="1199"/>
      <c r="Z12" s="1199"/>
      <c r="AA12" s="1199"/>
      <c r="AB12" s="1199"/>
      <c r="AC12" s="1199"/>
      <c r="AD12" s="1199"/>
      <c r="AE12" s="1199"/>
      <c r="AF12" s="1199"/>
      <c r="AG12" s="1199"/>
      <c r="AH12" s="1199"/>
      <c r="AI12" s="1199"/>
      <c r="AJ12" s="1199"/>
      <c r="AK12" s="1199"/>
      <c r="AL12" s="1199"/>
      <c r="AM12" s="1199"/>
      <c r="AN12" s="1199"/>
      <c r="AO12" s="1738"/>
      <c r="AP12" s="1199"/>
      <c r="AQ12" s="1199"/>
      <c r="AR12" s="1738"/>
    </row>
    <row r="13" spans="1:44" s="1111" customFormat="1" ht="12" customHeight="1">
      <c r="A13" s="1108" t="s">
        <v>703</v>
      </c>
      <c r="B13" s="1109" t="s">
        <v>704</v>
      </c>
      <c r="C13" s="1105">
        <f t="shared" si="0"/>
        <v>0</v>
      </c>
      <c r="D13" s="1106">
        <f t="shared" si="1"/>
        <v>0</v>
      </c>
      <c r="E13" s="1199"/>
      <c r="F13" s="1199"/>
      <c r="G13" s="1199"/>
      <c r="H13" s="1199"/>
      <c r="I13" s="1199"/>
      <c r="J13" s="1199"/>
      <c r="K13" s="1199"/>
      <c r="L13" s="1199"/>
      <c r="M13" s="1199"/>
      <c r="N13" s="1199"/>
      <c r="O13" s="1199"/>
      <c r="P13" s="1199"/>
      <c r="Q13" s="1199"/>
      <c r="R13" s="1199"/>
      <c r="S13" s="1199"/>
      <c r="T13" s="1199"/>
      <c r="U13" s="1199"/>
      <c r="V13" s="1199"/>
      <c r="W13" s="1199"/>
      <c r="X13" s="1199"/>
      <c r="Y13" s="1199"/>
      <c r="Z13" s="1199"/>
      <c r="AA13" s="1199"/>
      <c r="AB13" s="1199"/>
      <c r="AC13" s="1199"/>
      <c r="AD13" s="1199"/>
      <c r="AE13" s="1199"/>
      <c r="AF13" s="1199"/>
      <c r="AG13" s="1199"/>
      <c r="AH13" s="1199"/>
      <c r="AI13" s="1199"/>
      <c r="AJ13" s="1199"/>
      <c r="AK13" s="1199"/>
      <c r="AL13" s="1199"/>
      <c r="AM13" s="1199"/>
      <c r="AN13" s="1199"/>
      <c r="AO13" s="1738"/>
      <c r="AP13" s="1199"/>
      <c r="AQ13" s="1199"/>
      <c r="AR13" s="1738"/>
    </row>
    <row r="14" spans="1:44" s="1107" customFormat="1" ht="12" customHeight="1" thickBot="1">
      <c r="A14" s="1112" t="s">
        <v>705</v>
      </c>
      <c r="B14" s="1113" t="s">
        <v>706</v>
      </c>
      <c r="C14" s="1105">
        <f t="shared" si="0"/>
        <v>0</v>
      </c>
      <c r="D14" s="1106">
        <f t="shared" si="1"/>
        <v>0</v>
      </c>
      <c r="E14" s="1199"/>
      <c r="F14" s="1199"/>
      <c r="G14" s="1199"/>
      <c r="H14" s="1199"/>
      <c r="I14" s="1199"/>
      <c r="J14" s="1199"/>
      <c r="K14" s="1199"/>
      <c r="L14" s="1199"/>
      <c r="M14" s="1199"/>
      <c r="N14" s="1199"/>
      <c r="O14" s="1199"/>
      <c r="P14" s="1199"/>
      <c r="Q14" s="1199"/>
      <c r="R14" s="1199"/>
      <c r="S14" s="1199"/>
      <c r="T14" s="1199"/>
      <c r="U14" s="1199"/>
      <c r="V14" s="1199"/>
      <c r="W14" s="1199"/>
      <c r="X14" s="1199"/>
      <c r="Y14" s="1199"/>
      <c r="Z14" s="1206"/>
      <c r="AA14" s="1206"/>
      <c r="AB14" s="1206"/>
      <c r="AC14" s="1206"/>
      <c r="AD14" s="1206"/>
      <c r="AE14" s="1206"/>
      <c r="AF14" s="1206"/>
      <c r="AG14" s="1206"/>
      <c r="AH14" s="1206"/>
      <c r="AI14" s="1206"/>
      <c r="AJ14" s="1206"/>
      <c r="AK14" s="1206"/>
      <c r="AL14" s="1206"/>
      <c r="AM14" s="1206"/>
      <c r="AN14" s="1206"/>
      <c r="AO14" s="1746"/>
      <c r="AP14" s="1199"/>
      <c r="AQ14" s="1199"/>
      <c r="AR14" s="1738"/>
    </row>
    <row r="15" spans="1:44" s="1107" customFormat="1" ht="21.75" customHeight="1" thickBot="1">
      <c r="A15" s="1099" t="s">
        <v>707</v>
      </c>
      <c r="B15" s="1114" t="s">
        <v>708</v>
      </c>
      <c r="C15" s="1101">
        <f>+C16+C17+C18+C19+C20</f>
        <v>6235000</v>
      </c>
      <c r="D15" s="1102">
        <f>+D16+D17+D18+D19+D20</f>
        <v>6235000</v>
      </c>
      <c r="E15" s="1199"/>
      <c r="F15" s="1199"/>
      <c r="G15" s="1199"/>
      <c r="H15" s="1199"/>
      <c r="I15" s="1199"/>
      <c r="J15" s="1199"/>
      <c r="K15" s="1199"/>
      <c r="L15" s="1199"/>
      <c r="M15" s="1199"/>
      <c r="N15" s="1199"/>
      <c r="O15" s="1199"/>
      <c r="P15" s="1199"/>
      <c r="Q15" s="1199"/>
      <c r="R15" s="1199"/>
      <c r="S15" s="1199"/>
      <c r="T15" s="1199"/>
      <c r="U15" s="1199"/>
      <c r="V15" s="1199"/>
      <c r="W15" s="1199"/>
      <c r="X15" s="1199"/>
      <c r="Y15" s="1199"/>
      <c r="Z15" s="1206"/>
      <c r="AA15" s="1206"/>
      <c r="AB15" s="1206"/>
      <c r="AC15" s="1206"/>
      <c r="AD15" s="1206"/>
      <c r="AE15" s="1206"/>
      <c r="AF15" s="1206"/>
      <c r="AG15" s="1206"/>
      <c r="AH15" s="1206"/>
      <c r="AI15" s="1206"/>
      <c r="AJ15" s="1206"/>
      <c r="AK15" s="1206"/>
      <c r="AL15" s="1206"/>
      <c r="AM15" s="1206"/>
      <c r="AN15" s="1206"/>
      <c r="AO15" s="1746"/>
      <c r="AP15" s="1199"/>
      <c r="AQ15" s="1199"/>
      <c r="AR15" s="1738"/>
    </row>
    <row r="16" spans="1:44" s="1107" customFormat="1" ht="12" customHeight="1">
      <c r="A16" s="1103" t="s">
        <v>709</v>
      </c>
      <c r="B16" s="1104" t="s">
        <v>710</v>
      </c>
      <c r="C16" s="1207">
        <f t="shared" ref="C16:C21" si="2">SUM(E16:AO16)</f>
        <v>0</v>
      </c>
      <c r="D16" s="1106">
        <f t="shared" ref="D16:D21" si="3">C16+SUM(AP16:AR16)</f>
        <v>0</v>
      </c>
      <c r="E16" s="1199"/>
      <c r="F16" s="1199"/>
      <c r="G16" s="1199"/>
      <c r="H16" s="1199"/>
      <c r="I16" s="1199"/>
      <c r="J16" s="1199"/>
      <c r="K16" s="1199"/>
      <c r="L16" s="1199"/>
      <c r="M16" s="1199"/>
      <c r="N16" s="1199"/>
      <c r="O16" s="1199"/>
      <c r="P16" s="1199"/>
      <c r="Q16" s="1199"/>
      <c r="R16" s="1199"/>
      <c r="S16" s="1199"/>
      <c r="T16" s="1199"/>
      <c r="U16" s="1199"/>
      <c r="V16" s="1199"/>
      <c r="W16" s="1199"/>
      <c r="X16" s="1199"/>
      <c r="Y16" s="1199"/>
      <c r="Z16" s="1206"/>
      <c r="AA16" s="1206"/>
      <c r="AB16" s="1206"/>
      <c r="AC16" s="1206"/>
      <c r="AD16" s="1206"/>
      <c r="AE16" s="1206"/>
      <c r="AF16" s="1206"/>
      <c r="AG16" s="1206"/>
      <c r="AH16" s="1206"/>
      <c r="AI16" s="1206"/>
      <c r="AJ16" s="1206"/>
      <c r="AK16" s="1206"/>
      <c r="AL16" s="1206"/>
      <c r="AM16" s="1206"/>
      <c r="AN16" s="1206"/>
      <c r="AO16" s="1746"/>
      <c r="AP16" s="1199"/>
      <c r="AQ16" s="1199"/>
      <c r="AR16" s="1738"/>
    </row>
    <row r="17" spans="1:44" s="1107" customFormat="1" ht="12" customHeight="1">
      <c r="A17" s="1108" t="s">
        <v>711</v>
      </c>
      <c r="B17" s="1109" t="s">
        <v>712</v>
      </c>
      <c r="C17" s="1207">
        <f t="shared" si="2"/>
        <v>0</v>
      </c>
      <c r="D17" s="1106">
        <f t="shared" si="3"/>
        <v>0</v>
      </c>
      <c r="E17" s="1199"/>
      <c r="F17" s="1199"/>
      <c r="G17" s="1199"/>
      <c r="H17" s="1199"/>
      <c r="I17" s="1199"/>
      <c r="J17" s="1199"/>
      <c r="K17" s="1199"/>
      <c r="L17" s="1199"/>
      <c r="M17" s="1199"/>
      <c r="N17" s="1199"/>
      <c r="O17" s="1199"/>
      <c r="P17" s="1199"/>
      <c r="Q17" s="1199"/>
      <c r="R17" s="1199"/>
      <c r="S17" s="1199"/>
      <c r="T17" s="1199"/>
      <c r="U17" s="1199"/>
      <c r="V17" s="1199"/>
      <c r="W17" s="1199"/>
      <c r="X17" s="1199"/>
      <c r="Y17" s="1199"/>
      <c r="Z17" s="1206"/>
      <c r="AA17" s="1206"/>
      <c r="AB17" s="1206"/>
      <c r="AC17" s="1206"/>
      <c r="AD17" s="1206"/>
      <c r="AE17" s="1206"/>
      <c r="AF17" s="1206"/>
      <c r="AG17" s="1206"/>
      <c r="AH17" s="1206"/>
      <c r="AI17" s="1206"/>
      <c r="AJ17" s="1206"/>
      <c r="AK17" s="1206"/>
      <c r="AL17" s="1206"/>
      <c r="AM17" s="1206"/>
      <c r="AN17" s="1206"/>
      <c r="AO17" s="1746"/>
      <c r="AP17" s="1199"/>
      <c r="AQ17" s="1199"/>
      <c r="AR17" s="1738"/>
    </row>
    <row r="18" spans="1:44" s="1107" customFormat="1" ht="12" customHeight="1">
      <c r="A18" s="1108" t="s">
        <v>713</v>
      </c>
      <c r="B18" s="1109" t="s">
        <v>714</v>
      </c>
      <c r="C18" s="1207">
        <f t="shared" si="2"/>
        <v>0</v>
      </c>
      <c r="D18" s="1106">
        <f t="shared" si="3"/>
        <v>0</v>
      </c>
      <c r="E18" s="1199"/>
      <c r="F18" s="1199"/>
      <c r="G18" s="1199"/>
      <c r="H18" s="1199"/>
      <c r="I18" s="1199"/>
      <c r="J18" s="1199"/>
      <c r="K18" s="1199"/>
      <c r="L18" s="1199"/>
      <c r="M18" s="1199"/>
      <c r="N18" s="1199"/>
      <c r="O18" s="1199"/>
      <c r="P18" s="1199"/>
      <c r="Q18" s="1199"/>
      <c r="R18" s="1199"/>
      <c r="S18" s="1199"/>
      <c r="T18" s="1199"/>
      <c r="U18" s="1199"/>
      <c r="V18" s="1199"/>
      <c r="W18" s="1199"/>
      <c r="X18" s="1199"/>
      <c r="Y18" s="1199"/>
      <c r="Z18" s="1206"/>
      <c r="AA18" s="1206"/>
      <c r="AB18" s="1206"/>
      <c r="AC18" s="1206"/>
      <c r="AD18" s="1206"/>
      <c r="AE18" s="1206"/>
      <c r="AF18" s="1206"/>
      <c r="AG18" s="1206"/>
      <c r="AH18" s="1206"/>
      <c r="AI18" s="1206"/>
      <c r="AJ18" s="1206"/>
      <c r="AK18" s="1206"/>
      <c r="AL18" s="1206"/>
      <c r="AM18" s="1206"/>
      <c r="AN18" s="1206"/>
      <c r="AO18" s="1746"/>
      <c r="AP18" s="1199"/>
      <c r="AQ18" s="1199"/>
      <c r="AR18" s="1738"/>
    </row>
    <row r="19" spans="1:44" s="1107" customFormat="1" ht="12" customHeight="1">
      <c r="A19" s="1108" t="s">
        <v>715</v>
      </c>
      <c r="B19" s="1109" t="s">
        <v>716</v>
      </c>
      <c r="C19" s="1207">
        <f t="shared" si="2"/>
        <v>0</v>
      </c>
      <c r="D19" s="1106">
        <f t="shared" si="3"/>
        <v>0</v>
      </c>
      <c r="E19" s="1199"/>
      <c r="F19" s="1199"/>
      <c r="G19" s="1199"/>
      <c r="H19" s="1199"/>
      <c r="I19" s="1199"/>
      <c r="J19" s="1199"/>
      <c r="K19" s="1199"/>
      <c r="L19" s="1199"/>
      <c r="M19" s="1199"/>
      <c r="N19" s="1199"/>
      <c r="O19" s="1199"/>
      <c r="P19" s="1199"/>
      <c r="Q19" s="1199"/>
      <c r="R19" s="1199"/>
      <c r="S19" s="1199"/>
      <c r="T19" s="1199"/>
      <c r="U19" s="1199"/>
      <c r="V19" s="1199"/>
      <c r="W19" s="1199"/>
      <c r="X19" s="1199"/>
      <c r="Y19" s="1199"/>
      <c r="Z19" s="1206"/>
      <c r="AA19" s="1206"/>
      <c r="AB19" s="1206"/>
      <c r="AC19" s="1206"/>
      <c r="AD19" s="1206"/>
      <c r="AE19" s="1206"/>
      <c r="AF19" s="1206"/>
      <c r="AG19" s="1206"/>
      <c r="AH19" s="1206"/>
      <c r="AI19" s="1206"/>
      <c r="AJ19" s="1206"/>
      <c r="AK19" s="1206"/>
      <c r="AL19" s="1206"/>
      <c r="AM19" s="1206"/>
      <c r="AN19" s="1206"/>
      <c r="AO19" s="1746"/>
      <c r="AP19" s="1199"/>
      <c r="AQ19" s="1199"/>
      <c r="AR19" s="1738"/>
    </row>
    <row r="20" spans="1:44" s="1107" customFormat="1" ht="12" customHeight="1">
      <c r="A20" s="1108" t="s">
        <v>717</v>
      </c>
      <c r="B20" s="1109" t="s">
        <v>718</v>
      </c>
      <c r="C20" s="1207">
        <f t="shared" si="2"/>
        <v>6235000</v>
      </c>
      <c r="D20" s="1106">
        <f t="shared" si="3"/>
        <v>6235000</v>
      </c>
      <c r="E20" s="1199">
        <v>140000</v>
      </c>
      <c r="F20" s="1199"/>
      <c r="G20" s="1199"/>
      <c r="H20" s="1199"/>
      <c r="I20" s="1199"/>
      <c r="J20" s="1199"/>
      <c r="K20" s="1199"/>
      <c r="L20" s="1199"/>
      <c r="M20" s="1199">
        <v>807000</v>
      </c>
      <c r="N20" s="1199"/>
      <c r="O20" s="1199"/>
      <c r="P20" s="1199"/>
      <c r="Q20" s="1199"/>
      <c r="R20" s="1199"/>
      <c r="S20" s="1199"/>
      <c r="T20" s="1199"/>
      <c r="U20" s="1199"/>
      <c r="V20" s="1199"/>
      <c r="W20" s="1199"/>
      <c r="X20" s="1199">
        <v>1138000</v>
      </c>
      <c r="Y20" s="1199">
        <v>4030000</v>
      </c>
      <c r="Z20" s="1206"/>
      <c r="AA20" s="1206"/>
      <c r="AB20" s="1206"/>
      <c r="AC20" s="1206"/>
      <c r="AD20" s="1206"/>
      <c r="AE20" s="1206"/>
      <c r="AF20" s="1206"/>
      <c r="AG20" s="1206"/>
      <c r="AH20" s="1199"/>
      <c r="AI20" s="1199">
        <v>120000</v>
      </c>
      <c r="AJ20" s="1206"/>
      <c r="AK20" s="1206"/>
      <c r="AL20" s="1206"/>
      <c r="AM20" s="1206"/>
      <c r="AN20" s="1206"/>
      <c r="AO20" s="1746"/>
      <c r="AP20" s="1199"/>
      <c r="AQ20" s="1199"/>
      <c r="AR20" s="1738"/>
    </row>
    <row r="21" spans="1:44" s="1111" customFormat="1" ht="12" customHeight="1" thickBot="1">
      <c r="A21" s="1112" t="s">
        <v>719</v>
      </c>
      <c r="B21" s="1113" t="s">
        <v>720</v>
      </c>
      <c r="C21" s="1207">
        <f t="shared" si="2"/>
        <v>0</v>
      </c>
      <c r="D21" s="1106">
        <f t="shared" si="3"/>
        <v>0</v>
      </c>
      <c r="E21" s="1199"/>
      <c r="F21" s="1199"/>
      <c r="G21" s="1199"/>
      <c r="H21" s="1199"/>
      <c r="I21" s="1199"/>
      <c r="J21" s="1199"/>
      <c r="K21" s="1199"/>
      <c r="L21" s="1199"/>
      <c r="M21" s="1199"/>
      <c r="N21" s="1199"/>
      <c r="O21" s="1199"/>
      <c r="P21" s="1199"/>
      <c r="Q21" s="1199"/>
      <c r="R21" s="1199"/>
      <c r="S21" s="1199"/>
      <c r="T21" s="1199"/>
      <c r="U21" s="1199"/>
      <c r="V21" s="1199"/>
      <c r="W21" s="1199"/>
      <c r="X21" s="1199"/>
      <c r="Y21" s="1199"/>
      <c r="Z21" s="1199"/>
      <c r="AA21" s="1199"/>
      <c r="AB21" s="1199"/>
      <c r="AC21" s="1199"/>
      <c r="AD21" s="1199"/>
      <c r="AE21" s="1199"/>
      <c r="AF21" s="1199"/>
      <c r="AG21" s="1199"/>
      <c r="AH21" s="1199"/>
      <c r="AI21" s="1199"/>
      <c r="AJ21" s="1199"/>
      <c r="AK21" s="1199"/>
      <c r="AL21" s="1199"/>
      <c r="AM21" s="1199"/>
      <c r="AN21" s="1199"/>
      <c r="AO21" s="1738"/>
      <c r="AP21" s="1199"/>
      <c r="AQ21" s="1199"/>
      <c r="AR21" s="1738"/>
    </row>
    <row r="22" spans="1:44" s="1111" customFormat="1" ht="23.25" customHeight="1" thickBot="1">
      <c r="A22" s="1099" t="s">
        <v>721</v>
      </c>
      <c r="B22" s="1100" t="s">
        <v>722</v>
      </c>
      <c r="C22" s="1101">
        <f>+C23+C24+C25+C26+C27</f>
        <v>0</v>
      </c>
      <c r="D22" s="1102">
        <f>+D23+D24+D25+D26+D27</f>
        <v>0</v>
      </c>
      <c r="E22" s="1199"/>
      <c r="F22" s="1199"/>
      <c r="G22" s="1199"/>
      <c r="H22" s="1199"/>
      <c r="I22" s="1199"/>
      <c r="J22" s="1199"/>
      <c r="K22" s="1199"/>
      <c r="L22" s="1199"/>
      <c r="M22" s="1199"/>
      <c r="N22" s="1199"/>
      <c r="O22" s="1199"/>
      <c r="P22" s="1199"/>
      <c r="Q22" s="1199"/>
      <c r="R22" s="1199"/>
      <c r="S22" s="1199"/>
      <c r="T22" s="1199"/>
      <c r="U22" s="1199"/>
      <c r="V22" s="1199"/>
      <c r="W22" s="1199"/>
      <c r="X22" s="1199"/>
      <c r="Y22" s="1199"/>
      <c r="Z22" s="1199"/>
      <c r="AA22" s="1199"/>
      <c r="AB22" s="1199"/>
      <c r="AC22" s="1199"/>
      <c r="AD22" s="1199"/>
      <c r="AE22" s="1199"/>
      <c r="AF22" s="1199"/>
      <c r="AG22" s="1199"/>
      <c r="AH22" s="1199"/>
      <c r="AI22" s="1199"/>
      <c r="AJ22" s="1199"/>
      <c r="AK22" s="1199"/>
      <c r="AL22" s="1199"/>
      <c r="AM22" s="1199"/>
      <c r="AN22" s="1199"/>
      <c r="AO22" s="1738"/>
      <c r="AP22" s="1199"/>
      <c r="AQ22" s="1199"/>
      <c r="AR22" s="1738"/>
    </row>
    <row r="23" spans="1:44" s="1111" customFormat="1" ht="12" customHeight="1">
      <c r="A23" s="1103" t="s">
        <v>723</v>
      </c>
      <c r="B23" s="1104" t="s">
        <v>724</v>
      </c>
      <c r="C23" s="1207">
        <f t="shared" ref="C23:C28" si="4">SUM(E23:AO23)</f>
        <v>0</v>
      </c>
      <c r="D23" s="1106">
        <f t="shared" ref="D23:D28" si="5">C23+SUM(AP23:AR23)</f>
        <v>0</v>
      </c>
      <c r="E23" s="1199"/>
      <c r="F23" s="1199"/>
      <c r="G23" s="1199"/>
      <c r="H23" s="1199"/>
      <c r="I23" s="1199"/>
      <c r="J23" s="1199"/>
      <c r="K23" s="1199"/>
      <c r="L23" s="1199"/>
      <c r="M23" s="1199"/>
      <c r="N23" s="1199"/>
      <c r="O23" s="1199"/>
      <c r="P23" s="1199"/>
      <c r="Q23" s="1199"/>
      <c r="R23" s="1199"/>
      <c r="S23" s="1199"/>
      <c r="T23" s="1199"/>
      <c r="U23" s="1199"/>
      <c r="V23" s="1199"/>
      <c r="W23" s="1199"/>
      <c r="X23" s="1199"/>
      <c r="Y23" s="1199"/>
      <c r="Z23" s="1199"/>
      <c r="AA23" s="1199"/>
      <c r="AB23" s="1199"/>
      <c r="AC23" s="1199"/>
      <c r="AD23" s="1199"/>
      <c r="AE23" s="1199"/>
      <c r="AF23" s="1199"/>
      <c r="AG23" s="1199"/>
      <c r="AH23" s="1199"/>
      <c r="AI23" s="1199"/>
      <c r="AJ23" s="1199"/>
      <c r="AK23" s="1199"/>
      <c r="AL23" s="1199"/>
      <c r="AM23" s="1199"/>
      <c r="AN23" s="1199"/>
      <c r="AO23" s="1738"/>
      <c r="AP23" s="1199"/>
      <c r="AQ23" s="1199"/>
      <c r="AR23" s="1738"/>
    </row>
    <row r="24" spans="1:44" s="1107" customFormat="1" ht="12" customHeight="1">
      <c r="A24" s="1108" t="s">
        <v>725</v>
      </c>
      <c r="B24" s="1109" t="s">
        <v>726</v>
      </c>
      <c r="C24" s="1207">
        <f t="shared" si="4"/>
        <v>0</v>
      </c>
      <c r="D24" s="1106">
        <f t="shared" si="5"/>
        <v>0</v>
      </c>
      <c r="E24" s="1199"/>
      <c r="F24" s="1199"/>
      <c r="G24" s="1199"/>
      <c r="H24" s="1199"/>
      <c r="I24" s="1199"/>
      <c r="J24" s="1199"/>
      <c r="K24" s="1199"/>
      <c r="L24" s="1199"/>
      <c r="M24" s="1199"/>
      <c r="N24" s="1199"/>
      <c r="O24" s="1199"/>
      <c r="P24" s="1199"/>
      <c r="Q24" s="1199"/>
      <c r="R24" s="1199"/>
      <c r="S24" s="1199"/>
      <c r="T24" s="1199"/>
      <c r="U24" s="1199"/>
      <c r="V24" s="1199"/>
      <c r="W24" s="1199"/>
      <c r="X24" s="1199"/>
      <c r="Y24" s="1199"/>
      <c r="Z24" s="1206"/>
      <c r="AA24" s="1206"/>
      <c r="AB24" s="1206"/>
      <c r="AC24" s="1206"/>
      <c r="AD24" s="1206"/>
      <c r="AE24" s="1206"/>
      <c r="AF24" s="1206"/>
      <c r="AG24" s="1206"/>
      <c r="AH24" s="1206"/>
      <c r="AI24" s="1206"/>
      <c r="AJ24" s="1206"/>
      <c r="AK24" s="1206"/>
      <c r="AL24" s="1206"/>
      <c r="AM24" s="1206"/>
      <c r="AN24" s="1206"/>
      <c r="AO24" s="1746"/>
      <c r="AP24" s="1199"/>
      <c r="AQ24" s="1199"/>
      <c r="AR24" s="1738"/>
    </row>
    <row r="25" spans="1:44" s="1111" customFormat="1" ht="12" customHeight="1">
      <c r="A25" s="1108" t="s">
        <v>727</v>
      </c>
      <c r="B25" s="1109" t="s">
        <v>728</v>
      </c>
      <c r="C25" s="1207">
        <f t="shared" si="4"/>
        <v>0</v>
      </c>
      <c r="D25" s="1106">
        <f t="shared" si="5"/>
        <v>0</v>
      </c>
      <c r="E25" s="1199"/>
      <c r="F25" s="1199"/>
      <c r="G25" s="1199"/>
      <c r="H25" s="1199"/>
      <c r="I25" s="1199"/>
      <c r="J25" s="1199"/>
      <c r="K25" s="1199"/>
      <c r="L25" s="1199"/>
      <c r="M25" s="1199"/>
      <c r="N25" s="1199"/>
      <c r="O25" s="1199"/>
      <c r="P25" s="1199"/>
      <c r="Q25" s="1199"/>
      <c r="R25" s="1199"/>
      <c r="S25" s="1199"/>
      <c r="T25" s="1199"/>
      <c r="U25" s="1199"/>
      <c r="V25" s="1199"/>
      <c r="W25" s="1199"/>
      <c r="X25" s="1199"/>
      <c r="Y25" s="1199"/>
      <c r="Z25" s="1199"/>
      <c r="AA25" s="1199"/>
      <c r="AB25" s="1199"/>
      <c r="AC25" s="1199"/>
      <c r="AD25" s="1199"/>
      <c r="AE25" s="1199"/>
      <c r="AF25" s="1199"/>
      <c r="AG25" s="1199"/>
      <c r="AH25" s="1199"/>
      <c r="AI25" s="1199"/>
      <c r="AJ25" s="1199"/>
      <c r="AK25" s="1199"/>
      <c r="AL25" s="1199"/>
      <c r="AM25" s="1199"/>
      <c r="AN25" s="1199"/>
      <c r="AO25" s="1738"/>
      <c r="AP25" s="1199"/>
      <c r="AQ25" s="1199"/>
      <c r="AR25" s="1738"/>
    </row>
    <row r="26" spans="1:44" s="1111" customFormat="1" ht="12" customHeight="1">
      <c r="A26" s="1108" t="s">
        <v>729</v>
      </c>
      <c r="B26" s="1109" t="s">
        <v>730</v>
      </c>
      <c r="C26" s="1207">
        <f t="shared" si="4"/>
        <v>0</v>
      </c>
      <c r="D26" s="1106">
        <f t="shared" si="5"/>
        <v>0</v>
      </c>
      <c r="E26" s="1199"/>
      <c r="F26" s="1199"/>
      <c r="G26" s="1199"/>
      <c r="H26" s="1199"/>
      <c r="I26" s="1199"/>
      <c r="J26" s="1199"/>
      <c r="K26" s="1199"/>
      <c r="L26" s="1199"/>
      <c r="M26" s="1199"/>
      <c r="N26" s="1199"/>
      <c r="O26" s="1199"/>
      <c r="P26" s="1199"/>
      <c r="Q26" s="1199"/>
      <c r="R26" s="1199"/>
      <c r="S26" s="1199"/>
      <c r="T26" s="1199"/>
      <c r="U26" s="1199"/>
      <c r="V26" s="1199"/>
      <c r="W26" s="1199"/>
      <c r="X26" s="1199"/>
      <c r="Y26" s="1199"/>
      <c r="Z26" s="1199"/>
      <c r="AA26" s="1199"/>
      <c r="AB26" s="1199"/>
      <c r="AC26" s="1199"/>
      <c r="AD26" s="1199"/>
      <c r="AE26" s="1199"/>
      <c r="AF26" s="1199"/>
      <c r="AG26" s="1199"/>
      <c r="AH26" s="1199"/>
      <c r="AI26" s="1199"/>
      <c r="AJ26" s="1199"/>
      <c r="AK26" s="1199"/>
      <c r="AL26" s="1199"/>
      <c r="AM26" s="1199"/>
      <c r="AN26" s="1199"/>
      <c r="AO26" s="1738"/>
      <c r="AP26" s="1199"/>
      <c r="AQ26" s="1199"/>
      <c r="AR26" s="1738"/>
    </row>
    <row r="27" spans="1:44" s="1111" customFormat="1" ht="12" customHeight="1">
      <c r="A27" s="1108" t="s">
        <v>731</v>
      </c>
      <c r="B27" s="1109" t="s">
        <v>732</v>
      </c>
      <c r="C27" s="1207">
        <f t="shared" si="4"/>
        <v>0</v>
      </c>
      <c r="D27" s="1106">
        <f t="shared" si="5"/>
        <v>0</v>
      </c>
      <c r="E27" s="1199"/>
      <c r="F27" s="1199"/>
      <c r="G27" s="1199"/>
      <c r="H27" s="1199"/>
      <c r="I27" s="1199"/>
      <c r="J27" s="1199"/>
      <c r="K27" s="1199"/>
      <c r="L27" s="1199"/>
      <c r="M27" s="1199"/>
      <c r="N27" s="1199"/>
      <c r="O27" s="1199"/>
      <c r="P27" s="1199"/>
      <c r="Q27" s="1199"/>
      <c r="R27" s="1199"/>
      <c r="S27" s="1199"/>
      <c r="T27" s="1199"/>
      <c r="U27" s="1199"/>
      <c r="V27" s="1199"/>
      <c r="W27" s="1199"/>
      <c r="X27" s="1199"/>
      <c r="Y27" s="1199"/>
      <c r="Z27" s="1199"/>
      <c r="AA27" s="1199"/>
      <c r="AB27" s="1199"/>
      <c r="AC27" s="1199"/>
      <c r="AD27" s="1199"/>
      <c r="AE27" s="1199"/>
      <c r="AF27" s="1199"/>
      <c r="AG27" s="1199"/>
      <c r="AH27" s="1199"/>
      <c r="AI27" s="1199"/>
      <c r="AJ27" s="1199"/>
      <c r="AK27" s="1199"/>
      <c r="AL27" s="1199"/>
      <c r="AM27" s="1199"/>
      <c r="AN27" s="1199"/>
      <c r="AO27" s="1738"/>
      <c r="AP27" s="1199"/>
      <c r="AQ27" s="1199"/>
      <c r="AR27" s="1738"/>
    </row>
    <row r="28" spans="1:44" s="1111" customFormat="1" ht="12" customHeight="1" thickBot="1">
      <c r="A28" s="1112" t="s">
        <v>733</v>
      </c>
      <c r="B28" s="1113" t="s">
        <v>734</v>
      </c>
      <c r="C28" s="1207">
        <f t="shared" si="4"/>
        <v>0</v>
      </c>
      <c r="D28" s="1106">
        <f t="shared" si="5"/>
        <v>0</v>
      </c>
      <c r="E28" s="1199"/>
      <c r="F28" s="1199"/>
      <c r="G28" s="1199"/>
      <c r="H28" s="1199"/>
      <c r="I28" s="1199"/>
      <c r="J28" s="1199"/>
      <c r="K28" s="1199"/>
      <c r="L28" s="1199"/>
      <c r="M28" s="1199"/>
      <c r="N28" s="1199"/>
      <c r="O28" s="1199"/>
      <c r="P28" s="1199"/>
      <c r="Q28" s="1199"/>
      <c r="R28" s="1199"/>
      <c r="S28" s="1199"/>
      <c r="T28" s="1199"/>
      <c r="U28" s="1199"/>
      <c r="V28" s="1199"/>
      <c r="W28" s="1199"/>
      <c r="X28" s="1199"/>
      <c r="Y28" s="1199"/>
      <c r="Z28" s="1199"/>
      <c r="AA28" s="1199"/>
      <c r="AB28" s="1199"/>
      <c r="AC28" s="1199"/>
      <c r="AD28" s="1199"/>
      <c r="AE28" s="1199"/>
      <c r="AF28" s="1199"/>
      <c r="AG28" s="1199"/>
      <c r="AH28" s="1199"/>
      <c r="AI28" s="1199"/>
      <c r="AJ28" s="1199"/>
      <c r="AK28" s="1199"/>
      <c r="AL28" s="1199"/>
      <c r="AM28" s="1199"/>
      <c r="AN28" s="1199"/>
      <c r="AO28" s="1738"/>
      <c r="AP28" s="1199"/>
      <c r="AQ28" s="1199"/>
      <c r="AR28" s="1738"/>
    </row>
    <row r="29" spans="1:44" s="1111" customFormat="1" ht="12" customHeight="1" thickBot="1">
      <c r="A29" s="1099" t="s">
        <v>735</v>
      </c>
      <c r="B29" s="1100" t="s">
        <v>963</v>
      </c>
      <c r="C29" s="1118">
        <f>+C30+C36</f>
        <v>72845000</v>
      </c>
      <c r="D29" s="1118">
        <f>+D30+D36</f>
        <v>72845000</v>
      </c>
      <c r="E29" s="1199"/>
      <c r="F29" s="1199"/>
      <c r="G29" s="1199"/>
      <c r="H29" s="1199"/>
      <c r="I29" s="1199"/>
      <c r="J29" s="1199"/>
      <c r="K29" s="1199"/>
      <c r="L29" s="1199"/>
      <c r="M29" s="1199"/>
      <c r="N29" s="1199"/>
      <c r="O29" s="1199"/>
      <c r="P29" s="1199"/>
      <c r="Q29" s="1199"/>
      <c r="R29" s="1199"/>
      <c r="S29" s="1199"/>
      <c r="T29" s="1199"/>
      <c r="U29" s="1199"/>
      <c r="V29" s="1199"/>
      <c r="W29" s="1199"/>
      <c r="X29" s="1199"/>
      <c r="Y29" s="1199"/>
      <c r="Z29" s="1199"/>
      <c r="AA29" s="1199"/>
      <c r="AB29" s="1199"/>
      <c r="AC29" s="1199"/>
      <c r="AD29" s="1199"/>
      <c r="AE29" s="1199"/>
      <c r="AF29" s="1199"/>
      <c r="AG29" s="1199"/>
      <c r="AH29" s="1199"/>
      <c r="AI29" s="1199"/>
      <c r="AJ29" s="1199"/>
      <c r="AK29" s="1199"/>
      <c r="AL29" s="1199"/>
      <c r="AM29" s="1199"/>
      <c r="AN29" s="1199"/>
      <c r="AO29" s="1738"/>
      <c r="AP29" s="1199"/>
      <c r="AQ29" s="1199"/>
      <c r="AR29" s="1738"/>
    </row>
    <row r="30" spans="1:44" s="1111" customFormat="1" ht="12" customHeight="1">
      <c r="A30" s="1103" t="s">
        <v>737</v>
      </c>
      <c r="B30" s="1104" t="s">
        <v>738</v>
      </c>
      <c r="C30" s="1120">
        <f>C32+C33+C34+C35+C31</f>
        <v>72153000</v>
      </c>
      <c r="D30" s="1106">
        <f t="shared" ref="D30:D36" si="6">C30+SUM(AP30:AR30)</f>
        <v>72153000</v>
      </c>
      <c r="E30" s="1199"/>
      <c r="F30" s="1199"/>
      <c r="G30" s="1199"/>
      <c r="H30" s="1199"/>
      <c r="I30" s="1199"/>
      <c r="J30" s="1199"/>
      <c r="K30" s="1199"/>
      <c r="L30" s="1199"/>
      <c r="M30" s="1199"/>
      <c r="N30" s="1199"/>
      <c r="O30" s="1199"/>
      <c r="P30" s="1199"/>
      <c r="Q30" s="1199"/>
      <c r="R30" s="1199"/>
      <c r="S30" s="1199"/>
      <c r="T30" s="1199"/>
      <c r="U30" s="1199"/>
      <c r="V30" s="1199"/>
      <c r="W30" s="1199"/>
      <c r="X30" s="1199"/>
      <c r="Y30" s="1199"/>
      <c r="Z30" s="1199"/>
      <c r="AA30" s="1199"/>
      <c r="AB30" s="1199"/>
      <c r="AC30" s="1199"/>
      <c r="AD30" s="1199"/>
      <c r="AE30" s="1199"/>
      <c r="AF30" s="1199"/>
      <c r="AG30" s="1199"/>
      <c r="AH30" s="1199"/>
      <c r="AI30" s="1199"/>
      <c r="AJ30" s="1199"/>
      <c r="AK30" s="1199"/>
      <c r="AL30" s="1199"/>
      <c r="AM30" s="1199"/>
      <c r="AN30" s="1199"/>
      <c r="AO30" s="1738"/>
      <c r="AP30" s="1199"/>
      <c r="AQ30" s="1199"/>
      <c r="AR30" s="1738"/>
    </row>
    <row r="31" spans="1:44" s="1111" customFormat="1" ht="12" customHeight="1">
      <c r="A31" s="1108" t="s">
        <v>739</v>
      </c>
      <c r="B31" s="1122" t="s">
        <v>740</v>
      </c>
      <c r="C31" s="1208">
        <f t="shared" ref="C31:C36" si="7">SUM(E31:AO31)</f>
        <v>30000</v>
      </c>
      <c r="D31" s="1106">
        <f t="shared" si="6"/>
        <v>30000</v>
      </c>
      <c r="E31" s="1199"/>
      <c r="F31" s="1199"/>
      <c r="G31" s="1199"/>
      <c r="H31" s="1199"/>
      <c r="I31" s="1199"/>
      <c r="J31" s="1199"/>
      <c r="K31" s="1199"/>
      <c r="L31" s="1199"/>
      <c r="M31" s="1199"/>
      <c r="N31" s="1199"/>
      <c r="O31" s="1199"/>
      <c r="P31" s="1199"/>
      <c r="Q31" s="1199"/>
      <c r="R31" s="1199"/>
      <c r="S31" s="1199"/>
      <c r="T31" s="1199"/>
      <c r="U31" s="1199"/>
      <c r="V31" s="1199"/>
      <c r="W31" s="1199"/>
      <c r="X31" s="1199"/>
      <c r="Y31" s="1199"/>
      <c r="Z31" s="1199"/>
      <c r="AA31" s="1199"/>
      <c r="AB31" s="1199"/>
      <c r="AC31" s="1199"/>
      <c r="AD31" s="1199"/>
      <c r="AE31" s="1199"/>
      <c r="AF31" s="1199"/>
      <c r="AG31" s="1199"/>
      <c r="AH31" s="1199"/>
      <c r="AI31" s="1199"/>
      <c r="AJ31" s="1199"/>
      <c r="AK31" s="1199"/>
      <c r="AL31" s="1199"/>
      <c r="AM31" s="1199"/>
      <c r="AN31" s="1199">
        <v>30000</v>
      </c>
      <c r="AO31" s="1738"/>
      <c r="AP31" s="1199"/>
      <c r="AQ31" s="1199"/>
      <c r="AR31" s="1738"/>
    </row>
    <row r="32" spans="1:44" s="1111" customFormat="1" ht="12" customHeight="1">
      <c r="A32" s="1108" t="s">
        <v>741</v>
      </c>
      <c r="B32" s="1109" t="s">
        <v>742</v>
      </c>
      <c r="C32" s="1208">
        <f t="shared" si="7"/>
        <v>6941000</v>
      </c>
      <c r="D32" s="1106">
        <f t="shared" si="6"/>
        <v>6941000</v>
      </c>
      <c r="E32" s="1199"/>
      <c r="F32" s="1199"/>
      <c r="G32" s="1199"/>
      <c r="H32" s="1199"/>
      <c r="I32" s="1199"/>
      <c r="J32" s="1199"/>
      <c r="K32" s="1199"/>
      <c r="L32" s="1199"/>
      <c r="M32" s="1199"/>
      <c r="N32" s="1199"/>
      <c r="O32" s="1199"/>
      <c r="P32" s="1199"/>
      <c r="Q32" s="1199"/>
      <c r="R32" s="1199"/>
      <c r="S32" s="1199"/>
      <c r="T32" s="1199"/>
      <c r="U32" s="1199"/>
      <c r="V32" s="1199"/>
      <c r="W32" s="1199"/>
      <c r="X32" s="1199"/>
      <c r="Y32" s="1199"/>
      <c r="Z32" s="1199"/>
      <c r="AA32" s="1199"/>
      <c r="AB32" s="1199"/>
      <c r="AC32" s="1199"/>
      <c r="AD32" s="1199"/>
      <c r="AE32" s="1199"/>
      <c r="AF32" s="1199"/>
      <c r="AG32" s="1199"/>
      <c r="AH32" s="1199"/>
      <c r="AI32" s="1199"/>
      <c r="AJ32" s="1199"/>
      <c r="AK32" s="1199"/>
      <c r="AL32" s="1199"/>
      <c r="AM32" s="1199"/>
      <c r="AN32" s="1199">
        <v>6941000</v>
      </c>
      <c r="AO32" s="1738"/>
      <c r="AP32" s="1199"/>
      <c r="AQ32" s="1199"/>
      <c r="AR32" s="1738"/>
    </row>
    <row r="33" spans="1:44" s="1111" customFormat="1" ht="12" customHeight="1">
      <c r="A33" s="1108" t="s">
        <v>743</v>
      </c>
      <c r="B33" s="1122" t="s">
        <v>744</v>
      </c>
      <c r="C33" s="1208">
        <f t="shared" si="7"/>
        <v>55713000</v>
      </c>
      <c r="D33" s="1106">
        <f t="shared" si="6"/>
        <v>55713000</v>
      </c>
      <c r="E33" s="1199"/>
      <c r="F33" s="1199"/>
      <c r="G33" s="1199"/>
      <c r="H33" s="1199"/>
      <c r="I33" s="1199"/>
      <c r="J33" s="1199"/>
      <c r="K33" s="1199"/>
      <c r="L33" s="1199"/>
      <c r="M33" s="1199"/>
      <c r="N33" s="1199"/>
      <c r="O33" s="1199"/>
      <c r="P33" s="1199"/>
      <c r="Q33" s="1199"/>
      <c r="R33" s="1199"/>
      <c r="S33" s="1199"/>
      <c r="T33" s="1199"/>
      <c r="U33" s="1199"/>
      <c r="V33" s="1199"/>
      <c r="W33" s="1199"/>
      <c r="X33" s="1199"/>
      <c r="Y33" s="1199"/>
      <c r="Z33" s="1199"/>
      <c r="AA33" s="1199"/>
      <c r="AB33" s="1199"/>
      <c r="AC33" s="1199"/>
      <c r="AD33" s="1199"/>
      <c r="AE33" s="1199"/>
      <c r="AF33" s="1199"/>
      <c r="AG33" s="1199"/>
      <c r="AH33" s="1199"/>
      <c r="AI33" s="1199"/>
      <c r="AJ33" s="1199"/>
      <c r="AK33" s="1199"/>
      <c r="AL33" s="1199"/>
      <c r="AM33" s="1199"/>
      <c r="AN33" s="1199">
        <v>55713000</v>
      </c>
      <c r="AO33" s="1738"/>
      <c r="AP33" s="1199"/>
      <c r="AQ33" s="1199"/>
      <c r="AR33" s="1738"/>
    </row>
    <row r="34" spans="1:44" s="1111" customFormat="1" ht="12" customHeight="1">
      <c r="A34" s="1108" t="s">
        <v>745</v>
      </c>
      <c r="B34" s="1122" t="s">
        <v>746</v>
      </c>
      <c r="C34" s="1208">
        <f t="shared" si="7"/>
        <v>9302000</v>
      </c>
      <c r="D34" s="1106">
        <f t="shared" si="6"/>
        <v>9302000</v>
      </c>
      <c r="E34" s="1199"/>
      <c r="F34" s="1199"/>
      <c r="G34" s="1199"/>
      <c r="H34" s="1199"/>
      <c r="I34" s="1199"/>
      <c r="J34" s="1199"/>
      <c r="K34" s="1199"/>
      <c r="L34" s="1199"/>
      <c r="M34" s="1199"/>
      <c r="N34" s="1199"/>
      <c r="O34" s="1199"/>
      <c r="P34" s="1199"/>
      <c r="Q34" s="1199"/>
      <c r="R34" s="1199"/>
      <c r="S34" s="1199"/>
      <c r="T34" s="1199"/>
      <c r="U34" s="1199"/>
      <c r="V34" s="1199"/>
      <c r="W34" s="1199"/>
      <c r="X34" s="1199"/>
      <c r="Y34" s="1199"/>
      <c r="Z34" s="1199"/>
      <c r="AA34" s="1199"/>
      <c r="AB34" s="1199"/>
      <c r="AC34" s="1199"/>
      <c r="AD34" s="1199"/>
      <c r="AE34" s="1199"/>
      <c r="AF34" s="1199"/>
      <c r="AG34" s="1199"/>
      <c r="AH34" s="1199"/>
      <c r="AI34" s="1199"/>
      <c r="AJ34" s="1199"/>
      <c r="AK34" s="1199"/>
      <c r="AL34" s="1199"/>
      <c r="AM34" s="1199"/>
      <c r="AN34" s="1199">
        <v>9302000</v>
      </c>
      <c r="AO34" s="1738"/>
      <c r="AP34" s="1199"/>
      <c r="AQ34" s="1199"/>
      <c r="AR34" s="1738"/>
    </row>
    <row r="35" spans="1:44" s="1111" customFormat="1" ht="12" customHeight="1">
      <c r="A35" s="1108" t="s">
        <v>747</v>
      </c>
      <c r="B35" s="1122" t="s">
        <v>748</v>
      </c>
      <c r="C35" s="1208">
        <f t="shared" si="7"/>
        <v>167000</v>
      </c>
      <c r="D35" s="1106">
        <f t="shared" si="6"/>
        <v>167000</v>
      </c>
      <c r="E35" s="1199"/>
      <c r="F35" s="1199"/>
      <c r="G35" s="1199"/>
      <c r="H35" s="1199"/>
      <c r="I35" s="1199"/>
      <c r="J35" s="1199"/>
      <c r="K35" s="1199"/>
      <c r="L35" s="1199"/>
      <c r="M35" s="1199"/>
      <c r="N35" s="1199"/>
      <c r="O35" s="1199"/>
      <c r="P35" s="1199"/>
      <c r="Q35" s="1199"/>
      <c r="R35" s="1199"/>
      <c r="S35" s="1199"/>
      <c r="T35" s="1199"/>
      <c r="U35" s="1199"/>
      <c r="V35" s="1199"/>
      <c r="W35" s="1199"/>
      <c r="X35" s="1199"/>
      <c r="Y35" s="1199"/>
      <c r="Z35" s="1199"/>
      <c r="AA35" s="1199"/>
      <c r="AB35" s="1199"/>
      <c r="AC35" s="1199"/>
      <c r="AD35" s="1199"/>
      <c r="AE35" s="1199"/>
      <c r="AF35" s="1199"/>
      <c r="AG35" s="1199"/>
      <c r="AH35" s="1199"/>
      <c r="AI35" s="1199"/>
      <c r="AJ35" s="1199"/>
      <c r="AK35" s="1199"/>
      <c r="AL35" s="1199"/>
      <c r="AM35" s="1199"/>
      <c r="AN35" s="1199">
        <v>167000</v>
      </c>
      <c r="AO35" s="1738"/>
      <c r="AP35" s="1199"/>
      <c r="AQ35" s="1199"/>
      <c r="AR35" s="1738"/>
    </row>
    <row r="36" spans="1:44" s="1111" customFormat="1" ht="12" customHeight="1" thickBot="1">
      <c r="A36" s="1112" t="s">
        <v>749</v>
      </c>
      <c r="B36" s="1113" t="s">
        <v>280</v>
      </c>
      <c r="C36" s="1208">
        <f t="shared" si="7"/>
        <v>692000</v>
      </c>
      <c r="D36" s="1106">
        <f t="shared" si="6"/>
        <v>692000</v>
      </c>
      <c r="E36" s="1199"/>
      <c r="F36" s="1199"/>
      <c r="G36" s="1199"/>
      <c r="H36" s="1199"/>
      <c r="I36" s="1199"/>
      <c r="J36" s="1199"/>
      <c r="K36" s="1199"/>
      <c r="L36" s="1199"/>
      <c r="M36" s="1199"/>
      <c r="N36" s="1199"/>
      <c r="O36" s="1199"/>
      <c r="P36" s="1199"/>
      <c r="Q36" s="1199"/>
      <c r="R36" s="1199"/>
      <c r="S36" s="1199"/>
      <c r="T36" s="1199"/>
      <c r="U36" s="1199"/>
      <c r="V36" s="1199"/>
      <c r="W36" s="1199"/>
      <c r="X36" s="1199"/>
      <c r="Y36" s="1199"/>
      <c r="Z36" s="1199"/>
      <c r="AA36" s="1199"/>
      <c r="AB36" s="1199"/>
      <c r="AC36" s="1199"/>
      <c r="AD36" s="1199"/>
      <c r="AE36" s="1199"/>
      <c r="AF36" s="1199"/>
      <c r="AG36" s="1199"/>
      <c r="AH36" s="1199"/>
      <c r="AI36" s="1199"/>
      <c r="AJ36" s="1199"/>
      <c r="AK36" s="1199"/>
      <c r="AL36" s="1199"/>
      <c r="AM36" s="1199"/>
      <c r="AN36" s="1199">
        <v>692000</v>
      </c>
      <c r="AO36" s="1738"/>
      <c r="AP36" s="1199"/>
      <c r="AQ36" s="1199"/>
      <c r="AR36" s="1738"/>
    </row>
    <row r="37" spans="1:44" s="1111" customFormat="1" ht="12" customHeight="1" thickBot="1">
      <c r="A37" s="1099" t="s">
        <v>750</v>
      </c>
      <c r="B37" s="1100" t="s">
        <v>751</v>
      </c>
      <c r="C37" s="1101">
        <f>SUM(C38:C47)</f>
        <v>30163455</v>
      </c>
      <c r="D37" s="1102">
        <f>SUM(D38:D47)</f>
        <v>30163455</v>
      </c>
      <c r="E37" s="1199"/>
      <c r="F37" s="1199"/>
      <c r="G37" s="1199"/>
      <c r="H37" s="1199"/>
      <c r="I37" s="1199"/>
      <c r="J37" s="1199"/>
      <c r="K37" s="1199"/>
      <c r="L37" s="1199"/>
      <c r="M37" s="1199"/>
      <c r="N37" s="1199"/>
      <c r="O37" s="1199"/>
      <c r="P37" s="1199"/>
      <c r="Q37" s="1199"/>
      <c r="R37" s="1199"/>
      <c r="S37" s="1199"/>
      <c r="T37" s="1199"/>
      <c r="U37" s="1199"/>
      <c r="V37" s="1199"/>
      <c r="W37" s="1199"/>
      <c r="X37" s="1199"/>
      <c r="Y37" s="1199"/>
      <c r="Z37" s="1199"/>
      <c r="AA37" s="1199"/>
      <c r="AB37" s="1199"/>
      <c r="AC37" s="1199"/>
      <c r="AD37" s="1199"/>
      <c r="AE37" s="1199"/>
      <c r="AF37" s="1199"/>
      <c r="AG37" s="1199"/>
      <c r="AH37" s="1199"/>
      <c r="AI37" s="1199"/>
      <c r="AJ37" s="1199"/>
      <c r="AK37" s="1199"/>
      <c r="AL37" s="1199"/>
      <c r="AM37" s="1199"/>
      <c r="AN37" s="1199"/>
      <c r="AO37" s="1738"/>
      <c r="AP37" s="1199"/>
      <c r="AQ37" s="1199"/>
      <c r="AR37" s="1738"/>
    </row>
    <row r="38" spans="1:44" s="1111" customFormat="1" ht="12" customHeight="1">
      <c r="A38" s="1103" t="s">
        <v>752</v>
      </c>
      <c r="B38" s="1104" t="s">
        <v>753</v>
      </c>
      <c r="C38" s="1209">
        <f>SUM(E38:AO38)</f>
        <v>0</v>
      </c>
      <c r="D38" s="1106">
        <f t="shared" ref="D38:D47" si="8">C38+SUM(AP38:AR38)</f>
        <v>0</v>
      </c>
      <c r="E38" s="1199"/>
      <c r="F38" s="1199"/>
      <c r="G38" s="1199"/>
      <c r="H38" s="1199"/>
      <c r="I38" s="1199"/>
      <c r="J38" s="1199"/>
      <c r="K38" s="1199"/>
      <c r="L38" s="1199"/>
      <c r="M38" s="1199"/>
      <c r="N38" s="1199"/>
      <c r="O38" s="1199"/>
      <c r="P38" s="1199"/>
      <c r="Q38" s="1199"/>
      <c r="R38" s="1199"/>
      <c r="S38" s="1199"/>
      <c r="T38" s="1199"/>
      <c r="U38" s="1199"/>
      <c r="V38" s="1199"/>
      <c r="W38" s="1199"/>
      <c r="X38" s="1199"/>
      <c r="Y38" s="1199"/>
      <c r="Z38" s="1199"/>
      <c r="AA38" s="1199"/>
      <c r="AB38" s="1199"/>
      <c r="AC38" s="1199"/>
      <c r="AD38" s="1199"/>
      <c r="AE38" s="1199"/>
      <c r="AF38" s="1199"/>
      <c r="AG38" s="1199"/>
      <c r="AH38" s="1199"/>
      <c r="AI38" s="1199"/>
      <c r="AJ38" s="1199"/>
      <c r="AK38" s="1199"/>
      <c r="AL38" s="1199"/>
      <c r="AM38" s="1199"/>
      <c r="AN38" s="1199"/>
      <c r="AO38" s="1738"/>
      <c r="AP38" s="1199"/>
      <c r="AQ38" s="1199"/>
      <c r="AR38" s="1738"/>
    </row>
    <row r="39" spans="1:44" s="1111" customFormat="1" ht="12" customHeight="1">
      <c r="A39" s="1108" t="s">
        <v>754</v>
      </c>
      <c r="B39" s="1109" t="s">
        <v>755</v>
      </c>
      <c r="C39" s="1209">
        <f t="shared" ref="C39:C47" si="9">SUM(E39:AO39)</f>
        <v>611000</v>
      </c>
      <c r="D39" s="1106">
        <f t="shared" si="8"/>
        <v>611000</v>
      </c>
      <c r="E39" s="1199"/>
      <c r="F39" s="1199">
        <v>423000</v>
      </c>
      <c r="G39" s="1199"/>
      <c r="H39" s="1199"/>
      <c r="I39" s="1199"/>
      <c r="J39" s="1199"/>
      <c r="K39" s="1199"/>
      <c r="L39" s="1199"/>
      <c r="M39" s="1199"/>
      <c r="N39" s="1199"/>
      <c r="O39" s="1199"/>
      <c r="P39" s="1199"/>
      <c r="Q39" s="1199"/>
      <c r="R39" s="1199"/>
      <c r="S39" s="1199">
        <v>188000</v>
      </c>
      <c r="T39" s="1199"/>
      <c r="U39" s="1199"/>
      <c r="V39" s="1199"/>
      <c r="W39" s="1199"/>
      <c r="X39" s="1199"/>
      <c r="Y39" s="1199"/>
      <c r="Z39" s="1199"/>
      <c r="AA39" s="1199"/>
      <c r="AB39" s="1199"/>
      <c r="AC39" s="1199"/>
      <c r="AD39" s="1199"/>
      <c r="AE39" s="1199"/>
      <c r="AF39" s="1199"/>
      <c r="AG39" s="1199"/>
      <c r="AH39" s="1199"/>
      <c r="AI39" s="1199"/>
      <c r="AJ39" s="1199"/>
      <c r="AK39" s="1199"/>
      <c r="AL39" s="1199"/>
      <c r="AM39" s="1199"/>
      <c r="AN39" s="1199"/>
      <c r="AO39" s="1738"/>
      <c r="AP39" s="1199"/>
      <c r="AQ39" s="1199"/>
      <c r="AR39" s="1738"/>
    </row>
    <row r="40" spans="1:44" s="1111" customFormat="1" ht="12" customHeight="1">
      <c r="A40" s="1108" t="s">
        <v>756</v>
      </c>
      <c r="B40" s="1109" t="s">
        <v>757</v>
      </c>
      <c r="C40" s="1209">
        <f t="shared" si="9"/>
        <v>240000</v>
      </c>
      <c r="D40" s="1106">
        <f t="shared" si="8"/>
        <v>240000</v>
      </c>
      <c r="E40" s="1199">
        <v>240000</v>
      </c>
      <c r="F40" s="1199"/>
      <c r="G40" s="1199"/>
      <c r="H40" s="1199"/>
      <c r="I40" s="1199"/>
      <c r="J40" s="1199"/>
      <c r="K40" s="1199"/>
      <c r="L40" s="1199"/>
      <c r="M40" s="1199"/>
      <c r="N40" s="1199"/>
      <c r="O40" s="1199"/>
      <c r="P40" s="1199"/>
      <c r="Q40" s="1199"/>
      <c r="R40" s="1199"/>
      <c r="S40" s="1199"/>
      <c r="T40" s="1199"/>
      <c r="U40" s="1199"/>
      <c r="V40" s="1199"/>
      <c r="W40" s="1199"/>
      <c r="X40" s="1199"/>
      <c r="Y40" s="1199"/>
      <c r="Z40" s="1199"/>
      <c r="AA40" s="1199"/>
      <c r="AB40" s="1199"/>
      <c r="AC40" s="1199"/>
      <c r="AD40" s="1199"/>
      <c r="AE40" s="1199"/>
      <c r="AF40" s="1199"/>
      <c r="AG40" s="1199"/>
      <c r="AH40" s="1199"/>
      <c r="AI40" s="1199"/>
      <c r="AJ40" s="1199"/>
      <c r="AK40" s="1199"/>
      <c r="AL40" s="1199"/>
      <c r="AM40" s="1199"/>
      <c r="AN40" s="1199"/>
      <c r="AO40" s="1738"/>
      <c r="AP40" s="1199"/>
      <c r="AQ40" s="1199"/>
      <c r="AR40" s="1738"/>
    </row>
    <row r="41" spans="1:44" s="1111" customFormat="1" ht="12" customHeight="1">
      <c r="A41" s="1108" t="s">
        <v>758</v>
      </c>
      <c r="B41" s="1109" t="s">
        <v>759</v>
      </c>
      <c r="C41" s="1209">
        <f t="shared" si="9"/>
        <v>0</v>
      </c>
      <c r="D41" s="1106">
        <f t="shared" si="8"/>
        <v>0</v>
      </c>
      <c r="E41" s="1199"/>
      <c r="F41" s="1199"/>
      <c r="G41" s="1199"/>
      <c r="H41" s="1199"/>
      <c r="I41" s="1199"/>
      <c r="J41" s="1199"/>
      <c r="K41" s="1199"/>
      <c r="L41" s="1199"/>
      <c r="M41" s="1199"/>
      <c r="N41" s="1199"/>
      <c r="O41" s="1199"/>
      <c r="P41" s="1199"/>
      <c r="Q41" s="1199"/>
      <c r="R41" s="1199"/>
      <c r="S41" s="1199"/>
      <c r="T41" s="1199"/>
      <c r="U41" s="1199"/>
      <c r="V41" s="1199"/>
      <c r="W41" s="1199"/>
      <c r="X41" s="1199"/>
      <c r="Y41" s="1199"/>
      <c r="Z41" s="1199"/>
      <c r="AA41" s="1199"/>
      <c r="AB41" s="1199"/>
      <c r="AC41" s="1199"/>
      <c r="AD41" s="1199"/>
      <c r="AE41" s="1199"/>
      <c r="AF41" s="1199"/>
      <c r="AG41" s="1199"/>
      <c r="AH41" s="1199"/>
      <c r="AI41" s="1199"/>
      <c r="AJ41" s="1199"/>
      <c r="AK41" s="1199"/>
      <c r="AL41" s="1199"/>
      <c r="AM41" s="1199"/>
      <c r="AN41" s="1199"/>
      <c r="AO41" s="1738"/>
      <c r="AP41" s="1199"/>
      <c r="AQ41" s="1199"/>
      <c r="AR41" s="1738"/>
    </row>
    <row r="42" spans="1:44" s="1111" customFormat="1" ht="12" customHeight="1">
      <c r="A42" s="1108" t="s">
        <v>760</v>
      </c>
      <c r="B42" s="1109" t="s">
        <v>761</v>
      </c>
      <c r="C42" s="1209">
        <f t="shared" si="9"/>
        <v>0</v>
      </c>
      <c r="D42" s="1106">
        <f t="shared" si="8"/>
        <v>0</v>
      </c>
      <c r="E42" s="1199"/>
      <c r="F42" s="1199"/>
      <c r="G42" s="1199"/>
      <c r="H42" s="1199"/>
      <c r="I42" s="1199"/>
      <c r="J42" s="1199"/>
      <c r="K42" s="1199"/>
      <c r="L42" s="1199"/>
      <c r="M42" s="1199"/>
      <c r="N42" s="1199"/>
      <c r="O42" s="1199"/>
      <c r="P42" s="1199"/>
      <c r="Q42" s="1199"/>
      <c r="R42" s="1199"/>
      <c r="S42" s="1199"/>
      <c r="T42" s="1199"/>
      <c r="U42" s="1199"/>
      <c r="V42" s="1199"/>
      <c r="W42" s="1199"/>
      <c r="X42" s="1199"/>
      <c r="Y42" s="1199"/>
      <c r="Z42" s="1199"/>
      <c r="AA42" s="1199"/>
      <c r="AB42" s="1199"/>
      <c r="AC42" s="1199"/>
      <c r="AD42" s="1199"/>
      <c r="AE42" s="1199"/>
      <c r="AF42" s="1199"/>
      <c r="AG42" s="1199"/>
      <c r="AH42" s="1199"/>
      <c r="AI42" s="1199"/>
      <c r="AJ42" s="1199"/>
      <c r="AK42" s="1199"/>
      <c r="AL42" s="1199"/>
      <c r="AM42" s="1199"/>
      <c r="AN42" s="1199"/>
      <c r="AO42" s="1738"/>
      <c r="AP42" s="1199"/>
      <c r="AQ42" s="1199"/>
      <c r="AR42" s="1738"/>
    </row>
    <row r="43" spans="1:44" s="1111" customFormat="1" ht="12" customHeight="1">
      <c r="A43" s="1108" t="s">
        <v>762</v>
      </c>
      <c r="B43" s="1109" t="s">
        <v>763</v>
      </c>
      <c r="C43" s="1209">
        <f t="shared" si="9"/>
        <v>231000</v>
      </c>
      <c r="D43" s="1106">
        <f t="shared" si="8"/>
        <v>231000</v>
      </c>
      <c r="E43" s="1199">
        <v>65000</v>
      </c>
      <c r="F43" s="1199">
        <v>115000</v>
      </c>
      <c r="G43" s="1199"/>
      <c r="H43" s="1199"/>
      <c r="I43" s="1199"/>
      <c r="J43" s="1199"/>
      <c r="K43" s="1199"/>
      <c r="L43" s="1199"/>
      <c r="M43" s="1199"/>
      <c r="N43" s="1199"/>
      <c r="O43" s="1199"/>
      <c r="P43" s="1199"/>
      <c r="Q43" s="1199"/>
      <c r="R43" s="1199"/>
      <c r="S43" s="1199">
        <v>51000</v>
      </c>
      <c r="T43" s="1199"/>
      <c r="U43" s="1199"/>
      <c r="V43" s="1199"/>
      <c r="W43" s="1199"/>
      <c r="X43" s="1199"/>
      <c r="Y43" s="1199"/>
      <c r="Z43" s="1199"/>
      <c r="AA43" s="1199"/>
      <c r="AB43" s="1199"/>
      <c r="AC43" s="1199"/>
      <c r="AD43" s="1199"/>
      <c r="AE43" s="1199"/>
      <c r="AF43" s="1199"/>
      <c r="AG43" s="1199"/>
      <c r="AH43" s="1199"/>
      <c r="AI43" s="1199"/>
      <c r="AJ43" s="1199"/>
      <c r="AK43" s="1199"/>
      <c r="AL43" s="1199"/>
      <c r="AM43" s="1199"/>
      <c r="AN43" s="1199"/>
      <c r="AO43" s="1738"/>
      <c r="AP43" s="1199"/>
      <c r="AQ43" s="1199"/>
      <c r="AR43" s="1738"/>
    </row>
    <row r="44" spans="1:44" s="1111" customFormat="1" ht="12" customHeight="1">
      <c r="A44" s="1108" t="s">
        <v>764</v>
      </c>
      <c r="B44" s="1109" t="s">
        <v>765</v>
      </c>
      <c r="C44" s="1209">
        <f t="shared" si="9"/>
        <v>0</v>
      </c>
      <c r="D44" s="1106">
        <f t="shared" si="8"/>
        <v>0</v>
      </c>
      <c r="E44" s="1199"/>
      <c r="F44" s="1199"/>
      <c r="G44" s="1199"/>
      <c r="H44" s="1199"/>
      <c r="I44" s="1199"/>
      <c r="J44" s="1199"/>
      <c r="K44" s="1199"/>
      <c r="L44" s="1199"/>
      <c r="M44" s="1199"/>
      <c r="N44" s="1199"/>
      <c r="O44" s="1199"/>
      <c r="P44" s="1199"/>
      <c r="Q44" s="1199"/>
      <c r="R44" s="1199"/>
      <c r="S44" s="1199"/>
      <c r="T44" s="1199"/>
      <c r="U44" s="1199"/>
      <c r="V44" s="1199"/>
      <c r="W44" s="1199"/>
      <c r="X44" s="1199"/>
      <c r="Y44" s="1199"/>
      <c r="Z44" s="1199"/>
      <c r="AA44" s="1199"/>
      <c r="AB44" s="1199"/>
      <c r="AC44" s="1199"/>
      <c r="AD44" s="1199"/>
      <c r="AE44" s="1199"/>
      <c r="AF44" s="1199"/>
      <c r="AG44" s="1199"/>
      <c r="AH44" s="1199"/>
      <c r="AI44" s="1199"/>
      <c r="AJ44" s="1199"/>
      <c r="AK44" s="1199"/>
      <c r="AL44" s="1199"/>
      <c r="AM44" s="1199"/>
      <c r="AN44" s="1199"/>
      <c r="AO44" s="1738"/>
      <c r="AP44" s="1199"/>
      <c r="AQ44" s="1199"/>
      <c r="AR44" s="1738"/>
    </row>
    <row r="45" spans="1:44" s="1111" customFormat="1" ht="12" customHeight="1">
      <c r="A45" s="1108" t="s">
        <v>766</v>
      </c>
      <c r="B45" s="1109" t="s">
        <v>767</v>
      </c>
      <c r="C45" s="1209">
        <f t="shared" si="9"/>
        <v>5000</v>
      </c>
      <c r="D45" s="1106">
        <f t="shared" si="8"/>
        <v>5000</v>
      </c>
      <c r="E45" s="1199">
        <v>5000</v>
      </c>
      <c r="F45" s="1199"/>
      <c r="G45" s="1199"/>
      <c r="H45" s="1199"/>
      <c r="I45" s="1199"/>
      <c r="J45" s="1199"/>
      <c r="K45" s="1199"/>
      <c r="L45" s="1199"/>
      <c r="M45" s="1199"/>
      <c r="N45" s="1199"/>
      <c r="O45" s="1199"/>
      <c r="P45" s="1199"/>
      <c r="Q45" s="1199"/>
      <c r="R45" s="1199"/>
      <c r="S45" s="1199"/>
      <c r="T45" s="1199"/>
      <c r="U45" s="1199"/>
      <c r="V45" s="1199"/>
      <c r="W45" s="1199"/>
      <c r="X45" s="1199"/>
      <c r="Y45" s="1199"/>
      <c r="Z45" s="1199"/>
      <c r="AA45" s="1199"/>
      <c r="AB45" s="1199"/>
      <c r="AC45" s="1199"/>
      <c r="AD45" s="1199"/>
      <c r="AE45" s="1199"/>
      <c r="AF45" s="1199"/>
      <c r="AG45" s="1199"/>
      <c r="AH45" s="1199"/>
      <c r="AI45" s="1199"/>
      <c r="AJ45" s="1199"/>
      <c r="AK45" s="1199"/>
      <c r="AL45" s="1199"/>
      <c r="AM45" s="1199"/>
      <c r="AN45" s="1199"/>
      <c r="AO45" s="1738"/>
      <c r="AP45" s="1199"/>
      <c r="AQ45" s="1199"/>
      <c r="AR45" s="1738"/>
    </row>
    <row r="46" spans="1:44" s="1111" customFormat="1" ht="12" customHeight="1">
      <c r="A46" s="1108" t="s">
        <v>768</v>
      </c>
      <c r="B46" s="1109" t="s">
        <v>769</v>
      </c>
      <c r="C46" s="1209">
        <f t="shared" si="9"/>
        <v>0</v>
      </c>
      <c r="D46" s="1106">
        <f t="shared" si="8"/>
        <v>0</v>
      </c>
      <c r="E46" s="1199"/>
      <c r="F46" s="1199"/>
      <c r="G46" s="1199"/>
      <c r="H46" s="1199"/>
      <c r="I46" s="1199"/>
      <c r="J46" s="1199"/>
      <c r="K46" s="1199"/>
      <c r="L46" s="1199"/>
      <c r="M46" s="1199"/>
      <c r="N46" s="1199"/>
      <c r="O46" s="1199"/>
      <c r="P46" s="1199"/>
      <c r="Q46" s="1199"/>
      <c r="R46" s="1199"/>
      <c r="S46" s="1199"/>
      <c r="T46" s="1199"/>
      <c r="U46" s="1199"/>
      <c r="V46" s="1199"/>
      <c r="W46" s="1199"/>
      <c r="X46" s="1199"/>
      <c r="Y46" s="1199"/>
      <c r="Z46" s="1199"/>
      <c r="AA46" s="1199"/>
      <c r="AB46" s="1199"/>
      <c r="AC46" s="1199"/>
      <c r="AD46" s="1199"/>
      <c r="AE46" s="1199"/>
      <c r="AF46" s="1199"/>
      <c r="AG46" s="1199"/>
      <c r="AH46" s="1199"/>
      <c r="AI46" s="1199"/>
      <c r="AJ46" s="1199"/>
      <c r="AK46" s="1199"/>
      <c r="AL46" s="1199"/>
      <c r="AM46" s="1199"/>
      <c r="AN46" s="1199"/>
      <c r="AO46" s="1738"/>
      <c r="AP46" s="1199"/>
      <c r="AQ46" s="1199"/>
      <c r="AR46" s="1738"/>
    </row>
    <row r="47" spans="1:44" s="1111" customFormat="1" ht="12" customHeight="1" thickBot="1">
      <c r="A47" s="1112" t="s">
        <v>770</v>
      </c>
      <c r="B47" s="1113" t="s">
        <v>771</v>
      </c>
      <c r="C47" s="1209">
        <f t="shared" si="9"/>
        <v>29076455</v>
      </c>
      <c r="D47" s="1106">
        <f t="shared" si="8"/>
        <v>29076455</v>
      </c>
      <c r="E47" s="1199">
        <v>29076455</v>
      </c>
      <c r="F47" s="1199"/>
      <c r="G47" s="1199"/>
      <c r="H47" s="1199"/>
      <c r="I47" s="1199"/>
      <c r="J47" s="1199"/>
      <c r="K47" s="1199"/>
      <c r="L47" s="1199"/>
      <c r="M47" s="1199"/>
      <c r="N47" s="1199"/>
      <c r="O47" s="1199"/>
      <c r="P47" s="1199"/>
      <c r="Q47" s="1199"/>
      <c r="R47" s="1199"/>
      <c r="S47" s="1199"/>
      <c r="T47" s="1199"/>
      <c r="U47" s="1199"/>
      <c r="V47" s="1199"/>
      <c r="W47" s="1199"/>
      <c r="X47" s="1199"/>
      <c r="Y47" s="1199"/>
      <c r="Z47" s="1199"/>
      <c r="AA47" s="1199"/>
      <c r="AB47" s="1199"/>
      <c r="AC47" s="1199"/>
      <c r="AD47" s="1199"/>
      <c r="AE47" s="1199"/>
      <c r="AF47" s="1199"/>
      <c r="AG47" s="1199"/>
      <c r="AH47" s="1199"/>
      <c r="AI47" s="1199"/>
      <c r="AJ47" s="1199"/>
      <c r="AK47" s="1199"/>
      <c r="AL47" s="1199"/>
      <c r="AM47" s="1199"/>
      <c r="AN47" s="1199"/>
      <c r="AO47" s="1738"/>
      <c r="AP47" s="1199"/>
      <c r="AQ47" s="1199"/>
      <c r="AR47" s="1738"/>
    </row>
    <row r="48" spans="1:44" s="1111" customFormat="1" ht="12" customHeight="1" thickBot="1">
      <c r="A48" s="1099" t="s">
        <v>772</v>
      </c>
      <c r="B48" s="1100" t="s">
        <v>773</v>
      </c>
      <c r="C48" s="1101">
        <f>SUM(C49:C53)</f>
        <v>0</v>
      </c>
      <c r="D48" s="1102">
        <f>SUM(D49:D53)</f>
        <v>0</v>
      </c>
      <c r="E48" s="1199"/>
      <c r="F48" s="1199"/>
      <c r="G48" s="1199"/>
      <c r="H48" s="1199"/>
      <c r="I48" s="1199"/>
      <c r="J48" s="1199"/>
      <c r="K48" s="1199"/>
      <c r="L48" s="1199"/>
      <c r="M48" s="1199"/>
      <c r="N48" s="1199"/>
      <c r="O48" s="1199"/>
      <c r="P48" s="1199"/>
      <c r="Q48" s="1199"/>
      <c r="R48" s="1199"/>
      <c r="S48" s="1199"/>
      <c r="T48" s="1199"/>
      <c r="U48" s="1199"/>
      <c r="V48" s="1199"/>
      <c r="W48" s="1199"/>
      <c r="X48" s="1199"/>
      <c r="Y48" s="1199"/>
      <c r="Z48" s="1199"/>
      <c r="AA48" s="1199"/>
      <c r="AB48" s="1199"/>
      <c r="AC48" s="1199"/>
      <c r="AD48" s="1199"/>
      <c r="AE48" s="1199"/>
      <c r="AF48" s="1199"/>
      <c r="AG48" s="1199"/>
      <c r="AH48" s="1199"/>
      <c r="AI48" s="1199"/>
      <c r="AJ48" s="1199"/>
      <c r="AK48" s="1199"/>
      <c r="AL48" s="1199"/>
      <c r="AM48" s="1199"/>
      <c r="AN48" s="1199"/>
      <c r="AO48" s="1738"/>
      <c r="AP48" s="1199"/>
      <c r="AQ48" s="1199"/>
      <c r="AR48" s="1738"/>
    </row>
    <row r="49" spans="1:44" s="1111" customFormat="1" ht="12" customHeight="1">
      <c r="A49" s="1103" t="s">
        <v>774</v>
      </c>
      <c r="B49" s="1104" t="s">
        <v>775</v>
      </c>
      <c r="C49" s="1210">
        <f>SUM(E49:AO49)</f>
        <v>0</v>
      </c>
      <c r="D49" s="1106">
        <f t="shared" ref="D49:D53" si="10">C49+SUM(AP49:AR49)</f>
        <v>0</v>
      </c>
      <c r="E49" s="1199"/>
      <c r="F49" s="1199"/>
      <c r="G49" s="1199"/>
      <c r="H49" s="1199"/>
      <c r="I49" s="1199"/>
      <c r="J49" s="1199"/>
      <c r="K49" s="1199"/>
      <c r="L49" s="1199"/>
      <c r="M49" s="1199"/>
      <c r="N49" s="1199"/>
      <c r="O49" s="1199"/>
      <c r="P49" s="1199"/>
      <c r="Q49" s="1199"/>
      <c r="R49" s="1199"/>
      <c r="S49" s="1199"/>
      <c r="T49" s="1199"/>
      <c r="U49" s="1199"/>
      <c r="V49" s="1199"/>
      <c r="W49" s="1199"/>
      <c r="X49" s="1199"/>
      <c r="Y49" s="1199"/>
      <c r="Z49" s="1199"/>
      <c r="AA49" s="1199"/>
      <c r="AB49" s="1199"/>
      <c r="AC49" s="1199"/>
      <c r="AD49" s="1199"/>
      <c r="AE49" s="1199"/>
      <c r="AF49" s="1199"/>
      <c r="AG49" s="1199"/>
      <c r="AH49" s="1199"/>
      <c r="AI49" s="1199"/>
      <c r="AJ49" s="1199"/>
      <c r="AK49" s="1199"/>
      <c r="AL49" s="1199"/>
      <c r="AM49" s="1199"/>
      <c r="AN49" s="1199"/>
      <c r="AO49" s="1738"/>
      <c r="AP49" s="1199"/>
      <c r="AQ49" s="1199"/>
      <c r="AR49" s="1738"/>
    </row>
    <row r="50" spans="1:44" s="1111" customFormat="1" ht="12" customHeight="1">
      <c r="A50" s="1108" t="s">
        <v>776</v>
      </c>
      <c r="B50" s="1109" t="s">
        <v>655</v>
      </c>
      <c r="C50" s="1210">
        <f>SUM(E50:AO50)</f>
        <v>0</v>
      </c>
      <c r="D50" s="1106">
        <f t="shared" si="10"/>
        <v>0</v>
      </c>
      <c r="E50" s="1199"/>
      <c r="F50" s="1199"/>
      <c r="G50" s="1199"/>
      <c r="H50" s="1199"/>
      <c r="I50" s="1199"/>
      <c r="J50" s="1199"/>
      <c r="K50" s="1199"/>
      <c r="L50" s="1199"/>
      <c r="M50" s="1199"/>
      <c r="N50" s="1199"/>
      <c r="O50" s="1199"/>
      <c r="P50" s="1199"/>
      <c r="Q50" s="1199"/>
      <c r="R50" s="1199"/>
      <c r="S50" s="1199"/>
      <c r="T50" s="1199"/>
      <c r="U50" s="1199"/>
      <c r="V50" s="1199"/>
      <c r="W50" s="1199"/>
      <c r="X50" s="1199"/>
      <c r="Y50" s="1199"/>
      <c r="Z50" s="1199"/>
      <c r="AA50" s="1199"/>
      <c r="AB50" s="1199"/>
      <c r="AC50" s="1199"/>
      <c r="AD50" s="1199"/>
      <c r="AE50" s="1199"/>
      <c r="AF50" s="1199"/>
      <c r="AG50" s="1199"/>
      <c r="AH50" s="1199"/>
      <c r="AI50" s="1199"/>
      <c r="AJ50" s="1199"/>
      <c r="AK50" s="1199"/>
      <c r="AL50" s="1199"/>
      <c r="AM50" s="1199"/>
      <c r="AN50" s="1199"/>
      <c r="AO50" s="1738"/>
      <c r="AP50" s="1199"/>
      <c r="AQ50" s="1199"/>
      <c r="AR50" s="1738"/>
    </row>
    <row r="51" spans="1:44" s="1111" customFormat="1" ht="12" customHeight="1">
      <c r="A51" s="1108" t="s">
        <v>777</v>
      </c>
      <c r="B51" s="1109" t="s">
        <v>778</v>
      </c>
      <c r="C51" s="1210">
        <f>SUM(E51:AO51)</f>
        <v>0</v>
      </c>
      <c r="D51" s="1106">
        <f t="shared" si="10"/>
        <v>0</v>
      </c>
      <c r="E51" s="1199"/>
      <c r="F51" s="1199"/>
      <c r="G51" s="1199"/>
      <c r="H51" s="1199"/>
      <c r="I51" s="1199"/>
      <c r="J51" s="1199"/>
      <c r="K51" s="1199"/>
      <c r="L51" s="1199"/>
      <c r="M51" s="1199"/>
      <c r="N51" s="1199"/>
      <c r="O51" s="1199"/>
      <c r="P51" s="1199"/>
      <c r="Q51" s="1199"/>
      <c r="R51" s="1199"/>
      <c r="S51" s="1199"/>
      <c r="T51" s="1199"/>
      <c r="U51" s="1199"/>
      <c r="V51" s="1199"/>
      <c r="W51" s="1199"/>
      <c r="X51" s="1199"/>
      <c r="Y51" s="1199"/>
      <c r="Z51" s="1199"/>
      <c r="AA51" s="1199"/>
      <c r="AB51" s="1199"/>
      <c r="AC51" s="1199"/>
      <c r="AD51" s="1199"/>
      <c r="AE51" s="1199"/>
      <c r="AF51" s="1199"/>
      <c r="AG51" s="1199"/>
      <c r="AH51" s="1199"/>
      <c r="AI51" s="1199"/>
      <c r="AJ51" s="1199"/>
      <c r="AK51" s="1199"/>
      <c r="AL51" s="1199"/>
      <c r="AM51" s="1199"/>
      <c r="AN51" s="1199"/>
      <c r="AO51" s="1738"/>
      <c r="AP51" s="1199"/>
      <c r="AQ51" s="1199"/>
      <c r="AR51" s="1738"/>
    </row>
    <row r="52" spans="1:44" s="1111" customFormat="1" ht="12" customHeight="1">
      <c r="A52" s="1108" t="s">
        <v>779</v>
      </c>
      <c r="B52" s="1109" t="s">
        <v>780</v>
      </c>
      <c r="C52" s="1210">
        <f>SUM(E52:AO52)</f>
        <v>0</v>
      </c>
      <c r="D52" s="1106">
        <f t="shared" si="10"/>
        <v>0</v>
      </c>
      <c r="E52" s="1199"/>
      <c r="F52" s="1199"/>
      <c r="G52" s="1199"/>
      <c r="H52" s="1199"/>
      <c r="I52" s="1199"/>
      <c r="J52" s="1199"/>
      <c r="K52" s="1199"/>
      <c r="L52" s="1199"/>
      <c r="M52" s="1199"/>
      <c r="N52" s="1199"/>
      <c r="O52" s="1199"/>
      <c r="P52" s="1199"/>
      <c r="Q52" s="1199"/>
      <c r="R52" s="1199"/>
      <c r="S52" s="1199"/>
      <c r="T52" s="1199"/>
      <c r="U52" s="1199"/>
      <c r="V52" s="1199"/>
      <c r="W52" s="1199"/>
      <c r="X52" s="1199"/>
      <c r="Y52" s="1199"/>
      <c r="Z52" s="1199"/>
      <c r="AA52" s="1199"/>
      <c r="AB52" s="1199"/>
      <c r="AC52" s="1199"/>
      <c r="AD52" s="1199"/>
      <c r="AE52" s="1199"/>
      <c r="AF52" s="1199"/>
      <c r="AG52" s="1199"/>
      <c r="AH52" s="1199"/>
      <c r="AI52" s="1199"/>
      <c r="AJ52" s="1199"/>
      <c r="AK52" s="1199"/>
      <c r="AL52" s="1199"/>
      <c r="AM52" s="1199"/>
      <c r="AN52" s="1199"/>
      <c r="AO52" s="1738"/>
      <c r="AP52" s="1199"/>
      <c r="AQ52" s="1199"/>
      <c r="AR52" s="1738"/>
    </row>
    <row r="53" spans="1:44" s="1111" customFormat="1" ht="12" customHeight="1" thickBot="1">
      <c r="A53" s="1112" t="s">
        <v>781</v>
      </c>
      <c r="B53" s="1113" t="s">
        <v>782</v>
      </c>
      <c r="C53" s="1210">
        <f>SUM(E53:AO53)</f>
        <v>0</v>
      </c>
      <c r="D53" s="1106">
        <f t="shared" si="10"/>
        <v>0</v>
      </c>
      <c r="E53" s="1199"/>
      <c r="F53" s="1199"/>
      <c r="G53" s="1199"/>
      <c r="H53" s="1199"/>
      <c r="I53" s="1199"/>
      <c r="J53" s="1199"/>
      <c r="K53" s="1199"/>
      <c r="L53" s="1199"/>
      <c r="M53" s="1199"/>
      <c r="N53" s="1199"/>
      <c r="O53" s="1199"/>
      <c r="P53" s="1199"/>
      <c r="Q53" s="1199"/>
      <c r="R53" s="1199"/>
      <c r="S53" s="1199"/>
      <c r="T53" s="1199"/>
      <c r="U53" s="1199"/>
      <c r="V53" s="1199"/>
      <c r="W53" s="1199"/>
      <c r="X53" s="1199"/>
      <c r="Y53" s="1199"/>
      <c r="Z53" s="1199"/>
      <c r="AA53" s="1199"/>
      <c r="AB53" s="1199"/>
      <c r="AC53" s="1199"/>
      <c r="AD53" s="1199"/>
      <c r="AE53" s="1199"/>
      <c r="AF53" s="1199"/>
      <c r="AG53" s="1199"/>
      <c r="AH53" s="1199"/>
      <c r="AI53" s="1199"/>
      <c r="AJ53" s="1199"/>
      <c r="AK53" s="1199"/>
      <c r="AL53" s="1199"/>
      <c r="AM53" s="1199"/>
      <c r="AN53" s="1199"/>
      <c r="AO53" s="1738"/>
      <c r="AP53" s="1199"/>
      <c r="AQ53" s="1199"/>
      <c r="AR53" s="1738"/>
    </row>
    <row r="54" spans="1:44" s="1111" customFormat="1" ht="12" customHeight="1" thickBot="1">
      <c r="A54" s="1099" t="s">
        <v>783</v>
      </c>
      <c r="B54" s="1100" t="s">
        <v>784</v>
      </c>
      <c r="C54" s="1101">
        <f>SUM(C55:C57)</f>
        <v>0</v>
      </c>
      <c r="D54" s="1102">
        <f>SUM(D55:D57)</f>
        <v>0</v>
      </c>
      <c r="E54" s="1199"/>
      <c r="F54" s="1199"/>
      <c r="G54" s="1199"/>
      <c r="H54" s="1199"/>
      <c r="I54" s="1199"/>
      <c r="J54" s="1199"/>
      <c r="K54" s="1199"/>
      <c r="L54" s="1199"/>
      <c r="M54" s="1199"/>
      <c r="N54" s="1199"/>
      <c r="O54" s="1199"/>
      <c r="P54" s="1199"/>
      <c r="Q54" s="1199"/>
      <c r="R54" s="1199"/>
      <c r="S54" s="1199"/>
      <c r="T54" s="1199"/>
      <c r="U54" s="1199"/>
      <c r="V54" s="1199"/>
      <c r="W54" s="1199"/>
      <c r="X54" s="1199"/>
      <c r="Y54" s="1199"/>
      <c r="Z54" s="1199"/>
      <c r="AA54" s="1199"/>
      <c r="AB54" s="1199"/>
      <c r="AC54" s="1199"/>
      <c r="AD54" s="1199"/>
      <c r="AE54" s="1199"/>
      <c r="AF54" s="1199"/>
      <c r="AG54" s="1199"/>
      <c r="AH54" s="1199"/>
      <c r="AI54" s="1199"/>
      <c r="AJ54" s="1199"/>
      <c r="AK54" s="1199"/>
      <c r="AL54" s="1199"/>
      <c r="AM54" s="1199"/>
      <c r="AN54" s="1199"/>
      <c r="AO54" s="1738"/>
      <c r="AP54" s="1199"/>
      <c r="AQ54" s="1199"/>
      <c r="AR54" s="1738"/>
    </row>
    <row r="55" spans="1:44" s="1111" customFormat="1" ht="12" customHeight="1">
      <c r="A55" s="1103" t="s">
        <v>785</v>
      </c>
      <c r="B55" s="1104" t="s">
        <v>786</v>
      </c>
      <c r="C55" s="1207">
        <f>SUM(E55:AO55)</f>
        <v>0</v>
      </c>
      <c r="D55" s="1106">
        <f t="shared" ref="D55:D58" si="11">C55+SUM(AP55:AR55)</f>
        <v>0</v>
      </c>
      <c r="E55" s="1199"/>
      <c r="F55" s="1199"/>
      <c r="G55" s="1199"/>
      <c r="H55" s="1199"/>
      <c r="I55" s="1199"/>
      <c r="J55" s="1199"/>
      <c r="K55" s="1199"/>
      <c r="L55" s="1199"/>
      <c r="M55" s="1199"/>
      <c r="N55" s="1199"/>
      <c r="O55" s="1199"/>
      <c r="P55" s="1199"/>
      <c r="Q55" s="1199"/>
      <c r="R55" s="1199"/>
      <c r="S55" s="1199"/>
      <c r="T55" s="1199"/>
      <c r="U55" s="1199"/>
      <c r="V55" s="1199"/>
      <c r="W55" s="1199"/>
      <c r="X55" s="1199"/>
      <c r="Y55" s="1199"/>
      <c r="Z55" s="1199"/>
      <c r="AA55" s="1199"/>
      <c r="AB55" s="1199"/>
      <c r="AC55" s="1199"/>
      <c r="AD55" s="1199"/>
      <c r="AE55" s="1199"/>
      <c r="AF55" s="1199"/>
      <c r="AG55" s="1199"/>
      <c r="AH55" s="1199"/>
      <c r="AI55" s="1199"/>
      <c r="AJ55" s="1199"/>
      <c r="AK55" s="1199"/>
      <c r="AL55" s="1199"/>
      <c r="AM55" s="1199"/>
      <c r="AN55" s="1199"/>
      <c r="AO55" s="1738"/>
      <c r="AP55" s="1199"/>
      <c r="AQ55" s="1199"/>
      <c r="AR55" s="1738"/>
    </row>
    <row r="56" spans="1:44" s="1111" customFormat="1" ht="12" customHeight="1">
      <c r="A56" s="1108" t="s">
        <v>787</v>
      </c>
      <c r="B56" s="1109" t="s">
        <v>788</v>
      </c>
      <c r="C56" s="1207">
        <f>SUM(E56:AO56)</f>
        <v>0</v>
      </c>
      <c r="D56" s="1106">
        <f t="shared" si="11"/>
        <v>0</v>
      </c>
      <c r="E56" s="1199"/>
      <c r="F56" s="1199"/>
      <c r="G56" s="1199"/>
      <c r="H56" s="1199"/>
      <c r="I56" s="1199"/>
      <c r="J56" s="1199"/>
      <c r="K56" s="1199"/>
      <c r="L56" s="1199"/>
      <c r="M56" s="1199"/>
      <c r="N56" s="1199"/>
      <c r="O56" s="1199"/>
      <c r="P56" s="1199"/>
      <c r="Q56" s="1199"/>
      <c r="R56" s="1199"/>
      <c r="S56" s="1199"/>
      <c r="T56" s="1199"/>
      <c r="U56" s="1199"/>
      <c r="V56" s="1199"/>
      <c r="W56" s="1199"/>
      <c r="X56" s="1199"/>
      <c r="Y56" s="1199"/>
      <c r="Z56" s="1199"/>
      <c r="AA56" s="1199"/>
      <c r="AB56" s="1199"/>
      <c r="AC56" s="1199"/>
      <c r="AD56" s="1199"/>
      <c r="AE56" s="1199"/>
      <c r="AF56" s="1199"/>
      <c r="AG56" s="1199"/>
      <c r="AH56" s="1199"/>
      <c r="AI56" s="1199"/>
      <c r="AJ56" s="1199"/>
      <c r="AK56" s="1199"/>
      <c r="AL56" s="1199"/>
      <c r="AM56" s="1199"/>
      <c r="AN56" s="1199"/>
      <c r="AO56" s="1738"/>
      <c r="AP56" s="1199"/>
      <c r="AQ56" s="1199"/>
      <c r="AR56" s="1738"/>
    </row>
    <row r="57" spans="1:44" s="1111" customFormat="1" ht="12" customHeight="1">
      <c r="A57" s="1108" t="s">
        <v>789</v>
      </c>
      <c r="B57" s="1109" t="s">
        <v>790</v>
      </c>
      <c r="C57" s="1207">
        <f>SUM(E57:AO57)</f>
        <v>0</v>
      </c>
      <c r="D57" s="1106">
        <f t="shared" si="11"/>
        <v>0</v>
      </c>
      <c r="E57" s="1199"/>
      <c r="F57" s="1199"/>
      <c r="G57" s="1199"/>
      <c r="H57" s="1199"/>
      <c r="I57" s="1199"/>
      <c r="J57" s="1199"/>
      <c r="K57" s="1199"/>
      <c r="L57" s="1199"/>
      <c r="M57" s="1199"/>
      <c r="N57" s="1199"/>
      <c r="O57" s="1199"/>
      <c r="P57" s="1199"/>
      <c r="Q57" s="1199"/>
      <c r="R57" s="1199"/>
      <c r="S57" s="1199"/>
      <c r="T57" s="1199"/>
      <c r="U57" s="1199"/>
      <c r="V57" s="1199"/>
      <c r="W57" s="1199"/>
      <c r="X57" s="1199"/>
      <c r="Y57" s="1199"/>
      <c r="Z57" s="1199"/>
      <c r="AA57" s="1199"/>
      <c r="AB57" s="1199"/>
      <c r="AC57" s="1199"/>
      <c r="AD57" s="1199"/>
      <c r="AE57" s="1199"/>
      <c r="AF57" s="1199"/>
      <c r="AG57" s="1199"/>
      <c r="AH57" s="1199"/>
      <c r="AI57" s="1199"/>
      <c r="AJ57" s="1199"/>
      <c r="AK57" s="1199"/>
      <c r="AL57" s="1199"/>
      <c r="AM57" s="1199"/>
      <c r="AN57" s="1199"/>
      <c r="AO57" s="1738"/>
      <c r="AP57" s="1199"/>
      <c r="AQ57" s="1199"/>
      <c r="AR57" s="1738"/>
    </row>
    <row r="58" spans="1:44" s="1111" customFormat="1" ht="12" customHeight="1" thickBot="1">
      <c r="A58" s="1112" t="s">
        <v>791</v>
      </c>
      <c r="B58" s="1113" t="s">
        <v>792</v>
      </c>
      <c r="C58" s="1207">
        <f>SUM(E58:AO58)</f>
        <v>0</v>
      </c>
      <c r="D58" s="1106">
        <f t="shared" si="11"/>
        <v>0</v>
      </c>
      <c r="E58" s="1199"/>
      <c r="F58" s="1199"/>
      <c r="G58" s="1199"/>
      <c r="H58" s="1199"/>
      <c r="I58" s="1199"/>
      <c r="J58" s="1199"/>
      <c r="K58" s="1199"/>
      <c r="L58" s="1199"/>
      <c r="M58" s="1199"/>
      <c r="N58" s="1199"/>
      <c r="O58" s="1199"/>
      <c r="P58" s="1199"/>
      <c r="Q58" s="1199"/>
      <c r="R58" s="1199"/>
      <c r="S58" s="1199"/>
      <c r="T58" s="1199"/>
      <c r="U58" s="1199"/>
      <c r="V58" s="1199"/>
      <c r="W58" s="1199"/>
      <c r="X58" s="1199"/>
      <c r="Y58" s="1199"/>
      <c r="Z58" s="1199"/>
      <c r="AA58" s="1199"/>
      <c r="AB58" s="1199"/>
      <c r="AC58" s="1199"/>
      <c r="AD58" s="1199"/>
      <c r="AE58" s="1199"/>
      <c r="AF58" s="1199"/>
      <c r="AG58" s="1199"/>
      <c r="AH58" s="1199"/>
      <c r="AI58" s="1199"/>
      <c r="AJ58" s="1199"/>
      <c r="AK58" s="1199"/>
      <c r="AL58" s="1199"/>
      <c r="AM58" s="1199"/>
      <c r="AN58" s="1199"/>
      <c r="AO58" s="1738"/>
      <c r="AP58" s="1199"/>
      <c r="AQ58" s="1199"/>
      <c r="AR58" s="1738"/>
    </row>
    <row r="59" spans="1:44" s="1111" customFormat="1" ht="12" customHeight="1" thickBot="1">
      <c r="A59" s="1099" t="s">
        <v>793</v>
      </c>
      <c r="B59" s="1114" t="s">
        <v>794</v>
      </c>
      <c r="C59" s="1101">
        <f>SUM(C60:C62)</f>
        <v>0</v>
      </c>
      <c r="D59" s="1127">
        <f>SUM(D60:D62)</f>
        <v>0</v>
      </c>
      <c r="E59" s="1199"/>
      <c r="F59" s="1199"/>
      <c r="G59" s="1199"/>
      <c r="H59" s="1199"/>
      <c r="I59" s="1199"/>
      <c r="J59" s="1199"/>
      <c r="K59" s="1199"/>
      <c r="L59" s="1199"/>
      <c r="M59" s="1199"/>
      <c r="N59" s="1199"/>
      <c r="O59" s="1199"/>
      <c r="P59" s="1199"/>
      <c r="Q59" s="1199"/>
      <c r="R59" s="1199"/>
      <c r="S59" s="1199"/>
      <c r="T59" s="1199"/>
      <c r="U59" s="1199"/>
      <c r="V59" s="1199"/>
      <c r="W59" s="1199"/>
      <c r="X59" s="1199"/>
      <c r="Y59" s="1199"/>
      <c r="Z59" s="1199"/>
      <c r="AA59" s="1199"/>
      <c r="AB59" s="1199"/>
      <c r="AC59" s="1199"/>
      <c r="AD59" s="1199"/>
      <c r="AE59" s="1199"/>
      <c r="AF59" s="1199"/>
      <c r="AG59" s="1199"/>
      <c r="AH59" s="1199"/>
      <c r="AI59" s="1199"/>
      <c r="AJ59" s="1199"/>
      <c r="AK59" s="1199"/>
      <c r="AL59" s="1199"/>
      <c r="AM59" s="1199"/>
      <c r="AN59" s="1199"/>
      <c r="AO59" s="1738"/>
      <c r="AP59" s="1199"/>
      <c r="AQ59" s="1199"/>
      <c r="AR59" s="1738"/>
    </row>
    <row r="60" spans="1:44" s="1111" customFormat="1" ht="12" customHeight="1">
      <c r="A60" s="1103" t="s">
        <v>795</v>
      </c>
      <c r="B60" s="1104" t="s">
        <v>796</v>
      </c>
      <c r="C60" s="1211">
        <f>SUM(E60:AO60)</f>
        <v>0</v>
      </c>
      <c r="D60" s="1106">
        <f t="shared" ref="D60:D63" si="12">C60+SUM(AP60:AR60)</f>
        <v>0</v>
      </c>
      <c r="E60" s="1199"/>
      <c r="F60" s="1199"/>
      <c r="G60" s="1199"/>
      <c r="H60" s="1199"/>
      <c r="I60" s="1199"/>
      <c r="J60" s="1199"/>
      <c r="K60" s="1199"/>
      <c r="L60" s="1199"/>
      <c r="M60" s="1199"/>
      <c r="N60" s="1199"/>
      <c r="O60" s="1199"/>
      <c r="P60" s="1199"/>
      <c r="Q60" s="1199"/>
      <c r="R60" s="1199"/>
      <c r="S60" s="1199"/>
      <c r="T60" s="1199"/>
      <c r="U60" s="1199"/>
      <c r="V60" s="1199"/>
      <c r="W60" s="1199"/>
      <c r="X60" s="1199"/>
      <c r="Y60" s="1199"/>
      <c r="Z60" s="1199"/>
      <c r="AA60" s="1199"/>
      <c r="AB60" s="1199"/>
      <c r="AC60" s="1199"/>
      <c r="AD60" s="1199"/>
      <c r="AE60" s="1199"/>
      <c r="AF60" s="1199"/>
      <c r="AG60" s="1199"/>
      <c r="AH60" s="1199"/>
      <c r="AI60" s="1199"/>
      <c r="AJ60" s="1199"/>
      <c r="AK60" s="1199"/>
      <c r="AL60" s="1199"/>
      <c r="AM60" s="1199"/>
      <c r="AN60" s="1199"/>
      <c r="AO60" s="1738"/>
      <c r="AP60" s="1199"/>
      <c r="AQ60" s="1199"/>
      <c r="AR60" s="1738"/>
    </row>
    <row r="61" spans="1:44" s="1111" customFormat="1" ht="12" customHeight="1">
      <c r="A61" s="1108" t="s">
        <v>797</v>
      </c>
      <c r="B61" s="1109" t="s">
        <v>798</v>
      </c>
      <c r="C61" s="1211">
        <f>SUM(E61:AO61)</f>
        <v>0</v>
      </c>
      <c r="D61" s="1106">
        <f t="shared" si="12"/>
        <v>0</v>
      </c>
      <c r="E61" s="1199"/>
      <c r="F61" s="1199"/>
      <c r="G61" s="1199"/>
      <c r="H61" s="1199"/>
      <c r="I61" s="1199"/>
      <c r="J61" s="1199"/>
      <c r="K61" s="1199"/>
      <c r="L61" s="1199"/>
      <c r="M61" s="1199"/>
      <c r="N61" s="1199"/>
      <c r="O61" s="1199"/>
      <c r="P61" s="1199"/>
      <c r="Q61" s="1199"/>
      <c r="R61" s="1199"/>
      <c r="S61" s="1199"/>
      <c r="T61" s="1199"/>
      <c r="U61" s="1199"/>
      <c r="V61" s="1199"/>
      <c r="W61" s="1199"/>
      <c r="X61" s="1199"/>
      <c r="Y61" s="1199"/>
      <c r="Z61" s="1199"/>
      <c r="AA61" s="1199"/>
      <c r="AB61" s="1199"/>
      <c r="AC61" s="1199"/>
      <c r="AD61" s="1199"/>
      <c r="AE61" s="1199"/>
      <c r="AF61" s="1199"/>
      <c r="AG61" s="1199"/>
      <c r="AH61" s="1199"/>
      <c r="AI61" s="1199"/>
      <c r="AJ61" s="1199"/>
      <c r="AK61" s="1199"/>
      <c r="AL61" s="1199"/>
      <c r="AM61" s="1199"/>
      <c r="AN61" s="1199"/>
      <c r="AO61" s="1738"/>
      <c r="AP61" s="1199"/>
      <c r="AQ61" s="1199"/>
      <c r="AR61" s="1738"/>
    </row>
    <row r="62" spans="1:44" s="1111" customFormat="1" ht="12" customHeight="1">
      <c r="A62" s="1108" t="s">
        <v>799</v>
      </c>
      <c r="B62" s="1109" t="s">
        <v>800</v>
      </c>
      <c r="C62" s="1211">
        <f>SUM(E62:AO62)</f>
        <v>0</v>
      </c>
      <c r="D62" s="1106">
        <f t="shared" si="12"/>
        <v>0</v>
      </c>
      <c r="E62" s="1199"/>
      <c r="F62" s="1199"/>
      <c r="G62" s="1199"/>
      <c r="H62" s="1199"/>
      <c r="I62" s="1199"/>
      <c r="J62" s="1199"/>
      <c r="K62" s="1199"/>
      <c r="L62" s="1199"/>
      <c r="M62" s="1199"/>
      <c r="N62" s="1199"/>
      <c r="O62" s="1199"/>
      <c r="P62" s="1199"/>
      <c r="Q62" s="1199"/>
      <c r="R62" s="1199"/>
      <c r="S62" s="1199"/>
      <c r="T62" s="1199"/>
      <c r="U62" s="1199"/>
      <c r="V62" s="1199"/>
      <c r="W62" s="1199"/>
      <c r="X62" s="1199"/>
      <c r="Y62" s="1199"/>
      <c r="Z62" s="1199"/>
      <c r="AA62" s="1199"/>
      <c r="AB62" s="1199"/>
      <c r="AC62" s="1199"/>
      <c r="AD62" s="1199"/>
      <c r="AE62" s="1199"/>
      <c r="AF62" s="1199"/>
      <c r="AG62" s="1199"/>
      <c r="AH62" s="1199"/>
      <c r="AI62" s="1199"/>
      <c r="AJ62" s="1199"/>
      <c r="AK62" s="1199"/>
      <c r="AL62" s="1199"/>
      <c r="AM62" s="1199"/>
      <c r="AN62" s="1199"/>
      <c r="AO62" s="1738"/>
      <c r="AP62" s="1199"/>
      <c r="AQ62" s="1199"/>
      <c r="AR62" s="1738"/>
    </row>
    <row r="63" spans="1:44" s="1111" customFormat="1" ht="12" customHeight="1" thickBot="1">
      <c r="A63" s="1112" t="s">
        <v>801</v>
      </c>
      <c r="B63" s="1113" t="s">
        <v>802</v>
      </c>
      <c r="C63" s="1211">
        <f>SUM(E63:AO63)</f>
        <v>0</v>
      </c>
      <c r="D63" s="1106">
        <f t="shared" si="12"/>
        <v>0</v>
      </c>
      <c r="E63" s="1199"/>
      <c r="F63" s="1199"/>
      <c r="G63" s="1199"/>
      <c r="H63" s="1199"/>
      <c r="I63" s="1199"/>
      <c r="J63" s="1199"/>
      <c r="K63" s="1199"/>
      <c r="L63" s="1199"/>
      <c r="M63" s="1199"/>
      <c r="N63" s="1199"/>
      <c r="O63" s="1199"/>
      <c r="P63" s="1199"/>
      <c r="Q63" s="1199"/>
      <c r="R63" s="1199"/>
      <c r="S63" s="1199"/>
      <c r="T63" s="1199"/>
      <c r="U63" s="1199"/>
      <c r="V63" s="1199"/>
      <c r="W63" s="1199"/>
      <c r="X63" s="1199"/>
      <c r="Y63" s="1199"/>
      <c r="Z63" s="1199"/>
      <c r="AA63" s="1199"/>
      <c r="AB63" s="1199"/>
      <c r="AC63" s="1199"/>
      <c r="AD63" s="1199"/>
      <c r="AE63" s="1199"/>
      <c r="AF63" s="1199"/>
      <c r="AG63" s="1199"/>
      <c r="AH63" s="1199"/>
      <c r="AI63" s="1199"/>
      <c r="AJ63" s="1199"/>
      <c r="AK63" s="1199"/>
      <c r="AL63" s="1199"/>
      <c r="AM63" s="1199"/>
      <c r="AN63" s="1199"/>
      <c r="AO63" s="1738"/>
      <c r="AP63" s="1199"/>
      <c r="AQ63" s="1199"/>
      <c r="AR63" s="1738"/>
    </row>
    <row r="64" spans="1:44" s="1111" customFormat="1" ht="12" customHeight="1" thickBot="1">
      <c r="A64" s="1099" t="s">
        <v>803</v>
      </c>
      <c r="B64" s="1100" t="s">
        <v>804</v>
      </c>
      <c r="C64" s="1118">
        <f>+C8+C15+C22+C29+C37+C48+C54+C59</f>
        <v>230785138</v>
      </c>
      <c r="D64" s="1119">
        <f>+D8+D15+D22+D29+D37+D48+D54+D59</f>
        <v>230785138</v>
      </c>
      <c r="E64" s="1199"/>
      <c r="F64" s="1199"/>
      <c r="G64" s="1199"/>
      <c r="H64" s="1199"/>
      <c r="I64" s="1199"/>
      <c r="J64" s="1199"/>
      <c r="K64" s="1199"/>
      <c r="L64" s="1199"/>
      <c r="M64" s="1199"/>
      <c r="N64" s="1199"/>
      <c r="O64" s="1199"/>
      <c r="P64" s="1199"/>
      <c r="Q64" s="1199"/>
      <c r="R64" s="1199"/>
      <c r="S64" s="1199"/>
      <c r="T64" s="1199"/>
      <c r="U64" s="1199"/>
      <c r="V64" s="1199"/>
      <c r="W64" s="1199"/>
      <c r="X64" s="1199"/>
      <c r="Y64" s="1199"/>
      <c r="Z64" s="1199"/>
      <c r="AA64" s="1199"/>
      <c r="AB64" s="1199"/>
      <c r="AC64" s="1199"/>
      <c r="AD64" s="1199"/>
      <c r="AE64" s="1199"/>
      <c r="AF64" s="1199"/>
      <c r="AG64" s="1199"/>
      <c r="AH64" s="1199"/>
      <c r="AI64" s="1199"/>
      <c r="AJ64" s="1199"/>
      <c r="AK64" s="1199"/>
      <c r="AL64" s="1199"/>
      <c r="AM64" s="1199"/>
      <c r="AN64" s="1199"/>
      <c r="AO64" s="1738"/>
      <c r="AP64" s="1199"/>
      <c r="AQ64" s="1199"/>
      <c r="AR64" s="1738"/>
    </row>
    <row r="65" spans="1:44" s="1111" customFormat="1" ht="12" customHeight="1" thickBot="1">
      <c r="A65" s="1128" t="s">
        <v>805</v>
      </c>
      <c r="B65" s="1114" t="s">
        <v>806</v>
      </c>
      <c r="C65" s="1101">
        <f>SUM(C66:C68)</f>
        <v>0</v>
      </c>
      <c r="D65" s="1102">
        <f>SUM(D66:D68)</f>
        <v>0</v>
      </c>
      <c r="E65" s="1199"/>
      <c r="F65" s="1199"/>
      <c r="G65" s="1199"/>
      <c r="H65" s="1199"/>
      <c r="I65" s="1199"/>
      <c r="J65" s="1199"/>
      <c r="K65" s="1199"/>
      <c r="L65" s="1199"/>
      <c r="M65" s="1199"/>
      <c r="N65" s="1199"/>
      <c r="O65" s="1199"/>
      <c r="P65" s="1199"/>
      <c r="Q65" s="1199"/>
      <c r="R65" s="1199"/>
      <c r="S65" s="1199"/>
      <c r="T65" s="1199"/>
      <c r="U65" s="1199"/>
      <c r="V65" s="1199"/>
      <c r="W65" s="1199"/>
      <c r="X65" s="1199"/>
      <c r="Y65" s="1199"/>
      <c r="Z65" s="1199"/>
      <c r="AA65" s="1199"/>
      <c r="AB65" s="1199"/>
      <c r="AC65" s="1199"/>
      <c r="AD65" s="1199"/>
      <c r="AE65" s="1199"/>
      <c r="AF65" s="1199"/>
      <c r="AG65" s="1199"/>
      <c r="AH65" s="1199"/>
      <c r="AI65" s="1199"/>
      <c r="AJ65" s="1199"/>
      <c r="AK65" s="1199"/>
      <c r="AL65" s="1199"/>
      <c r="AM65" s="1199"/>
      <c r="AN65" s="1199"/>
      <c r="AO65" s="1738"/>
      <c r="AP65" s="1199"/>
      <c r="AQ65" s="1199"/>
      <c r="AR65" s="1738"/>
    </row>
    <row r="66" spans="1:44" s="1111" customFormat="1" ht="12" customHeight="1">
      <c r="A66" s="1103" t="s">
        <v>807</v>
      </c>
      <c r="B66" s="1104" t="s">
        <v>808</v>
      </c>
      <c r="C66" s="1211">
        <f>SUM(E66:AO66)</f>
        <v>0</v>
      </c>
      <c r="D66" s="1106">
        <f t="shared" ref="D66:D68" si="13">C66+SUM(AP66:AR66)</f>
        <v>0</v>
      </c>
      <c r="E66" s="1199"/>
      <c r="F66" s="1199"/>
      <c r="G66" s="1199"/>
      <c r="H66" s="1199"/>
      <c r="I66" s="1199"/>
      <c r="J66" s="1199"/>
      <c r="K66" s="1199"/>
      <c r="L66" s="1199"/>
      <c r="M66" s="1199"/>
      <c r="N66" s="1199"/>
      <c r="O66" s="1199"/>
      <c r="P66" s="1199"/>
      <c r="Q66" s="1199"/>
      <c r="R66" s="1199"/>
      <c r="S66" s="1199"/>
      <c r="T66" s="1199"/>
      <c r="U66" s="1199"/>
      <c r="V66" s="1199"/>
      <c r="W66" s="1199"/>
      <c r="X66" s="1199"/>
      <c r="Y66" s="1199"/>
      <c r="Z66" s="1199"/>
      <c r="AA66" s="1199"/>
      <c r="AB66" s="1199"/>
      <c r="AC66" s="1199"/>
      <c r="AD66" s="1199"/>
      <c r="AE66" s="1199"/>
      <c r="AF66" s="1199"/>
      <c r="AG66" s="1199"/>
      <c r="AH66" s="1199"/>
      <c r="AI66" s="1199"/>
      <c r="AJ66" s="1199"/>
      <c r="AK66" s="1199"/>
      <c r="AL66" s="1199"/>
      <c r="AM66" s="1199"/>
      <c r="AN66" s="1199"/>
      <c r="AO66" s="1738"/>
      <c r="AP66" s="1199"/>
      <c r="AQ66" s="1199"/>
      <c r="AR66" s="1738"/>
    </row>
    <row r="67" spans="1:44" s="1111" customFormat="1" ht="12" customHeight="1">
      <c r="A67" s="1108" t="s">
        <v>809</v>
      </c>
      <c r="B67" s="1109" t="s">
        <v>810</v>
      </c>
      <c r="C67" s="1211">
        <f>SUM(E67:AO67)</f>
        <v>0</v>
      </c>
      <c r="D67" s="1106">
        <f t="shared" si="13"/>
        <v>0</v>
      </c>
      <c r="E67" s="1199"/>
      <c r="F67" s="1199"/>
      <c r="G67" s="1199"/>
      <c r="H67" s="1199"/>
      <c r="I67" s="1199"/>
      <c r="J67" s="1199"/>
      <c r="K67" s="1199"/>
      <c r="L67" s="1199"/>
      <c r="M67" s="1199"/>
      <c r="N67" s="1199"/>
      <c r="O67" s="1199"/>
      <c r="P67" s="1199"/>
      <c r="Q67" s="1199"/>
      <c r="R67" s="1199"/>
      <c r="S67" s="1199"/>
      <c r="T67" s="1199"/>
      <c r="U67" s="1199"/>
      <c r="V67" s="1199"/>
      <c r="W67" s="1199"/>
      <c r="X67" s="1199"/>
      <c r="Y67" s="1199"/>
      <c r="Z67" s="1199"/>
      <c r="AA67" s="1199"/>
      <c r="AB67" s="1199"/>
      <c r="AC67" s="1199"/>
      <c r="AD67" s="1199"/>
      <c r="AE67" s="1199"/>
      <c r="AF67" s="1199"/>
      <c r="AG67" s="1199"/>
      <c r="AH67" s="1199"/>
      <c r="AI67" s="1199"/>
      <c r="AJ67" s="1199"/>
      <c r="AK67" s="1199"/>
      <c r="AL67" s="1199"/>
      <c r="AM67" s="1199"/>
      <c r="AN67" s="1199"/>
      <c r="AO67" s="1738"/>
      <c r="AP67" s="1199"/>
      <c r="AQ67" s="1199"/>
      <c r="AR67" s="1738"/>
    </row>
    <row r="68" spans="1:44" s="1111" customFormat="1" ht="12" customHeight="1" thickBot="1">
      <c r="A68" s="1112" t="s">
        <v>811</v>
      </c>
      <c r="B68" s="1129" t="s">
        <v>812</v>
      </c>
      <c r="C68" s="1211">
        <f>SUM(E68:AO68)</f>
        <v>0</v>
      </c>
      <c r="D68" s="1106">
        <f t="shared" si="13"/>
        <v>0</v>
      </c>
      <c r="E68" s="1199"/>
      <c r="F68" s="1199"/>
      <c r="G68" s="1199"/>
      <c r="H68" s="1199"/>
      <c r="I68" s="1199"/>
      <c r="J68" s="1199"/>
      <c r="K68" s="1199"/>
      <c r="L68" s="1199"/>
      <c r="M68" s="1199"/>
      <c r="N68" s="1199"/>
      <c r="O68" s="1199"/>
      <c r="P68" s="1199"/>
      <c r="Q68" s="1199"/>
      <c r="R68" s="1199"/>
      <c r="S68" s="1199"/>
      <c r="T68" s="1199"/>
      <c r="U68" s="1199"/>
      <c r="V68" s="1199"/>
      <c r="W68" s="1199"/>
      <c r="X68" s="1199"/>
      <c r="Y68" s="1199"/>
      <c r="Z68" s="1199"/>
      <c r="AA68" s="1199"/>
      <c r="AB68" s="1199"/>
      <c r="AC68" s="1199"/>
      <c r="AD68" s="1199"/>
      <c r="AE68" s="1199"/>
      <c r="AF68" s="1199"/>
      <c r="AG68" s="1199"/>
      <c r="AH68" s="1199"/>
      <c r="AI68" s="1199"/>
      <c r="AJ68" s="1199"/>
      <c r="AK68" s="1199"/>
      <c r="AL68" s="1199"/>
      <c r="AM68" s="1199"/>
      <c r="AN68" s="1199"/>
      <c r="AO68" s="1738"/>
      <c r="AP68" s="1199"/>
      <c r="AQ68" s="1199"/>
      <c r="AR68" s="1738"/>
    </row>
    <row r="69" spans="1:44" s="1111" customFormat="1" ht="12" customHeight="1" thickBot="1">
      <c r="A69" s="1128" t="s">
        <v>813</v>
      </c>
      <c r="B69" s="1114" t="s">
        <v>814</v>
      </c>
      <c r="C69" s="1101">
        <f>SUM(C70:C73)</f>
        <v>0</v>
      </c>
      <c r="D69" s="1102">
        <f>SUM(D70:D73)</f>
        <v>0</v>
      </c>
      <c r="E69" s="1199"/>
      <c r="F69" s="1199"/>
      <c r="G69" s="1199"/>
      <c r="H69" s="1199"/>
      <c r="I69" s="1199"/>
      <c r="J69" s="1199"/>
      <c r="K69" s="1199"/>
      <c r="L69" s="1199"/>
      <c r="M69" s="1199"/>
      <c r="N69" s="1199"/>
      <c r="O69" s="1199"/>
      <c r="P69" s="1199"/>
      <c r="Q69" s="1199"/>
      <c r="R69" s="1199"/>
      <c r="S69" s="1199"/>
      <c r="T69" s="1199"/>
      <c r="U69" s="1199"/>
      <c r="V69" s="1199"/>
      <c r="W69" s="1199"/>
      <c r="X69" s="1199"/>
      <c r="Y69" s="1199"/>
      <c r="Z69" s="1199"/>
      <c r="AA69" s="1199"/>
      <c r="AB69" s="1199"/>
      <c r="AC69" s="1199"/>
      <c r="AD69" s="1199"/>
      <c r="AE69" s="1199"/>
      <c r="AF69" s="1199"/>
      <c r="AG69" s="1199"/>
      <c r="AH69" s="1199"/>
      <c r="AI69" s="1199"/>
      <c r="AJ69" s="1199"/>
      <c r="AK69" s="1199"/>
      <c r="AL69" s="1199"/>
      <c r="AM69" s="1199"/>
      <c r="AN69" s="1199"/>
      <c r="AO69" s="1738"/>
      <c r="AP69" s="1199"/>
      <c r="AQ69" s="1199"/>
      <c r="AR69" s="1738"/>
    </row>
    <row r="70" spans="1:44" s="1111" customFormat="1" ht="12" customHeight="1">
      <c r="A70" s="1103" t="s">
        <v>815</v>
      </c>
      <c r="B70" s="1104" t="s">
        <v>816</v>
      </c>
      <c r="C70" s="1211">
        <f>SUM(E70:AO70)</f>
        <v>0</v>
      </c>
      <c r="D70" s="1106">
        <f t="shared" ref="D70:D73" si="14">C70+SUM(AP70:AR70)</f>
        <v>0</v>
      </c>
      <c r="E70" s="1199"/>
      <c r="F70" s="1199"/>
      <c r="G70" s="1199"/>
      <c r="H70" s="1199"/>
      <c r="I70" s="1199"/>
      <c r="J70" s="1199"/>
      <c r="K70" s="1199"/>
      <c r="L70" s="1199"/>
      <c r="M70" s="1199"/>
      <c r="N70" s="1199"/>
      <c r="O70" s="1199"/>
      <c r="P70" s="1199"/>
      <c r="Q70" s="1199"/>
      <c r="R70" s="1199"/>
      <c r="S70" s="1199"/>
      <c r="T70" s="1199"/>
      <c r="U70" s="1199"/>
      <c r="V70" s="1199"/>
      <c r="W70" s="1199"/>
      <c r="X70" s="1199"/>
      <c r="Y70" s="1199"/>
      <c r="Z70" s="1199"/>
      <c r="AA70" s="1199"/>
      <c r="AB70" s="1199"/>
      <c r="AC70" s="1199"/>
      <c r="AD70" s="1199"/>
      <c r="AE70" s="1199"/>
      <c r="AF70" s="1199"/>
      <c r="AG70" s="1199"/>
      <c r="AH70" s="1199"/>
      <c r="AI70" s="1199"/>
      <c r="AJ70" s="1199"/>
      <c r="AK70" s="1199"/>
      <c r="AL70" s="1199"/>
      <c r="AM70" s="1199"/>
      <c r="AN70" s="1199"/>
      <c r="AO70" s="1738"/>
      <c r="AP70" s="1199"/>
      <c r="AQ70" s="1199"/>
      <c r="AR70" s="1738"/>
    </row>
    <row r="71" spans="1:44" s="1111" customFormat="1" ht="12" customHeight="1">
      <c r="A71" s="1108" t="s">
        <v>817</v>
      </c>
      <c r="B71" s="1109" t="s">
        <v>818</v>
      </c>
      <c r="C71" s="1211">
        <f>SUM(E71:AO71)</f>
        <v>0</v>
      </c>
      <c r="D71" s="1106">
        <f t="shared" si="14"/>
        <v>0</v>
      </c>
      <c r="E71" s="1199"/>
      <c r="F71" s="1199"/>
      <c r="G71" s="1199"/>
      <c r="H71" s="1199"/>
      <c r="I71" s="1199"/>
      <c r="J71" s="1199"/>
      <c r="K71" s="1199"/>
      <c r="L71" s="1199"/>
      <c r="M71" s="1199"/>
      <c r="N71" s="1199"/>
      <c r="O71" s="1199"/>
      <c r="P71" s="1199"/>
      <c r="Q71" s="1199"/>
      <c r="R71" s="1199"/>
      <c r="S71" s="1199"/>
      <c r="T71" s="1199"/>
      <c r="U71" s="1199"/>
      <c r="V71" s="1199"/>
      <c r="W71" s="1199"/>
      <c r="X71" s="1199"/>
      <c r="Y71" s="1199"/>
      <c r="Z71" s="1199"/>
      <c r="AA71" s="1199"/>
      <c r="AB71" s="1199"/>
      <c r="AC71" s="1199"/>
      <c r="AD71" s="1199"/>
      <c r="AE71" s="1199"/>
      <c r="AF71" s="1199"/>
      <c r="AG71" s="1199"/>
      <c r="AH71" s="1199"/>
      <c r="AI71" s="1199"/>
      <c r="AJ71" s="1199"/>
      <c r="AK71" s="1199"/>
      <c r="AL71" s="1199"/>
      <c r="AM71" s="1199"/>
      <c r="AN71" s="1199"/>
      <c r="AO71" s="1738"/>
      <c r="AP71" s="1199"/>
      <c r="AQ71" s="1199"/>
      <c r="AR71" s="1738"/>
    </row>
    <row r="72" spans="1:44" s="1111" customFormat="1" ht="12" customHeight="1">
      <c r="A72" s="1108" t="s">
        <v>819</v>
      </c>
      <c r="B72" s="1109" t="s">
        <v>820</v>
      </c>
      <c r="C72" s="1211">
        <f>SUM(E72:AO72)</f>
        <v>0</v>
      </c>
      <c r="D72" s="1106">
        <f t="shared" si="14"/>
        <v>0</v>
      </c>
      <c r="E72" s="1199"/>
      <c r="F72" s="1199"/>
      <c r="G72" s="1199"/>
      <c r="H72" s="1199"/>
      <c r="I72" s="1199"/>
      <c r="J72" s="1199"/>
      <c r="K72" s="1199"/>
      <c r="L72" s="1199"/>
      <c r="M72" s="1199"/>
      <c r="N72" s="1199"/>
      <c r="O72" s="1199"/>
      <c r="P72" s="1199"/>
      <c r="Q72" s="1199"/>
      <c r="R72" s="1199"/>
      <c r="S72" s="1199"/>
      <c r="T72" s="1199"/>
      <c r="U72" s="1199"/>
      <c r="V72" s="1199"/>
      <c r="W72" s="1199"/>
      <c r="X72" s="1199"/>
      <c r="Y72" s="1199"/>
      <c r="Z72" s="1199"/>
      <c r="AA72" s="1199"/>
      <c r="AB72" s="1199"/>
      <c r="AC72" s="1199"/>
      <c r="AD72" s="1199"/>
      <c r="AE72" s="1199"/>
      <c r="AF72" s="1199"/>
      <c r="AG72" s="1199"/>
      <c r="AH72" s="1199"/>
      <c r="AI72" s="1199"/>
      <c r="AJ72" s="1199"/>
      <c r="AK72" s="1199"/>
      <c r="AL72" s="1199"/>
      <c r="AM72" s="1199"/>
      <c r="AN72" s="1199"/>
      <c r="AO72" s="1738"/>
      <c r="AP72" s="1199"/>
      <c r="AQ72" s="1199"/>
      <c r="AR72" s="1738"/>
    </row>
    <row r="73" spans="1:44" s="1111" customFormat="1" ht="12" customHeight="1" thickBot="1">
      <c r="A73" s="1130" t="s">
        <v>821</v>
      </c>
      <c r="B73" s="1131" t="s">
        <v>822</v>
      </c>
      <c r="C73" s="1211">
        <f>SUM(E73:AO73)</f>
        <v>0</v>
      </c>
      <c r="D73" s="1106">
        <f t="shared" si="14"/>
        <v>0</v>
      </c>
      <c r="E73" s="1199"/>
      <c r="F73" s="1199"/>
      <c r="G73" s="1199"/>
      <c r="H73" s="1199"/>
      <c r="I73" s="1199"/>
      <c r="J73" s="1199"/>
      <c r="K73" s="1199"/>
      <c r="L73" s="1199"/>
      <c r="M73" s="1199"/>
      <c r="N73" s="1199"/>
      <c r="O73" s="1199"/>
      <c r="P73" s="1199"/>
      <c r="Q73" s="1199"/>
      <c r="R73" s="1199"/>
      <c r="S73" s="1199"/>
      <c r="T73" s="1199"/>
      <c r="U73" s="1199"/>
      <c r="V73" s="1199"/>
      <c r="W73" s="1199"/>
      <c r="X73" s="1199"/>
      <c r="Y73" s="1199"/>
      <c r="Z73" s="1199"/>
      <c r="AA73" s="1199"/>
      <c r="AB73" s="1199"/>
      <c r="AC73" s="1199"/>
      <c r="AD73" s="1199"/>
      <c r="AE73" s="1199"/>
      <c r="AF73" s="1199"/>
      <c r="AG73" s="1199"/>
      <c r="AH73" s="1199"/>
      <c r="AI73" s="1199"/>
      <c r="AJ73" s="1199"/>
      <c r="AK73" s="1199"/>
      <c r="AL73" s="1199"/>
      <c r="AM73" s="1199"/>
      <c r="AN73" s="1199"/>
      <c r="AO73" s="1738"/>
      <c r="AP73" s="1199"/>
      <c r="AQ73" s="1199"/>
      <c r="AR73" s="1738"/>
    </row>
    <row r="74" spans="1:44" s="1111" customFormat="1" ht="12" customHeight="1" thickBot="1">
      <c r="A74" s="1128" t="s">
        <v>823</v>
      </c>
      <c r="B74" s="1114" t="s">
        <v>824</v>
      </c>
      <c r="C74" s="1101">
        <f>SUM(C75:C76)</f>
        <v>23805101</v>
      </c>
      <c r="D74" s="1102">
        <f>SUM(D75:D76)</f>
        <v>50071924</v>
      </c>
      <c r="E74" s="1199"/>
      <c r="F74" s="1199"/>
      <c r="G74" s="1199"/>
      <c r="H74" s="1199"/>
      <c r="I74" s="1199"/>
      <c r="J74" s="1199"/>
      <c r="K74" s="1199"/>
      <c r="L74" s="1199"/>
      <c r="M74" s="1199"/>
      <c r="N74" s="1199"/>
      <c r="O74" s="1199"/>
      <c r="P74" s="1199"/>
      <c r="Q74" s="1199"/>
      <c r="R74" s="1199"/>
      <c r="S74" s="1199"/>
      <c r="T74" s="1199"/>
      <c r="U74" s="1199"/>
      <c r="V74" s="1199"/>
      <c r="W74" s="1199"/>
      <c r="X74" s="1199"/>
      <c r="Y74" s="1199"/>
      <c r="Z74" s="1199"/>
      <c r="AA74" s="1199"/>
      <c r="AB74" s="1199"/>
      <c r="AC74" s="1199"/>
      <c r="AD74" s="1199"/>
      <c r="AE74" s="1199"/>
      <c r="AF74" s="1199"/>
      <c r="AG74" s="1199"/>
      <c r="AH74" s="1199"/>
      <c r="AI74" s="1199"/>
      <c r="AJ74" s="1199"/>
      <c r="AK74" s="1199"/>
      <c r="AL74" s="1199"/>
      <c r="AM74" s="1199"/>
      <c r="AN74" s="1199"/>
      <c r="AO74" s="1738"/>
      <c r="AP74" s="1199"/>
      <c r="AQ74" s="1199"/>
      <c r="AR74" s="1738"/>
    </row>
    <row r="75" spans="1:44" s="1111" customFormat="1" ht="12" customHeight="1">
      <c r="A75" s="1103" t="s">
        <v>825</v>
      </c>
      <c r="B75" s="1104" t="s">
        <v>826</v>
      </c>
      <c r="C75" s="1211">
        <f>SUM(E75:AO75)</f>
        <v>23805101</v>
      </c>
      <c r="D75" s="1106">
        <f t="shared" ref="D75:D76" si="15">C75+SUM(AP75:AR75)</f>
        <v>50071924</v>
      </c>
      <c r="E75" s="1199"/>
      <c r="F75" s="1199"/>
      <c r="G75" s="1199"/>
      <c r="H75" s="1199"/>
      <c r="I75" s="1199"/>
      <c r="J75" s="1199"/>
      <c r="K75" s="1199"/>
      <c r="L75" s="1199">
        <v>23805101</v>
      </c>
      <c r="M75" s="1199"/>
      <c r="N75" s="1199"/>
      <c r="O75" s="1199"/>
      <c r="P75" s="1199"/>
      <c r="Q75" s="1199"/>
      <c r="R75" s="1199"/>
      <c r="S75" s="1199"/>
      <c r="T75" s="1199"/>
      <c r="U75" s="1199"/>
      <c r="V75" s="1199"/>
      <c r="W75" s="1199"/>
      <c r="X75" s="1199"/>
      <c r="Y75" s="1199"/>
      <c r="Z75" s="1199"/>
      <c r="AA75" s="1199"/>
      <c r="AB75" s="1199"/>
      <c r="AC75" s="1199"/>
      <c r="AD75" s="1199"/>
      <c r="AE75" s="1199"/>
      <c r="AF75" s="1199"/>
      <c r="AG75" s="1199"/>
      <c r="AH75" s="1199"/>
      <c r="AI75" s="1199"/>
      <c r="AJ75" s="1199"/>
      <c r="AK75" s="1199"/>
      <c r="AL75" s="1199"/>
      <c r="AM75" s="1199"/>
      <c r="AN75" s="1199"/>
      <c r="AO75" s="1738"/>
      <c r="AP75" s="1199"/>
      <c r="AQ75" s="1199"/>
      <c r="AR75" s="1738">
        <v>26266823</v>
      </c>
    </row>
    <row r="76" spans="1:44" s="1111" customFormat="1" ht="12" customHeight="1" thickBot="1">
      <c r="A76" s="1112" t="s">
        <v>827</v>
      </c>
      <c r="B76" s="1113" t="s">
        <v>828</v>
      </c>
      <c r="C76" s="1211">
        <f>SUM(E76:AO76)</f>
        <v>0</v>
      </c>
      <c r="D76" s="1106">
        <f t="shared" si="15"/>
        <v>0</v>
      </c>
      <c r="E76" s="1199"/>
      <c r="F76" s="1199"/>
      <c r="G76" s="1199"/>
      <c r="H76" s="1199"/>
      <c r="I76" s="1199"/>
      <c r="J76" s="1199"/>
      <c r="K76" s="1199"/>
      <c r="L76" s="1199"/>
      <c r="M76" s="1199"/>
      <c r="N76" s="1199"/>
      <c r="O76" s="1199"/>
      <c r="P76" s="1199"/>
      <c r="Q76" s="1199"/>
      <c r="R76" s="1199"/>
      <c r="S76" s="1199"/>
      <c r="T76" s="1199"/>
      <c r="U76" s="1199"/>
      <c r="V76" s="1199"/>
      <c r="W76" s="1199"/>
      <c r="X76" s="1199"/>
      <c r="Y76" s="1199"/>
      <c r="Z76" s="1199"/>
      <c r="AA76" s="1199"/>
      <c r="AB76" s="1199"/>
      <c r="AC76" s="1199"/>
      <c r="AD76" s="1199"/>
      <c r="AE76" s="1199"/>
      <c r="AF76" s="1199"/>
      <c r="AG76" s="1199"/>
      <c r="AH76" s="1199"/>
      <c r="AI76" s="1199"/>
      <c r="AJ76" s="1199"/>
      <c r="AK76" s="1199"/>
      <c r="AL76" s="1199"/>
      <c r="AM76" s="1199"/>
      <c r="AN76" s="1199"/>
      <c r="AO76" s="1738"/>
      <c r="AP76" s="1199"/>
      <c r="AQ76" s="1199"/>
      <c r="AR76" s="1738"/>
    </row>
    <row r="77" spans="1:44" s="1107" customFormat="1" ht="12" customHeight="1" thickBot="1">
      <c r="A77" s="1128" t="s">
        <v>829</v>
      </c>
      <c r="B77" s="1114" t="s">
        <v>830</v>
      </c>
      <c r="C77" s="1101">
        <f>SUM(C78:C80)</f>
        <v>0</v>
      </c>
      <c r="D77" s="1102">
        <f>SUM(D78:D80)</f>
        <v>0</v>
      </c>
      <c r="E77" s="1199"/>
      <c r="F77" s="1199"/>
      <c r="G77" s="1199"/>
      <c r="H77" s="1199"/>
      <c r="I77" s="1199"/>
      <c r="J77" s="1199"/>
      <c r="K77" s="1199"/>
      <c r="L77" s="1199"/>
      <c r="M77" s="1199"/>
      <c r="N77" s="1199"/>
      <c r="O77" s="1199"/>
      <c r="P77" s="1199"/>
      <c r="Q77" s="1199"/>
      <c r="R77" s="1199"/>
      <c r="S77" s="1199"/>
      <c r="T77" s="1199"/>
      <c r="U77" s="1199"/>
      <c r="V77" s="1199"/>
      <c r="W77" s="1199"/>
      <c r="X77" s="1199"/>
      <c r="Y77" s="1199"/>
      <c r="Z77" s="1206"/>
      <c r="AA77" s="1206"/>
      <c r="AB77" s="1206"/>
      <c r="AC77" s="1206"/>
      <c r="AD77" s="1206"/>
      <c r="AE77" s="1206"/>
      <c r="AF77" s="1206"/>
      <c r="AG77" s="1206"/>
      <c r="AH77" s="1206"/>
      <c r="AI77" s="1206"/>
      <c r="AJ77" s="1206"/>
      <c r="AK77" s="1206"/>
      <c r="AL77" s="1206"/>
      <c r="AM77" s="1206"/>
      <c r="AN77" s="1206"/>
      <c r="AO77" s="1746"/>
      <c r="AP77" s="1199"/>
      <c r="AQ77" s="1199"/>
      <c r="AR77" s="1738"/>
    </row>
    <row r="78" spans="1:44" s="1111" customFormat="1" ht="12" customHeight="1">
      <c r="A78" s="1103" t="s">
        <v>831</v>
      </c>
      <c r="B78" s="1104" t="s">
        <v>832</v>
      </c>
      <c r="C78" s="1211">
        <f>SUM(E78:AO78)</f>
        <v>0</v>
      </c>
      <c r="D78" s="1106">
        <f t="shared" ref="D78:D80" si="16">C78+SUM(AP78:AR78)</f>
        <v>0</v>
      </c>
      <c r="E78" s="1199"/>
      <c r="F78" s="1199"/>
      <c r="G78" s="1199"/>
      <c r="H78" s="1199"/>
      <c r="I78" s="1199"/>
      <c r="J78" s="1199"/>
      <c r="K78" s="1199"/>
      <c r="L78" s="1199"/>
      <c r="M78" s="1199"/>
      <c r="N78" s="1199"/>
      <c r="O78" s="1199"/>
      <c r="P78" s="1199"/>
      <c r="Q78" s="1199"/>
      <c r="R78" s="1199"/>
      <c r="S78" s="1199"/>
      <c r="T78" s="1199"/>
      <c r="U78" s="1199"/>
      <c r="V78" s="1199"/>
      <c r="W78" s="1199"/>
      <c r="X78" s="1199"/>
      <c r="Y78" s="1199"/>
      <c r="Z78" s="1199"/>
      <c r="AA78" s="1199"/>
      <c r="AB78" s="1199"/>
      <c r="AC78" s="1199"/>
      <c r="AD78" s="1199"/>
      <c r="AE78" s="1199"/>
      <c r="AF78" s="1199"/>
      <c r="AG78" s="1199"/>
      <c r="AH78" s="1199"/>
      <c r="AI78" s="1199"/>
      <c r="AJ78" s="1199"/>
      <c r="AK78" s="1199"/>
      <c r="AL78" s="1199"/>
      <c r="AM78" s="1199"/>
      <c r="AN78" s="1199"/>
      <c r="AO78" s="1738"/>
      <c r="AP78" s="1199"/>
      <c r="AQ78" s="1199"/>
      <c r="AR78" s="1738"/>
    </row>
    <row r="79" spans="1:44" s="1111" customFormat="1" ht="12" customHeight="1">
      <c r="A79" s="1108" t="s">
        <v>833</v>
      </c>
      <c r="B79" s="1109" t="s">
        <v>834</v>
      </c>
      <c r="C79" s="1211">
        <f>SUM(E79:AO79)</f>
        <v>0</v>
      </c>
      <c r="D79" s="1106">
        <f t="shared" si="16"/>
        <v>0</v>
      </c>
      <c r="E79" s="1199"/>
      <c r="F79" s="1199"/>
      <c r="G79" s="1199"/>
      <c r="H79" s="1199"/>
      <c r="I79" s="1199"/>
      <c r="J79" s="1199"/>
      <c r="K79" s="1199"/>
      <c r="L79" s="1199"/>
      <c r="M79" s="1199"/>
      <c r="N79" s="1199"/>
      <c r="O79" s="1199"/>
      <c r="P79" s="1199"/>
      <c r="Q79" s="1199"/>
      <c r="R79" s="1199"/>
      <c r="S79" s="1199"/>
      <c r="T79" s="1199"/>
      <c r="U79" s="1199"/>
      <c r="V79" s="1199"/>
      <c r="W79" s="1199"/>
      <c r="X79" s="1199"/>
      <c r="Y79" s="1199"/>
      <c r="Z79" s="1199"/>
      <c r="AA79" s="1199"/>
      <c r="AB79" s="1199"/>
      <c r="AC79" s="1199"/>
      <c r="AD79" s="1199"/>
      <c r="AE79" s="1199"/>
      <c r="AF79" s="1199"/>
      <c r="AG79" s="1199"/>
      <c r="AH79" s="1199"/>
      <c r="AI79" s="1199"/>
      <c r="AJ79" s="1199"/>
      <c r="AK79" s="1199"/>
      <c r="AL79" s="1199"/>
      <c r="AM79" s="1199"/>
      <c r="AN79" s="1199"/>
      <c r="AO79" s="1738"/>
      <c r="AP79" s="1199"/>
      <c r="AQ79" s="1199"/>
      <c r="AR79" s="1738"/>
    </row>
    <row r="80" spans="1:44" s="1111" customFormat="1" ht="12" customHeight="1" thickBot="1">
      <c r="A80" s="1112" t="s">
        <v>835</v>
      </c>
      <c r="B80" s="1113" t="s">
        <v>836</v>
      </c>
      <c r="C80" s="1211">
        <f>SUM(E80:AO80)</f>
        <v>0</v>
      </c>
      <c r="D80" s="1106">
        <f t="shared" si="16"/>
        <v>0</v>
      </c>
      <c r="E80" s="1199"/>
      <c r="F80" s="1199"/>
      <c r="G80" s="1199"/>
      <c r="H80" s="1199"/>
      <c r="I80" s="1199"/>
      <c r="J80" s="1199"/>
      <c r="K80" s="1199"/>
      <c r="L80" s="1199"/>
      <c r="M80" s="1199"/>
      <c r="N80" s="1199"/>
      <c r="O80" s="1199"/>
      <c r="P80" s="1199"/>
      <c r="Q80" s="1199"/>
      <c r="R80" s="1199"/>
      <c r="S80" s="1199"/>
      <c r="T80" s="1199"/>
      <c r="U80" s="1199"/>
      <c r="V80" s="1199"/>
      <c r="W80" s="1199"/>
      <c r="X80" s="1199"/>
      <c r="Y80" s="1199"/>
      <c r="Z80" s="1199"/>
      <c r="AA80" s="1199"/>
      <c r="AB80" s="1199"/>
      <c r="AC80" s="1199"/>
      <c r="AD80" s="1199"/>
      <c r="AE80" s="1199"/>
      <c r="AF80" s="1199"/>
      <c r="AG80" s="1199"/>
      <c r="AH80" s="1199"/>
      <c r="AI80" s="1199"/>
      <c r="AJ80" s="1199"/>
      <c r="AK80" s="1199"/>
      <c r="AL80" s="1199"/>
      <c r="AM80" s="1199"/>
      <c r="AN80" s="1199"/>
      <c r="AO80" s="1738"/>
      <c r="AP80" s="1199"/>
      <c r="AQ80" s="1199"/>
      <c r="AR80" s="1738"/>
    </row>
    <row r="81" spans="1:49" s="1111" customFormat="1" ht="12" customHeight="1" thickBot="1">
      <c r="A81" s="1128" t="s">
        <v>837</v>
      </c>
      <c r="B81" s="1114" t="s">
        <v>838</v>
      </c>
      <c r="C81" s="1101">
        <f>SUM(C82:C85)</f>
        <v>0</v>
      </c>
      <c r="D81" s="1102">
        <f>SUM(D82:D85)</f>
        <v>0</v>
      </c>
      <c r="E81" s="1199"/>
      <c r="F81" s="1199"/>
      <c r="G81" s="1199"/>
      <c r="H81" s="1199"/>
      <c r="I81" s="1199"/>
      <c r="J81" s="1199"/>
      <c r="K81" s="1199"/>
      <c r="L81" s="1199"/>
      <c r="M81" s="1199"/>
      <c r="N81" s="1199"/>
      <c r="O81" s="1199"/>
      <c r="P81" s="1199"/>
      <c r="Q81" s="1199"/>
      <c r="R81" s="1199"/>
      <c r="S81" s="1199"/>
      <c r="T81" s="1199"/>
      <c r="U81" s="1199"/>
      <c r="V81" s="1199"/>
      <c r="W81" s="1199"/>
      <c r="X81" s="1199"/>
      <c r="Y81" s="1199"/>
      <c r="Z81" s="1199"/>
      <c r="AA81" s="1199"/>
      <c r="AB81" s="1199"/>
      <c r="AC81" s="1199"/>
      <c r="AD81" s="1199"/>
      <c r="AE81" s="1199"/>
      <c r="AF81" s="1199"/>
      <c r="AG81" s="1199"/>
      <c r="AH81" s="1199"/>
      <c r="AI81" s="1199"/>
      <c r="AJ81" s="1199"/>
      <c r="AK81" s="1199"/>
      <c r="AL81" s="1199"/>
      <c r="AM81" s="1199"/>
      <c r="AN81" s="1199"/>
      <c r="AO81" s="1738"/>
      <c r="AP81" s="1199"/>
      <c r="AQ81" s="1199"/>
      <c r="AR81" s="1738"/>
    </row>
    <row r="82" spans="1:49" s="1111" customFormat="1" ht="12" customHeight="1">
      <c r="A82" s="1133" t="s">
        <v>839</v>
      </c>
      <c r="B82" s="1104" t="s">
        <v>840</v>
      </c>
      <c r="C82" s="1211">
        <f>SUM(E82:AO82)</f>
        <v>0</v>
      </c>
      <c r="D82" s="1106">
        <f t="shared" ref="D82:D85" si="17">C82+SUM(AP82:AR82)</f>
        <v>0</v>
      </c>
      <c r="E82" s="1199"/>
      <c r="F82" s="1199"/>
      <c r="G82" s="1199"/>
      <c r="H82" s="1199"/>
      <c r="I82" s="1199"/>
      <c r="J82" s="1199"/>
      <c r="K82" s="1199"/>
      <c r="L82" s="1199"/>
      <c r="M82" s="1199"/>
      <c r="N82" s="1199"/>
      <c r="O82" s="1199"/>
      <c r="P82" s="1199"/>
      <c r="Q82" s="1199"/>
      <c r="R82" s="1199"/>
      <c r="S82" s="1199"/>
      <c r="T82" s="1199"/>
      <c r="U82" s="1199"/>
      <c r="V82" s="1199"/>
      <c r="W82" s="1199"/>
      <c r="X82" s="1199"/>
      <c r="Y82" s="1199"/>
      <c r="Z82" s="1199"/>
      <c r="AA82" s="1199"/>
      <c r="AB82" s="1199"/>
      <c r="AC82" s="1199"/>
      <c r="AD82" s="1199"/>
      <c r="AE82" s="1199"/>
      <c r="AF82" s="1199"/>
      <c r="AG82" s="1199"/>
      <c r="AH82" s="1199"/>
      <c r="AI82" s="1199"/>
      <c r="AJ82" s="1199"/>
      <c r="AK82" s="1199"/>
      <c r="AL82" s="1199"/>
      <c r="AM82" s="1199"/>
      <c r="AN82" s="1199"/>
      <c r="AO82" s="1738"/>
      <c r="AP82" s="1199"/>
      <c r="AQ82" s="1199"/>
      <c r="AR82" s="1738"/>
    </row>
    <row r="83" spans="1:49" s="1111" customFormat="1" ht="12" customHeight="1">
      <c r="A83" s="1134" t="s">
        <v>841</v>
      </c>
      <c r="B83" s="1109" t="s">
        <v>842</v>
      </c>
      <c r="C83" s="1211">
        <f>SUM(E83:AO83)</f>
        <v>0</v>
      </c>
      <c r="D83" s="1106">
        <f t="shared" si="17"/>
        <v>0</v>
      </c>
      <c r="E83" s="1199"/>
      <c r="F83" s="1199"/>
      <c r="G83" s="1199"/>
      <c r="H83" s="1199"/>
      <c r="I83" s="1199"/>
      <c r="J83" s="1199"/>
      <c r="K83" s="1199"/>
      <c r="L83" s="1199"/>
      <c r="M83" s="1199"/>
      <c r="N83" s="1199"/>
      <c r="O83" s="1199"/>
      <c r="P83" s="1199"/>
      <c r="Q83" s="1199"/>
      <c r="R83" s="1199"/>
      <c r="S83" s="1199"/>
      <c r="T83" s="1199"/>
      <c r="U83" s="1199"/>
      <c r="V83" s="1199"/>
      <c r="W83" s="1199"/>
      <c r="X83" s="1199"/>
      <c r="Y83" s="1199"/>
      <c r="Z83" s="1199"/>
      <c r="AA83" s="1199"/>
      <c r="AB83" s="1199"/>
      <c r="AC83" s="1199"/>
      <c r="AD83" s="1199"/>
      <c r="AE83" s="1199"/>
      <c r="AF83" s="1199"/>
      <c r="AG83" s="1199"/>
      <c r="AH83" s="1199"/>
      <c r="AI83" s="1199"/>
      <c r="AJ83" s="1199"/>
      <c r="AK83" s="1199"/>
      <c r="AL83" s="1199"/>
      <c r="AM83" s="1199"/>
      <c r="AN83" s="1199"/>
      <c r="AO83" s="1738"/>
      <c r="AP83" s="1199"/>
      <c r="AQ83" s="1199"/>
      <c r="AR83" s="1738"/>
    </row>
    <row r="84" spans="1:49" s="1111" customFormat="1" ht="12" customHeight="1">
      <c r="A84" s="1134" t="s">
        <v>843</v>
      </c>
      <c r="B84" s="1109" t="s">
        <v>844</v>
      </c>
      <c r="C84" s="1211">
        <f>SUM(E84:AO84)</f>
        <v>0</v>
      </c>
      <c r="D84" s="1106">
        <f t="shared" si="17"/>
        <v>0</v>
      </c>
      <c r="E84" s="1199"/>
      <c r="F84" s="1199"/>
      <c r="G84" s="1199"/>
      <c r="H84" s="1199"/>
      <c r="I84" s="1199"/>
      <c r="J84" s="1199"/>
      <c r="K84" s="1199"/>
      <c r="L84" s="1199"/>
      <c r="M84" s="1199"/>
      <c r="N84" s="1199"/>
      <c r="O84" s="1199"/>
      <c r="P84" s="1199"/>
      <c r="Q84" s="1199"/>
      <c r="R84" s="1199"/>
      <c r="S84" s="1199"/>
      <c r="T84" s="1199"/>
      <c r="U84" s="1199"/>
      <c r="V84" s="1199"/>
      <c r="W84" s="1199"/>
      <c r="X84" s="1199"/>
      <c r="Y84" s="1199"/>
      <c r="Z84" s="1199"/>
      <c r="AA84" s="1199"/>
      <c r="AB84" s="1199"/>
      <c r="AC84" s="1199"/>
      <c r="AD84" s="1199"/>
      <c r="AE84" s="1199"/>
      <c r="AF84" s="1199"/>
      <c r="AG84" s="1199"/>
      <c r="AH84" s="1199"/>
      <c r="AI84" s="1199"/>
      <c r="AJ84" s="1199"/>
      <c r="AK84" s="1199"/>
      <c r="AL84" s="1199"/>
      <c r="AM84" s="1199"/>
      <c r="AN84" s="1199"/>
      <c r="AO84" s="1738"/>
      <c r="AP84" s="1199"/>
      <c r="AQ84" s="1199"/>
      <c r="AR84" s="1738"/>
    </row>
    <row r="85" spans="1:49" s="1107" customFormat="1" ht="12" customHeight="1" thickBot="1">
      <c r="A85" s="1135" t="s">
        <v>845</v>
      </c>
      <c r="B85" s="1113" t="s">
        <v>846</v>
      </c>
      <c r="C85" s="1211">
        <f>SUM(E85:AO85)</f>
        <v>0</v>
      </c>
      <c r="D85" s="1106">
        <f t="shared" si="17"/>
        <v>0</v>
      </c>
      <c r="E85" s="1199"/>
      <c r="F85" s="1199"/>
      <c r="G85" s="1199"/>
      <c r="H85" s="1199"/>
      <c r="I85" s="1199"/>
      <c r="J85" s="1199"/>
      <c r="K85" s="1199"/>
      <c r="L85" s="1199"/>
      <c r="M85" s="1199"/>
      <c r="N85" s="1199"/>
      <c r="O85" s="1199"/>
      <c r="P85" s="1199"/>
      <c r="Q85" s="1199"/>
      <c r="R85" s="1199"/>
      <c r="S85" s="1199"/>
      <c r="T85" s="1199"/>
      <c r="U85" s="1199"/>
      <c r="V85" s="1199"/>
      <c r="W85" s="1199"/>
      <c r="X85" s="1199"/>
      <c r="Y85" s="1199"/>
      <c r="Z85" s="1206"/>
      <c r="AA85" s="1206"/>
      <c r="AB85" s="1206"/>
      <c r="AC85" s="1206"/>
      <c r="AD85" s="1206"/>
      <c r="AE85" s="1206"/>
      <c r="AF85" s="1206"/>
      <c r="AG85" s="1206"/>
      <c r="AH85" s="1206"/>
      <c r="AI85" s="1206"/>
      <c r="AJ85" s="1206"/>
      <c r="AK85" s="1206"/>
      <c r="AL85" s="1206"/>
      <c r="AM85" s="1206"/>
      <c r="AN85" s="1206"/>
      <c r="AO85" s="1746"/>
      <c r="AP85" s="1199"/>
      <c r="AQ85" s="1199"/>
      <c r="AR85" s="1738"/>
    </row>
    <row r="86" spans="1:49" s="1107" customFormat="1" ht="12" customHeight="1" thickBot="1">
      <c r="A86" s="1128" t="s">
        <v>847</v>
      </c>
      <c r="B86" s="1114" t="s">
        <v>848</v>
      </c>
      <c r="C86" s="1136"/>
      <c r="D86" s="1137"/>
      <c r="E86" s="1199"/>
      <c r="F86" s="1199"/>
      <c r="G86" s="1199"/>
      <c r="H86" s="1199"/>
      <c r="I86" s="1199"/>
      <c r="J86" s="1199"/>
      <c r="K86" s="1199"/>
      <c r="L86" s="1199"/>
      <c r="M86" s="1199"/>
      <c r="N86" s="1199"/>
      <c r="O86" s="1199"/>
      <c r="P86" s="1199"/>
      <c r="Q86" s="1199"/>
      <c r="R86" s="1199"/>
      <c r="S86" s="1199"/>
      <c r="T86" s="1199"/>
      <c r="U86" s="1199"/>
      <c r="V86" s="1199"/>
      <c r="W86" s="1199"/>
      <c r="X86" s="1199"/>
      <c r="Y86" s="1199"/>
      <c r="Z86" s="1206"/>
      <c r="AA86" s="1206"/>
      <c r="AB86" s="1206"/>
      <c r="AC86" s="1206"/>
      <c r="AD86" s="1206"/>
      <c r="AE86" s="1206"/>
      <c r="AF86" s="1206"/>
      <c r="AG86" s="1206"/>
      <c r="AH86" s="1206"/>
      <c r="AI86" s="1206"/>
      <c r="AJ86" s="1206"/>
      <c r="AK86" s="1206"/>
      <c r="AL86" s="1206"/>
      <c r="AM86" s="1206"/>
      <c r="AN86" s="1206"/>
      <c r="AO86" s="1746"/>
      <c r="AP86" s="1199"/>
      <c r="AQ86" s="1199"/>
      <c r="AR86" s="1738"/>
    </row>
    <row r="87" spans="1:49" s="1107" customFormat="1" ht="12" customHeight="1" thickBot="1">
      <c r="A87" s="1128" t="s">
        <v>849</v>
      </c>
      <c r="B87" s="1138" t="s">
        <v>850</v>
      </c>
      <c r="C87" s="1118">
        <f>+C65+C69+C74+C77+C81+C86</f>
        <v>23805101</v>
      </c>
      <c r="D87" s="1119">
        <f>+D65+D69+D74+D77+D81+D86</f>
        <v>50071924</v>
      </c>
      <c r="E87" s="1199"/>
      <c r="F87" s="1199"/>
      <c r="G87" s="1199"/>
      <c r="H87" s="1199"/>
      <c r="I87" s="1199"/>
      <c r="J87" s="1199"/>
      <c r="K87" s="1199"/>
      <c r="L87" s="1199"/>
      <c r="M87" s="1199"/>
      <c r="N87" s="1199"/>
      <c r="O87" s="1199"/>
      <c r="P87" s="1199"/>
      <c r="Q87" s="1199"/>
      <c r="R87" s="1199"/>
      <c r="S87" s="1199"/>
      <c r="T87" s="1199"/>
      <c r="U87" s="1199"/>
      <c r="V87" s="1199"/>
      <c r="W87" s="1199"/>
      <c r="X87" s="1199"/>
      <c r="Y87" s="1199"/>
      <c r="Z87" s="1206"/>
      <c r="AA87" s="1206"/>
      <c r="AB87" s="1206"/>
      <c r="AC87" s="1206"/>
      <c r="AD87" s="1206"/>
      <c r="AE87" s="1206"/>
      <c r="AF87" s="1206"/>
      <c r="AG87" s="1206"/>
      <c r="AH87" s="1206"/>
      <c r="AI87" s="1206"/>
      <c r="AJ87" s="1206"/>
      <c r="AK87" s="1206"/>
      <c r="AL87" s="1206"/>
      <c r="AM87" s="1206"/>
      <c r="AN87" s="1206"/>
      <c r="AO87" s="1746"/>
      <c r="AP87" s="1199"/>
      <c r="AQ87" s="1199"/>
      <c r="AR87" s="1738"/>
    </row>
    <row r="88" spans="1:49" s="1107" customFormat="1" ht="12" customHeight="1" thickBot="1">
      <c r="A88" s="1139" t="s">
        <v>851</v>
      </c>
      <c r="B88" s="1140" t="s">
        <v>852</v>
      </c>
      <c r="C88" s="1118">
        <f>+C64+C87</f>
        <v>254590239</v>
      </c>
      <c r="D88" s="1119">
        <f>+D64+D87</f>
        <v>280857062</v>
      </c>
      <c r="E88" s="1212">
        <f>SUM(E8:E87)</f>
        <v>29526455</v>
      </c>
      <c r="F88" s="1212">
        <f t="shared" ref="F88:AO88" si="18">SUM(F8:F87)</f>
        <v>538000</v>
      </c>
      <c r="G88" s="1212">
        <f t="shared" si="18"/>
        <v>0</v>
      </c>
      <c r="H88" s="1212">
        <f t="shared" si="18"/>
        <v>0</v>
      </c>
      <c r="I88" s="1212">
        <f>SUM(I8:I87)</f>
        <v>0</v>
      </c>
      <c r="J88" s="1212">
        <f t="shared" si="18"/>
        <v>0</v>
      </c>
      <c r="K88" s="1212">
        <f t="shared" si="18"/>
        <v>121541683</v>
      </c>
      <c r="L88" s="1212">
        <f t="shared" si="18"/>
        <v>23805101</v>
      </c>
      <c r="M88" s="1212">
        <f t="shared" si="18"/>
        <v>807000</v>
      </c>
      <c r="N88" s="1212">
        <f t="shared" si="18"/>
        <v>0</v>
      </c>
      <c r="O88" s="1212">
        <f t="shared" si="18"/>
        <v>0</v>
      </c>
      <c r="P88" s="1212">
        <f t="shared" si="18"/>
        <v>0</v>
      </c>
      <c r="Q88" s="1212">
        <f t="shared" si="18"/>
        <v>0</v>
      </c>
      <c r="R88" s="1212">
        <f t="shared" si="18"/>
        <v>0</v>
      </c>
      <c r="S88" s="1212">
        <f t="shared" si="18"/>
        <v>239000</v>
      </c>
      <c r="T88" s="1212">
        <f t="shared" si="18"/>
        <v>0</v>
      </c>
      <c r="U88" s="1212">
        <f t="shared" si="18"/>
        <v>0</v>
      </c>
      <c r="V88" s="1212">
        <f t="shared" si="18"/>
        <v>0</v>
      </c>
      <c r="W88" s="1212">
        <f t="shared" si="18"/>
        <v>0</v>
      </c>
      <c r="X88" s="1212">
        <f t="shared" si="18"/>
        <v>1138000</v>
      </c>
      <c r="Y88" s="1212">
        <f t="shared" si="18"/>
        <v>4030000</v>
      </c>
      <c r="Z88" s="1212">
        <f t="shared" si="18"/>
        <v>0</v>
      </c>
      <c r="AA88" s="1212">
        <f t="shared" si="18"/>
        <v>0</v>
      </c>
      <c r="AB88" s="1212">
        <f t="shared" si="18"/>
        <v>0</v>
      </c>
      <c r="AC88" s="1212">
        <f>SUM(AC8:AC87)</f>
        <v>0</v>
      </c>
      <c r="AD88" s="1212">
        <f t="shared" si="18"/>
        <v>0</v>
      </c>
      <c r="AE88" s="1212">
        <f t="shared" si="18"/>
        <v>0</v>
      </c>
      <c r="AF88" s="1212">
        <f t="shared" si="18"/>
        <v>0</v>
      </c>
      <c r="AG88" s="1212">
        <f t="shared" si="18"/>
        <v>0</v>
      </c>
      <c r="AH88" s="1212">
        <f>SUM(AH8:AH87)</f>
        <v>0</v>
      </c>
      <c r="AI88" s="1212">
        <f t="shared" si="18"/>
        <v>120000</v>
      </c>
      <c r="AJ88" s="1212">
        <f t="shared" si="18"/>
        <v>0</v>
      </c>
      <c r="AK88" s="1212">
        <f t="shared" si="18"/>
        <v>0</v>
      </c>
      <c r="AL88" s="1212">
        <f t="shared" si="18"/>
        <v>0</v>
      </c>
      <c r="AM88" s="1212">
        <f t="shared" si="18"/>
        <v>0</v>
      </c>
      <c r="AN88" s="1212">
        <f t="shared" si="18"/>
        <v>72845000</v>
      </c>
      <c r="AO88" s="1747">
        <f t="shared" si="18"/>
        <v>0</v>
      </c>
      <c r="AP88" s="1218"/>
      <c r="AQ88" s="1218"/>
      <c r="AR88" s="1739"/>
      <c r="AS88" s="1212"/>
      <c r="AT88" s="1212"/>
      <c r="AU88" s="1212"/>
      <c r="AV88" s="1212"/>
      <c r="AW88" s="1212"/>
    </row>
    <row r="89" spans="1:49" s="1111" customFormat="1" ht="15" customHeight="1">
      <c r="A89" s="1141"/>
      <c r="B89" s="1142"/>
      <c r="C89" s="1143"/>
      <c r="D89" s="1143"/>
      <c r="E89" s="1213"/>
      <c r="F89" s="1213"/>
      <c r="G89" s="1213"/>
      <c r="H89" s="1213"/>
      <c r="I89" s="1213"/>
      <c r="J89" s="1213"/>
      <c r="K89" s="1213"/>
      <c r="L89" s="1213"/>
      <c r="M89" s="1213"/>
      <c r="N89" s="1213"/>
      <c r="O89" s="1213"/>
      <c r="P89" s="1213"/>
      <c r="Q89" s="1213"/>
      <c r="R89" s="1213"/>
      <c r="S89" s="1213"/>
      <c r="T89" s="1213"/>
      <c r="U89" s="1213"/>
      <c r="V89" s="1213"/>
      <c r="W89" s="1213"/>
      <c r="X89" s="1213"/>
      <c r="Y89" s="1213"/>
      <c r="Z89" s="1214"/>
      <c r="AA89" s="1214"/>
      <c r="AB89" s="1214"/>
      <c r="AC89" s="1214"/>
      <c r="AD89" s="1214"/>
      <c r="AE89" s="1214"/>
      <c r="AF89" s="1214"/>
      <c r="AG89" s="1214"/>
      <c r="AH89" s="1214"/>
      <c r="AI89" s="1214"/>
      <c r="AJ89" s="1214"/>
      <c r="AK89" s="1214"/>
      <c r="AL89" s="1214"/>
      <c r="AM89" s="1214"/>
      <c r="AN89" s="1214"/>
      <c r="AO89" s="1748"/>
      <c r="AP89" s="1199"/>
      <c r="AQ89" s="1199"/>
      <c r="AR89" s="1738"/>
    </row>
    <row r="90" spans="1:49" ht="13.5" thickBot="1">
      <c r="A90" s="1144"/>
      <c r="B90" s="1145"/>
      <c r="C90" s="1146"/>
      <c r="D90" s="1146"/>
      <c r="AP90" s="1199"/>
      <c r="AQ90" s="1199"/>
      <c r="AR90" s="1738"/>
    </row>
    <row r="91" spans="1:49" s="1098" customFormat="1" ht="16.5" customHeight="1" thickBot="1">
      <c r="A91" s="1827" t="s">
        <v>853</v>
      </c>
      <c r="B91" s="1828"/>
      <c r="C91" s="1828"/>
      <c r="D91" s="1829"/>
      <c r="E91" s="1201"/>
      <c r="F91" s="1201"/>
      <c r="G91" s="1201"/>
      <c r="H91" s="1201"/>
      <c r="I91" s="1201"/>
      <c r="J91" s="1201"/>
      <c r="K91" s="1201"/>
      <c r="L91" s="1201"/>
      <c r="M91" s="1201"/>
      <c r="N91" s="1201"/>
      <c r="O91" s="1201"/>
      <c r="P91" s="1201"/>
      <c r="Q91" s="1201"/>
      <c r="R91" s="1201"/>
      <c r="S91" s="1201"/>
      <c r="T91" s="1201"/>
      <c r="U91" s="1201"/>
      <c r="V91" s="1201"/>
      <c r="W91" s="1201"/>
      <c r="X91" s="1201"/>
      <c r="Y91" s="1201"/>
      <c r="Z91" s="1202"/>
      <c r="AA91" s="1202"/>
      <c r="AB91" s="1202"/>
      <c r="AC91" s="1202"/>
      <c r="AD91" s="1202"/>
      <c r="AE91" s="1202"/>
      <c r="AF91" s="1202"/>
      <c r="AG91" s="1202"/>
      <c r="AH91" s="1202"/>
      <c r="AI91" s="1202"/>
      <c r="AJ91" s="1202"/>
      <c r="AK91" s="1202"/>
      <c r="AL91" s="1202"/>
      <c r="AM91" s="1202"/>
      <c r="AN91" s="1202"/>
      <c r="AO91" s="1745"/>
      <c r="AP91" s="1205"/>
      <c r="AQ91" s="1205"/>
      <c r="AR91" s="1740"/>
    </row>
    <row r="92" spans="1:49" s="1151" customFormat="1" ht="12" customHeight="1" thickBot="1">
      <c r="A92" s="1147" t="s">
        <v>693</v>
      </c>
      <c r="B92" s="1148" t="s">
        <v>854</v>
      </c>
      <c r="C92" s="1149">
        <f>SUM(C93:C97)</f>
        <v>78867200</v>
      </c>
      <c r="D92" s="1150">
        <f>SUM(D93:D97)</f>
        <v>85134023</v>
      </c>
      <c r="E92" s="1199"/>
      <c r="F92" s="1199"/>
      <c r="G92" s="1199"/>
      <c r="H92" s="1199"/>
      <c r="I92" s="1199"/>
      <c r="J92" s="1199"/>
      <c r="K92" s="1199"/>
      <c r="L92" s="1199"/>
      <c r="M92" s="1199"/>
      <c r="N92" s="1199"/>
      <c r="O92" s="1199"/>
      <c r="P92" s="1199"/>
      <c r="Q92" s="1199"/>
      <c r="R92" s="1199"/>
      <c r="S92" s="1199"/>
      <c r="T92" s="1199"/>
      <c r="U92" s="1199"/>
      <c r="V92" s="1199"/>
      <c r="W92" s="1199"/>
      <c r="X92" s="1199"/>
      <c r="Y92" s="1199"/>
      <c r="Z92" s="1206"/>
      <c r="AA92" s="1206"/>
      <c r="AB92" s="1206"/>
      <c r="AC92" s="1206"/>
      <c r="AD92" s="1206"/>
      <c r="AE92" s="1206"/>
      <c r="AF92" s="1206"/>
      <c r="AG92" s="1206"/>
      <c r="AH92" s="1206"/>
      <c r="AI92" s="1206"/>
      <c r="AJ92" s="1206"/>
      <c r="AK92" s="1206"/>
      <c r="AL92" s="1206"/>
      <c r="AM92" s="1206"/>
      <c r="AN92" s="1206"/>
      <c r="AO92" s="1746"/>
      <c r="AP92" s="1199"/>
      <c r="AQ92" s="1199"/>
      <c r="AR92" s="1738"/>
    </row>
    <row r="93" spans="1:49" ht="12" customHeight="1">
      <c r="A93" s="1152" t="s">
        <v>695</v>
      </c>
      <c r="B93" s="1153" t="s">
        <v>855</v>
      </c>
      <c r="C93" s="1154">
        <f>SUM(E93:AO93)</f>
        <v>30237000</v>
      </c>
      <c r="D93" s="1749">
        <f t="shared" ref="D93:D107" si="19">C93+SUM(AP93:AR93)</f>
        <v>30237000</v>
      </c>
      <c r="E93" s="1199">
        <v>13737000</v>
      </c>
      <c r="F93" s="1199">
        <v>2982000</v>
      </c>
      <c r="G93" s="1199">
        <v>1566000</v>
      </c>
      <c r="J93" s="1199">
        <v>400000</v>
      </c>
      <c r="M93" s="1199">
        <v>1223000</v>
      </c>
      <c r="S93" s="1199">
        <v>1800000</v>
      </c>
      <c r="T93" s="1199">
        <v>6560000</v>
      </c>
      <c r="Z93" s="1199">
        <v>480000</v>
      </c>
      <c r="AA93" s="1199">
        <v>550000</v>
      </c>
      <c r="AB93" s="1199"/>
      <c r="AC93" s="1199"/>
      <c r="AD93" s="1199"/>
      <c r="AE93" s="1199"/>
      <c r="AF93" s="1199"/>
      <c r="AG93" s="1199"/>
      <c r="AH93" s="1199"/>
      <c r="AI93" s="1199"/>
      <c r="AJ93" s="1199"/>
      <c r="AK93" s="1199">
        <v>939000</v>
      </c>
      <c r="AL93" s="1199"/>
      <c r="AM93" s="1199"/>
      <c r="AN93" s="1199"/>
      <c r="AO93" s="1738"/>
      <c r="AP93" s="1199"/>
      <c r="AQ93" s="1199"/>
      <c r="AR93" s="1738"/>
    </row>
    <row r="94" spans="1:49" ht="12" customHeight="1">
      <c r="A94" s="1108" t="s">
        <v>697</v>
      </c>
      <c r="B94" s="1156" t="s">
        <v>30</v>
      </c>
      <c r="C94" s="1174">
        <f>SUM(E94:AO94)</f>
        <v>5926200</v>
      </c>
      <c r="D94" s="1106">
        <f t="shared" si="19"/>
        <v>5926200</v>
      </c>
      <c r="E94" s="1199">
        <v>2795000</v>
      </c>
      <c r="F94" s="1199">
        <v>611000</v>
      </c>
      <c r="G94" s="1199">
        <v>102200</v>
      </c>
      <c r="J94" s="1199">
        <v>201000</v>
      </c>
      <c r="M94" s="1199">
        <v>120000</v>
      </c>
      <c r="S94" s="1199">
        <v>380000</v>
      </c>
      <c r="T94" s="1199">
        <v>1338000</v>
      </c>
      <c r="Z94" s="1199">
        <v>95000</v>
      </c>
      <c r="AA94" s="1199">
        <v>110000</v>
      </c>
      <c r="AB94" s="1199"/>
      <c r="AC94" s="1199"/>
      <c r="AD94" s="1199"/>
      <c r="AE94" s="1199"/>
      <c r="AF94" s="1199"/>
      <c r="AG94" s="1199"/>
      <c r="AH94" s="1199"/>
      <c r="AI94" s="1199"/>
      <c r="AJ94" s="1199"/>
      <c r="AK94" s="1199">
        <v>174000</v>
      </c>
      <c r="AL94" s="1199"/>
      <c r="AM94" s="1199"/>
      <c r="AN94" s="1199"/>
      <c r="AO94" s="1738"/>
      <c r="AP94" s="1199"/>
      <c r="AQ94" s="1199"/>
      <c r="AR94" s="1738"/>
    </row>
    <row r="95" spans="1:49" ht="12" customHeight="1">
      <c r="A95" s="1108" t="s">
        <v>699</v>
      </c>
      <c r="B95" s="1156" t="s">
        <v>856</v>
      </c>
      <c r="C95" s="1157">
        <f>SUM(E95:AO95)</f>
        <v>37471000</v>
      </c>
      <c r="D95" s="1106">
        <f t="shared" si="19"/>
        <v>41803478</v>
      </c>
      <c r="E95" s="1199">
        <v>4605000</v>
      </c>
      <c r="F95" s="1199">
        <v>825000</v>
      </c>
      <c r="G95" s="1199">
        <v>4614000</v>
      </c>
      <c r="J95" s="1199">
        <v>635000</v>
      </c>
      <c r="N95" s="1199">
        <v>762000</v>
      </c>
      <c r="O95" s="1199">
        <v>3000000</v>
      </c>
      <c r="Q95" s="1199">
        <v>150000</v>
      </c>
      <c r="R95" s="1199">
        <v>8836000</v>
      </c>
      <c r="S95" s="1199">
        <v>1928000</v>
      </c>
      <c r="T95" s="1199">
        <v>2530000</v>
      </c>
      <c r="U95" s="1199">
        <v>387000</v>
      </c>
      <c r="V95" s="1199">
        <v>601000</v>
      </c>
      <c r="W95" s="1199">
        <v>261000</v>
      </c>
      <c r="X95" s="1199">
        <v>1116000</v>
      </c>
      <c r="Y95" s="1199">
        <v>4102000</v>
      </c>
      <c r="Z95" s="1199">
        <v>4000</v>
      </c>
      <c r="AA95" s="1199">
        <v>1970000</v>
      </c>
      <c r="AB95" s="1199">
        <v>1143000</v>
      </c>
      <c r="AC95" s="1199"/>
      <c r="AD95" s="1199"/>
      <c r="AE95" s="1199"/>
      <c r="AF95" s="1199"/>
      <c r="AG95" s="1199"/>
      <c r="AH95" s="1199"/>
      <c r="AI95" s="1199"/>
      <c r="AJ95" s="1199"/>
      <c r="AK95" s="1199"/>
      <c r="AL95" s="1199">
        <v>2000</v>
      </c>
      <c r="AM95" s="1199"/>
      <c r="AN95" s="1199"/>
      <c r="AO95" s="1738"/>
      <c r="AP95" s="1199">
        <f>1500000+1000000+757478+675000+400000</f>
        <v>4332478</v>
      </c>
      <c r="AQ95" s="1199"/>
      <c r="AR95" s="1738"/>
    </row>
    <row r="96" spans="1:49" ht="12" customHeight="1">
      <c r="A96" s="1108" t="s">
        <v>701</v>
      </c>
      <c r="B96" s="1158" t="s">
        <v>244</v>
      </c>
      <c r="C96" s="1157">
        <f>SUM(E96:AO96)</f>
        <v>2278000</v>
      </c>
      <c r="D96" s="1106">
        <f t="shared" si="19"/>
        <v>2278000</v>
      </c>
      <c r="Z96" s="1199"/>
      <c r="AA96" s="1199"/>
      <c r="AB96" s="1199"/>
      <c r="AC96" s="1199"/>
      <c r="AD96" s="1199"/>
      <c r="AE96" s="1199"/>
      <c r="AF96" s="1199"/>
      <c r="AG96" s="1199">
        <v>128000</v>
      </c>
      <c r="AH96" s="1199"/>
      <c r="AI96" s="1199"/>
      <c r="AJ96" s="1199">
        <v>150000</v>
      </c>
      <c r="AK96" s="1199"/>
      <c r="AL96" s="1199"/>
      <c r="AM96" s="1199">
        <v>2000000</v>
      </c>
      <c r="AN96" s="1199"/>
      <c r="AO96" s="1738"/>
      <c r="AP96" s="1199"/>
      <c r="AQ96" s="1199"/>
      <c r="AR96" s="1738"/>
    </row>
    <row r="97" spans="1:44" ht="12" customHeight="1">
      <c r="A97" s="1108" t="s">
        <v>857</v>
      </c>
      <c r="B97" s="1159" t="s">
        <v>63</v>
      </c>
      <c r="C97" s="1215">
        <f>SUM(C98:C107)</f>
        <v>2955000</v>
      </c>
      <c r="D97" s="1215">
        <f>SUM(D98:D107)</f>
        <v>4889345</v>
      </c>
      <c r="Z97" s="1199"/>
      <c r="AA97" s="1199"/>
      <c r="AB97" s="1199"/>
      <c r="AC97" s="1199"/>
      <c r="AD97" s="1199"/>
      <c r="AE97" s="1199"/>
      <c r="AF97" s="1199"/>
      <c r="AG97" s="1199"/>
      <c r="AH97" s="1199"/>
      <c r="AI97" s="1199"/>
      <c r="AJ97" s="1199"/>
      <c r="AK97" s="1199"/>
      <c r="AL97" s="1199"/>
      <c r="AM97" s="1199"/>
      <c r="AN97" s="1199"/>
      <c r="AO97" s="1738"/>
      <c r="AP97" s="1199"/>
      <c r="AQ97" s="1199"/>
      <c r="AR97" s="1738"/>
    </row>
    <row r="98" spans="1:44" ht="12" customHeight="1">
      <c r="A98" s="1108" t="s">
        <v>705</v>
      </c>
      <c r="B98" s="1156" t="s">
        <v>858</v>
      </c>
      <c r="C98" s="1216">
        <f>SUM(E98:AO98)</f>
        <v>0</v>
      </c>
      <c r="D98" s="1110">
        <f t="shared" si="19"/>
        <v>1934345</v>
      </c>
      <c r="Z98" s="1199"/>
      <c r="AA98" s="1199"/>
      <c r="AB98" s="1199"/>
      <c r="AC98" s="1199"/>
      <c r="AD98" s="1199"/>
      <c r="AE98" s="1199"/>
      <c r="AF98" s="1199"/>
      <c r="AG98" s="1199"/>
      <c r="AH98" s="1199"/>
      <c r="AI98" s="1199"/>
      <c r="AJ98" s="1199"/>
      <c r="AK98" s="1199"/>
      <c r="AL98" s="1199"/>
      <c r="AM98" s="1199"/>
      <c r="AN98" s="1199"/>
      <c r="AO98" s="1738"/>
      <c r="AP98" s="1199"/>
      <c r="AQ98" s="1199">
        <v>1934345</v>
      </c>
      <c r="AR98" s="1738"/>
    </row>
    <row r="99" spans="1:44" ht="12" customHeight="1">
      <c r="A99" s="1108" t="s">
        <v>859</v>
      </c>
      <c r="B99" s="1160" t="s">
        <v>860</v>
      </c>
      <c r="C99" s="1216">
        <f t="shared" ref="C99:C107" si="20">SUM(E99:AO99)</f>
        <v>0</v>
      </c>
      <c r="D99" s="1106">
        <f t="shared" si="19"/>
        <v>0</v>
      </c>
      <c r="Z99" s="1199"/>
      <c r="AA99" s="1199"/>
      <c r="AB99" s="1199"/>
      <c r="AC99" s="1199"/>
      <c r="AD99" s="1199"/>
      <c r="AE99" s="1199"/>
      <c r="AF99" s="1199"/>
      <c r="AG99" s="1199"/>
      <c r="AH99" s="1199"/>
      <c r="AI99" s="1199"/>
      <c r="AJ99" s="1199"/>
      <c r="AK99" s="1199"/>
      <c r="AL99" s="1199"/>
      <c r="AM99" s="1199"/>
      <c r="AN99" s="1199"/>
      <c r="AO99" s="1738"/>
      <c r="AP99" s="1199"/>
      <c r="AQ99" s="1199"/>
      <c r="AR99" s="1738"/>
    </row>
    <row r="100" spans="1:44" ht="12" customHeight="1">
      <c r="A100" s="1108" t="s">
        <v>861</v>
      </c>
      <c r="B100" s="1161" t="s">
        <v>862</v>
      </c>
      <c r="C100" s="1216">
        <f t="shared" si="20"/>
        <v>0</v>
      </c>
      <c r="D100" s="1106">
        <f t="shared" si="19"/>
        <v>0</v>
      </c>
      <c r="Z100" s="1199"/>
      <c r="AA100" s="1199"/>
      <c r="AB100" s="1199"/>
      <c r="AC100" s="1199"/>
      <c r="AD100" s="1199"/>
      <c r="AE100" s="1199"/>
      <c r="AF100" s="1199"/>
      <c r="AG100" s="1199"/>
      <c r="AH100" s="1199"/>
      <c r="AI100" s="1199"/>
      <c r="AJ100" s="1199"/>
      <c r="AK100" s="1199"/>
      <c r="AL100" s="1199"/>
      <c r="AM100" s="1199"/>
      <c r="AN100" s="1199"/>
      <c r="AO100" s="1738"/>
      <c r="AP100" s="1199"/>
      <c r="AQ100" s="1199"/>
      <c r="AR100" s="1738"/>
    </row>
    <row r="101" spans="1:44" ht="20.25" customHeight="1">
      <c r="A101" s="1108" t="s">
        <v>863</v>
      </c>
      <c r="B101" s="1161" t="s">
        <v>864</v>
      </c>
      <c r="C101" s="1216">
        <f t="shared" si="20"/>
        <v>0</v>
      </c>
      <c r="D101" s="1106">
        <f t="shared" si="19"/>
        <v>0</v>
      </c>
      <c r="Z101" s="1199"/>
      <c r="AA101" s="1199"/>
      <c r="AB101" s="1199"/>
      <c r="AC101" s="1199"/>
      <c r="AD101" s="1199"/>
      <c r="AE101" s="1199"/>
      <c r="AF101" s="1199"/>
      <c r="AG101" s="1199"/>
      <c r="AH101" s="1199"/>
      <c r="AI101" s="1199"/>
      <c r="AJ101" s="1199"/>
      <c r="AK101" s="1199"/>
      <c r="AL101" s="1199"/>
      <c r="AM101" s="1199"/>
      <c r="AN101" s="1199"/>
      <c r="AO101" s="1738"/>
      <c r="AP101" s="1199"/>
      <c r="AQ101" s="1199"/>
      <c r="AR101" s="1738"/>
    </row>
    <row r="102" spans="1:44" ht="12" customHeight="1">
      <c r="A102" s="1108" t="s">
        <v>865</v>
      </c>
      <c r="B102" s="1160" t="s">
        <v>866</v>
      </c>
      <c r="C102" s="1216">
        <f t="shared" si="20"/>
        <v>2955000</v>
      </c>
      <c r="D102" s="1106">
        <f t="shared" si="19"/>
        <v>2955000</v>
      </c>
      <c r="E102" s="1199">
        <v>855000</v>
      </c>
      <c r="L102" s="1199">
        <v>1700000</v>
      </c>
      <c r="Z102" s="1199"/>
      <c r="AA102" s="1199"/>
      <c r="AB102" s="1199"/>
      <c r="AC102" s="1199"/>
      <c r="AD102" s="1199">
        <v>400000</v>
      </c>
      <c r="AE102" s="1199"/>
      <c r="AF102" s="1199"/>
      <c r="AG102" s="1199"/>
      <c r="AH102" s="1199"/>
      <c r="AI102" s="1199"/>
      <c r="AJ102" s="1199"/>
      <c r="AK102" s="1199"/>
      <c r="AL102" s="1199"/>
      <c r="AM102" s="1199"/>
      <c r="AN102" s="1199"/>
      <c r="AO102" s="1738"/>
      <c r="AP102" s="1199"/>
      <c r="AQ102" s="1199"/>
      <c r="AR102" s="1738"/>
    </row>
    <row r="103" spans="1:44" ht="12" customHeight="1">
      <c r="A103" s="1108" t="s">
        <v>867</v>
      </c>
      <c r="B103" s="1160" t="s">
        <v>868</v>
      </c>
      <c r="C103" s="1216">
        <f t="shared" si="20"/>
        <v>0</v>
      </c>
      <c r="D103" s="1106">
        <f t="shared" si="19"/>
        <v>0</v>
      </c>
      <c r="Z103" s="1199"/>
      <c r="AA103" s="1199"/>
      <c r="AB103" s="1199"/>
      <c r="AC103" s="1199"/>
      <c r="AD103" s="1199"/>
      <c r="AE103" s="1199"/>
      <c r="AF103" s="1199"/>
      <c r="AG103" s="1199"/>
      <c r="AH103" s="1199"/>
      <c r="AI103" s="1199"/>
      <c r="AJ103" s="1199"/>
      <c r="AK103" s="1199"/>
      <c r="AL103" s="1199"/>
      <c r="AM103" s="1199"/>
      <c r="AN103" s="1199"/>
      <c r="AO103" s="1738"/>
      <c r="AP103" s="1199"/>
      <c r="AQ103" s="1199"/>
      <c r="AR103" s="1738"/>
    </row>
    <row r="104" spans="1:44" ht="12" customHeight="1">
      <c r="A104" s="1108" t="s">
        <v>869</v>
      </c>
      <c r="B104" s="1161" t="s">
        <v>870</v>
      </c>
      <c r="C104" s="1216">
        <f t="shared" si="20"/>
        <v>0</v>
      </c>
      <c r="D104" s="1106">
        <f t="shared" si="19"/>
        <v>0</v>
      </c>
      <c r="Z104" s="1199"/>
      <c r="AA104" s="1199"/>
      <c r="AB104" s="1199"/>
      <c r="AC104" s="1199"/>
      <c r="AD104" s="1199"/>
      <c r="AE104" s="1199"/>
      <c r="AF104" s="1199"/>
      <c r="AG104" s="1199"/>
      <c r="AH104" s="1199"/>
      <c r="AI104" s="1199"/>
      <c r="AJ104" s="1199"/>
      <c r="AK104" s="1199"/>
      <c r="AL104" s="1199"/>
      <c r="AM104" s="1199"/>
      <c r="AN104" s="1199"/>
      <c r="AO104" s="1738"/>
      <c r="AP104" s="1199"/>
      <c r="AQ104" s="1199"/>
      <c r="AR104" s="1738"/>
    </row>
    <row r="105" spans="1:44" ht="12" customHeight="1">
      <c r="A105" s="1162" t="s">
        <v>871</v>
      </c>
      <c r="B105" s="1163" t="s">
        <v>872</v>
      </c>
      <c r="C105" s="1216">
        <f t="shared" si="20"/>
        <v>0</v>
      </c>
      <c r="D105" s="1106">
        <f t="shared" si="19"/>
        <v>0</v>
      </c>
      <c r="Z105" s="1199"/>
      <c r="AA105" s="1199"/>
      <c r="AB105" s="1199"/>
      <c r="AC105" s="1199"/>
      <c r="AD105" s="1199"/>
      <c r="AE105" s="1199"/>
      <c r="AF105" s="1199"/>
      <c r="AG105" s="1199"/>
      <c r="AH105" s="1199"/>
      <c r="AI105" s="1199"/>
      <c r="AJ105" s="1199"/>
      <c r="AK105" s="1199"/>
      <c r="AL105" s="1199"/>
      <c r="AM105" s="1199"/>
      <c r="AN105" s="1199"/>
      <c r="AO105" s="1738"/>
      <c r="AP105" s="1199"/>
      <c r="AQ105" s="1199"/>
      <c r="AR105" s="1738"/>
    </row>
    <row r="106" spans="1:44" ht="12" customHeight="1">
      <c r="A106" s="1108" t="s">
        <v>873</v>
      </c>
      <c r="B106" s="1163" t="s">
        <v>874</v>
      </c>
      <c r="C106" s="1216">
        <f t="shared" si="20"/>
        <v>0</v>
      </c>
      <c r="D106" s="1106">
        <f t="shared" si="19"/>
        <v>0</v>
      </c>
      <c r="Z106" s="1199"/>
      <c r="AA106" s="1199"/>
      <c r="AB106" s="1199"/>
      <c r="AC106" s="1199"/>
      <c r="AD106" s="1199"/>
      <c r="AE106" s="1199"/>
      <c r="AF106" s="1199"/>
      <c r="AG106" s="1199"/>
      <c r="AH106" s="1199"/>
      <c r="AI106" s="1199"/>
      <c r="AJ106" s="1199"/>
      <c r="AK106" s="1199"/>
      <c r="AL106" s="1199"/>
      <c r="AM106" s="1199"/>
      <c r="AN106" s="1199"/>
      <c r="AO106" s="1738"/>
      <c r="AP106" s="1199"/>
      <c r="AQ106" s="1199"/>
      <c r="AR106" s="1738"/>
    </row>
    <row r="107" spans="1:44" ht="12" customHeight="1" thickBot="1">
      <c r="A107" s="1130" t="s">
        <v>875</v>
      </c>
      <c r="B107" s="1164" t="s">
        <v>876</v>
      </c>
      <c r="C107" s="1216">
        <f t="shared" si="20"/>
        <v>0</v>
      </c>
      <c r="D107" s="1106">
        <f t="shared" si="19"/>
        <v>0</v>
      </c>
      <c r="Z107" s="1199"/>
      <c r="AA107" s="1199"/>
      <c r="AB107" s="1199"/>
      <c r="AC107" s="1199"/>
      <c r="AD107" s="1199"/>
      <c r="AE107" s="1199"/>
      <c r="AF107" s="1199"/>
      <c r="AG107" s="1199"/>
      <c r="AH107" s="1199"/>
      <c r="AI107" s="1199"/>
      <c r="AJ107" s="1199"/>
      <c r="AK107" s="1199"/>
      <c r="AL107" s="1199"/>
      <c r="AM107" s="1199"/>
      <c r="AN107" s="1199"/>
      <c r="AO107" s="1738"/>
      <c r="AP107" s="1199"/>
      <c r="AQ107" s="1199"/>
      <c r="AR107" s="1738"/>
    </row>
    <row r="108" spans="1:44" ht="12" customHeight="1" thickBot="1">
      <c r="A108" s="1099" t="s">
        <v>707</v>
      </c>
      <c r="B108" s="1167" t="s">
        <v>877</v>
      </c>
      <c r="C108" s="1101">
        <f>+C109+C111+C113</f>
        <v>1662490</v>
      </c>
      <c r="D108" s="1102">
        <f>+D109+D111+D113</f>
        <v>9662490</v>
      </c>
      <c r="Z108" s="1199"/>
      <c r="AA108" s="1199"/>
      <c r="AB108" s="1199"/>
      <c r="AC108" s="1199"/>
      <c r="AD108" s="1199"/>
      <c r="AE108" s="1199"/>
      <c r="AF108" s="1199"/>
      <c r="AG108" s="1199"/>
      <c r="AH108" s="1199"/>
      <c r="AI108" s="1199"/>
      <c r="AJ108" s="1199"/>
      <c r="AK108" s="1199"/>
      <c r="AL108" s="1199"/>
      <c r="AM108" s="1199"/>
      <c r="AN108" s="1199"/>
      <c r="AO108" s="1738"/>
      <c r="AP108" s="1199"/>
      <c r="AQ108" s="1199"/>
      <c r="AR108" s="1738"/>
    </row>
    <row r="109" spans="1:44" ht="12" customHeight="1">
      <c r="A109" s="1103" t="s">
        <v>709</v>
      </c>
      <c r="B109" s="1156" t="s">
        <v>72</v>
      </c>
      <c r="C109" s="1207">
        <f>SUM(E109:AO109)</f>
        <v>1662490</v>
      </c>
      <c r="D109" s="1106">
        <f t="shared" ref="D109:D121" si="21">C109+SUM(AP109:AR109)</f>
        <v>9662490</v>
      </c>
      <c r="E109" s="1199">
        <v>1380490</v>
      </c>
      <c r="P109" s="1199">
        <v>282000</v>
      </c>
      <c r="Z109" s="1199"/>
      <c r="AA109" s="1199"/>
      <c r="AB109" s="1199"/>
      <c r="AC109" s="1199"/>
      <c r="AD109" s="1199"/>
      <c r="AE109" s="1199"/>
      <c r="AF109" s="1199"/>
      <c r="AG109" s="1199"/>
      <c r="AH109" s="1199"/>
      <c r="AI109" s="1199"/>
      <c r="AJ109" s="1199"/>
      <c r="AK109" s="1199"/>
      <c r="AL109" s="1199"/>
      <c r="AM109" s="1199"/>
      <c r="AN109" s="1199"/>
      <c r="AO109" s="1738"/>
      <c r="AP109" s="1199">
        <f>1000000+5300000+1700000</f>
        <v>8000000</v>
      </c>
      <c r="AQ109" s="1199"/>
      <c r="AR109" s="1738"/>
    </row>
    <row r="110" spans="1:44" ht="12" customHeight="1">
      <c r="A110" s="1103" t="s">
        <v>711</v>
      </c>
      <c r="B110" s="1168" t="s">
        <v>878</v>
      </c>
      <c r="C110" s="1207">
        <f>SUM(E110:AO110)</f>
        <v>0</v>
      </c>
      <c r="D110" s="1106">
        <f t="shared" si="21"/>
        <v>0</v>
      </c>
      <c r="Z110" s="1199"/>
      <c r="AA110" s="1199"/>
      <c r="AB110" s="1199"/>
      <c r="AC110" s="1199"/>
      <c r="AD110" s="1199"/>
      <c r="AE110" s="1199"/>
      <c r="AF110" s="1199"/>
      <c r="AG110" s="1199"/>
      <c r="AH110" s="1199"/>
      <c r="AI110" s="1199"/>
      <c r="AJ110" s="1199"/>
      <c r="AK110" s="1199"/>
      <c r="AL110" s="1199"/>
      <c r="AM110" s="1199"/>
      <c r="AN110" s="1199"/>
      <c r="AO110" s="1738"/>
      <c r="AP110" s="1199"/>
      <c r="AQ110" s="1199"/>
      <c r="AR110" s="1738"/>
    </row>
    <row r="111" spans="1:44" ht="12" customHeight="1">
      <c r="A111" s="1103" t="s">
        <v>713</v>
      </c>
      <c r="B111" s="1168" t="s">
        <v>172</v>
      </c>
      <c r="C111" s="1207">
        <f>SUM(E111:AO111)</f>
        <v>0</v>
      </c>
      <c r="D111" s="1106">
        <f t="shared" si="21"/>
        <v>0</v>
      </c>
      <c r="Z111" s="1199"/>
      <c r="AA111" s="1199"/>
      <c r="AB111" s="1199"/>
      <c r="AC111" s="1199"/>
      <c r="AD111" s="1199"/>
      <c r="AE111" s="1199"/>
      <c r="AF111" s="1199"/>
      <c r="AG111" s="1199"/>
      <c r="AH111" s="1199"/>
      <c r="AI111" s="1199"/>
      <c r="AJ111" s="1199"/>
      <c r="AK111" s="1199"/>
      <c r="AL111" s="1199"/>
      <c r="AM111" s="1199"/>
      <c r="AN111" s="1199"/>
      <c r="AO111" s="1738"/>
      <c r="AP111" s="1199"/>
      <c r="AQ111" s="1199"/>
      <c r="AR111" s="1738"/>
    </row>
    <row r="112" spans="1:44" ht="12" customHeight="1">
      <c r="A112" s="1103" t="s">
        <v>715</v>
      </c>
      <c r="B112" s="1168" t="s">
        <v>879</v>
      </c>
      <c r="C112" s="1207">
        <f>SUM(E112:AO112)</f>
        <v>0</v>
      </c>
      <c r="D112" s="1106">
        <f t="shared" si="21"/>
        <v>0</v>
      </c>
      <c r="Z112" s="1199"/>
      <c r="AA112" s="1199"/>
      <c r="AB112" s="1199"/>
      <c r="AC112" s="1199"/>
      <c r="AD112" s="1199"/>
      <c r="AE112" s="1199"/>
      <c r="AF112" s="1199"/>
      <c r="AG112" s="1199"/>
      <c r="AH112" s="1199"/>
      <c r="AI112" s="1199"/>
      <c r="AJ112" s="1199"/>
      <c r="AK112" s="1199"/>
      <c r="AL112" s="1199"/>
      <c r="AM112" s="1199"/>
      <c r="AN112" s="1199"/>
      <c r="AO112" s="1738"/>
      <c r="AP112" s="1199"/>
      <c r="AQ112" s="1199"/>
      <c r="AR112" s="1738"/>
    </row>
    <row r="113" spans="1:44" ht="12" customHeight="1">
      <c r="A113" s="1103" t="s">
        <v>717</v>
      </c>
      <c r="B113" s="1169" t="s">
        <v>880</v>
      </c>
      <c r="C113" s="1217">
        <f>SUM(C114:C121)</f>
        <v>0</v>
      </c>
      <c r="D113" s="1106">
        <f t="shared" si="21"/>
        <v>0</v>
      </c>
      <c r="Z113" s="1199"/>
      <c r="AA113" s="1199"/>
      <c r="AB113" s="1199"/>
      <c r="AC113" s="1199"/>
      <c r="AD113" s="1199"/>
      <c r="AE113" s="1199"/>
      <c r="AF113" s="1199"/>
      <c r="AG113" s="1199"/>
      <c r="AH113" s="1199"/>
      <c r="AI113" s="1199"/>
      <c r="AJ113" s="1199"/>
      <c r="AK113" s="1199"/>
      <c r="AL113" s="1199"/>
      <c r="AM113" s="1199"/>
      <c r="AN113" s="1199"/>
      <c r="AO113" s="1738"/>
      <c r="AP113" s="1199"/>
      <c r="AQ113" s="1199"/>
      <c r="AR113" s="1738"/>
    </row>
    <row r="114" spans="1:44" ht="12" customHeight="1">
      <c r="A114" s="1103" t="s">
        <v>719</v>
      </c>
      <c r="B114" s="1170" t="s">
        <v>881</v>
      </c>
      <c r="C114" s="1217">
        <f>SUM(E114:AO114)</f>
        <v>0</v>
      </c>
      <c r="D114" s="1106">
        <f t="shared" si="21"/>
        <v>0</v>
      </c>
      <c r="Z114" s="1199"/>
      <c r="AA114" s="1199"/>
      <c r="AB114" s="1199"/>
      <c r="AC114" s="1199"/>
      <c r="AD114" s="1199"/>
      <c r="AE114" s="1199"/>
      <c r="AF114" s="1199"/>
      <c r="AG114" s="1199"/>
      <c r="AH114" s="1199"/>
      <c r="AI114" s="1199"/>
      <c r="AJ114" s="1199"/>
      <c r="AK114" s="1199"/>
      <c r="AL114" s="1199"/>
      <c r="AM114" s="1199"/>
      <c r="AN114" s="1199"/>
      <c r="AO114" s="1738"/>
      <c r="AP114" s="1199"/>
      <c r="AQ114" s="1199"/>
      <c r="AR114" s="1738"/>
    </row>
    <row r="115" spans="1:44" ht="12" customHeight="1">
      <c r="A115" s="1103" t="s">
        <v>882</v>
      </c>
      <c r="B115" s="1171" t="s">
        <v>883</v>
      </c>
      <c r="C115" s="1217">
        <f t="shared" ref="C115:C121" si="22">SUM(E115:AO115)</f>
        <v>0</v>
      </c>
      <c r="D115" s="1106">
        <f t="shared" si="21"/>
        <v>0</v>
      </c>
      <c r="Z115" s="1199"/>
      <c r="AA115" s="1199"/>
      <c r="AB115" s="1199"/>
      <c r="AC115" s="1199"/>
      <c r="AD115" s="1199"/>
      <c r="AE115" s="1199"/>
      <c r="AF115" s="1199"/>
      <c r="AG115" s="1199"/>
      <c r="AH115" s="1199"/>
      <c r="AI115" s="1199"/>
      <c r="AJ115" s="1199"/>
      <c r="AK115" s="1199"/>
      <c r="AL115" s="1199"/>
      <c r="AM115" s="1199"/>
      <c r="AN115" s="1199"/>
      <c r="AO115" s="1738"/>
      <c r="AP115" s="1199"/>
      <c r="AQ115" s="1199"/>
      <c r="AR115" s="1738"/>
    </row>
    <row r="116" spans="1:44" ht="12" customHeight="1">
      <c r="A116" s="1103" t="s">
        <v>884</v>
      </c>
      <c r="B116" s="1161" t="s">
        <v>864</v>
      </c>
      <c r="C116" s="1217">
        <f t="shared" si="22"/>
        <v>0</v>
      </c>
      <c r="D116" s="1106">
        <f t="shared" si="21"/>
        <v>0</v>
      </c>
      <c r="Z116" s="1199"/>
      <c r="AA116" s="1199"/>
      <c r="AB116" s="1199"/>
      <c r="AC116" s="1199"/>
      <c r="AD116" s="1199"/>
      <c r="AE116" s="1199"/>
      <c r="AF116" s="1199"/>
      <c r="AG116" s="1199"/>
      <c r="AH116" s="1199"/>
      <c r="AI116" s="1199"/>
      <c r="AJ116" s="1199"/>
      <c r="AK116" s="1199"/>
      <c r="AL116" s="1199"/>
      <c r="AM116" s="1199"/>
      <c r="AN116" s="1199"/>
      <c r="AO116" s="1738"/>
      <c r="AP116" s="1199"/>
      <c r="AQ116" s="1199"/>
      <c r="AR116" s="1738"/>
    </row>
    <row r="117" spans="1:44" ht="12" customHeight="1">
      <c r="A117" s="1103" t="s">
        <v>885</v>
      </c>
      <c r="B117" s="1161" t="s">
        <v>886</v>
      </c>
      <c r="C117" s="1217">
        <f t="shared" si="22"/>
        <v>0</v>
      </c>
      <c r="D117" s="1106">
        <f t="shared" si="21"/>
        <v>0</v>
      </c>
      <c r="Z117" s="1199"/>
      <c r="AA117" s="1199"/>
      <c r="AB117" s="1199"/>
      <c r="AC117" s="1199"/>
      <c r="AD117" s="1199"/>
      <c r="AE117" s="1199"/>
      <c r="AF117" s="1199"/>
      <c r="AG117" s="1199"/>
      <c r="AH117" s="1199"/>
      <c r="AI117" s="1199"/>
      <c r="AJ117" s="1199"/>
      <c r="AK117" s="1199"/>
      <c r="AL117" s="1199"/>
      <c r="AM117" s="1199"/>
      <c r="AN117" s="1199"/>
      <c r="AO117" s="1738"/>
      <c r="AP117" s="1199"/>
      <c r="AQ117" s="1199"/>
      <c r="AR117" s="1738"/>
    </row>
    <row r="118" spans="1:44" ht="12" customHeight="1">
      <c r="A118" s="1103" t="s">
        <v>887</v>
      </c>
      <c r="B118" s="1161" t="s">
        <v>888</v>
      </c>
      <c r="C118" s="1217">
        <f t="shared" si="22"/>
        <v>0</v>
      </c>
      <c r="D118" s="1106">
        <f t="shared" si="21"/>
        <v>0</v>
      </c>
      <c r="Z118" s="1199"/>
      <c r="AA118" s="1199"/>
      <c r="AB118" s="1199"/>
      <c r="AC118" s="1199"/>
      <c r="AD118" s="1199"/>
      <c r="AE118" s="1199"/>
      <c r="AF118" s="1199"/>
      <c r="AG118" s="1199"/>
      <c r="AH118" s="1199"/>
      <c r="AI118" s="1199"/>
      <c r="AJ118" s="1199"/>
      <c r="AK118" s="1199"/>
      <c r="AL118" s="1199"/>
      <c r="AM118" s="1199"/>
      <c r="AN118" s="1199"/>
      <c r="AO118" s="1738"/>
      <c r="AP118" s="1199"/>
      <c r="AQ118" s="1199"/>
      <c r="AR118" s="1738"/>
    </row>
    <row r="119" spans="1:44" ht="12" customHeight="1">
      <c r="A119" s="1103" t="s">
        <v>889</v>
      </c>
      <c r="B119" s="1161" t="s">
        <v>870</v>
      </c>
      <c r="C119" s="1217">
        <f t="shared" si="22"/>
        <v>0</v>
      </c>
      <c r="D119" s="1106">
        <f t="shared" si="21"/>
        <v>0</v>
      </c>
      <c r="Z119" s="1199"/>
      <c r="AA119" s="1199"/>
      <c r="AB119" s="1199"/>
      <c r="AC119" s="1199"/>
      <c r="AD119" s="1199"/>
      <c r="AE119" s="1199"/>
      <c r="AF119" s="1199"/>
      <c r="AG119" s="1199"/>
      <c r="AH119" s="1199"/>
      <c r="AI119" s="1199"/>
      <c r="AJ119" s="1199"/>
      <c r="AK119" s="1199"/>
      <c r="AL119" s="1199"/>
      <c r="AM119" s="1199"/>
      <c r="AN119" s="1199"/>
      <c r="AO119" s="1738"/>
      <c r="AP119" s="1199"/>
      <c r="AQ119" s="1199"/>
      <c r="AR119" s="1738"/>
    </row>
    <row r="120" spans="1:44" ht="12" customHeight="1">
      <c r="A120" s="1103" t="s">
        <v>890</v>
      </c>
      <c r="B120" s="1161" t="s">
        <v>891</v>
      </c>
      <c r="C120" s="1217">
        <f t="shared" si="22"/>
        <v>0</v>
      </c>
      <c r="D120" s="1106">
        <f t="shared" si="21"/>
        <v>0</v>
      </c>
      <c r="Z120" s="1199"/>
      <c r="AA120" s="1199"/>
      <c r="AB120" s="1199"/>
      <c r="AC120" s="1199"/>
      <c r="AD120" s="1199"/>
      <c r="AE120" s="1199"/>
      <c r="AF120" s="1199"/>
      <c r="AG120" s="1199"/>
      <c r="AH120" s="1199"/>
      <c r="AI120" s="1199"/>
      <c r="AJ120" s="1199"/>
      <c r="AK120" s="1199"/>
      <c r="AL120" s="1199"/>
      <c r="AM120" s="1199"/>
      <c r="AN120" s="1199"/>
      <c r="AO120" s="1738"/>
      <c r="AP120" s="1199"/>
      <c r="AQ120" s="1199"/>
      <c r="AR120" s="1738"/>
    </row>
    <row r="121" spans="1:44" ht="12" customHeight="1" thickBot="1">
      <c r="A121" s="1162" t="s">
        <v>892</v>
      </c>
      <c r="B121" s="1161" t="s">
        <v>893</v>
      </c>
      <c r="C121" s="1217">
        <f t="shared" si="22"/>
        <v>0</v>
      </c>
      <c r="D121" s="1106">
        <f t="shared" si="21"/>
        <v>0</v>
      </c>
      <c r="Z121" s="1199"/>
      <c r="AA121" s="1199"/>
      <c r="AB121" s="1199"/>
      <c r="AC121" s="1199"/>
      <c r="AD121" s="1199"/>
      <c r="AE121" s="1199"/>
      <c r="AF121" s="1199"/>
      <c r="AG121" s="1199"/>
      <c r="AH121" s="1199"/>
      <c r="AI121" s="1199"/>
      <c r="AJ121" s="1199"/>
      <c r="AK121" s="1199"/>
      <c r="AL121" s="1199"/>
      <c r="AM121" s="1199"/>
      <c r="AN121" s="1199"/>
      <c r="AO121" s="1738"/>
      <c r="AP121" s="1199"/>
      <c r="AQ121" s="1199"/>
      <c r="AR121" s="1738"/>
    </row>
    <row r="122" spans="1:44" ht="12" customHeight="1" thickBot="1">
      <c r="A122" s="1099" t="s">
        <v>721</v>
      </c>
      <c r="B122" s="1172" t="s">
        <v>894</v>
      </c>
      <c r="C122" s="1101">
        <f>+C123+C124</f>
        <v>70399208</v>
      </c>
      <c r="D122" s="1102">
        <f>+D123+D124</f>
        <v>82399208</v>
      </c>
      <c r="Z122" s="1199"/>
      <c r="AA122" s="1199"/>
      <c r="AB122" s="1199"/>
      <c r="AC122" s="1199"/>
      <c r="AD122" s="1199"/>
      <c r="AE122" s="1199"/>
      <c r="AF122" s="1199"/>
      <c r="AG122" s="1199"/>
      <c r="AH122" s="1199"/>
      <c r="AI122" s="1199"/>
      <c r="AJ122" s="1199"/>
      <c r="AK122" s="1199"/>
      <c r="AL122" s="1199"/>
      <c r="AM122" s="1199"/>
      <c r="AN122" s="1199"/>
      <c r="AO122" s="1738"/>
      <c r="AP122" s="1199"/>
      <c r="AQ122" s="1199"/>
      <c r="AR122" s="1738"/>
    </row>
    <row r="123" spans="1:44" ht="12" customHeight="1">
      <c r="A123" s="1103" t="s">
        <v>723</v>
      </c>
      <c r="B123" s="1173" t="s">
        <v>895</v>
      </c>
      <c r="C123" s="1207">
        <f>SUM(E123:AO123)</f>
        <v>2382509</v>
      </c>
      <c r="D123" s="1106">
        <f t="shared" ref="D123:D124" si="23">C123+SUM(AP123:AR123)</f>
        <v>14382509</v>
      </c>
      <c r="E123" s="1199">
        <v>2382509</v>
      </c>
      <c r="Z123" s="1199"/>
      <c r="AA123" s="1199"/>
      <c r="AB123" s="1199"/>
      <c r="AC123" s="1199"/>
      <c r="AD123" s="1199"/>
      <c r="AE123" s="1199"/>
      <c r="AF123" s="1199"/>
      <c r="AG123" s="1199"/>
      <c r="AH123" s="1199"/>
      <c r="AI123" s="1199"/>
      <c r="AJ123" s="1199"/>
      <c r="AK123" s="1199"/>
      <c r="AL123" s="1199"/>
      <c r="AM123" s="1199"/>
      <c r="AN123" s="1199"/>
      <c r="AO123" s="1738"/>
      <c r="AP123" s="1199">
        <v>12000000</v>
      </c>
      <c r="AQ123" s="1199"/>
      <c r="AR123" s="1738"/>
    </row>
    <row r="124" spans="1:44" ht="12" customHeight="1" thickBot="1">
      <c r="A124" s="1112" t="s">
        <v>725</v>
      </c>
      <c r="B124" s="1168" t="s">
        <v>896</v>
      </c>
      <c r="C124" s="1207">
        <f>SUM(E124:AO124)</f>
        <v>68016699</v>
      </c>
      <c r="D124" s="1106">
        <f t="shared" si="23"/>
        <v>68016699</v>
      </c>
      <c r="E124" s="1199">
        <v>68016699</v>
      </c>
      <c r="Z124" s="1199"/>
      <c r="AA124" s="1199"/>
      <c r="AB124" s="1199"/>
      <c r="AC124" s="1199"/>
      <c r="AD124" s="1199"/>
      <c r="AE124" s="1199"/>
      <c r="AF124" s="1199"/>
      <c r="AG124" s="1199"/>
      <c r="AH124" s="1199"/>
      <c r="AI124" s="1199"/>
      <c r="AJ124" s="1199"/>
      <c r="AK124" s="1199"/>
      <c r="AL124" s="1199"/>
      <c r="AM124" s="1199"/>
      <c r="AN124" s="1199"/>
      <c r="AO124" s="1738"/>
      <c r="AP124" s="1199"/>
      <c r="AQ124" s="1199"/>
      <c r="AR124" s="1738"/>
    </row>
    <row r="125" spans="1:44" ht="12" customHeight="1" thickBot="1">
      <c r="A125" s="1099" t="s">
        <v>897</v>
      </c>
      <c r="B125" s="1172" t="s">
        <v>898</v>
      </c>
      <c r="C125" s="1101">
        <f>+C92+C108+C122</f>
        <v>150928898</v>
      </c>
      <c r="D125" s="1102">
        <f>+D92+D108+D122</f>
        <v>177195721</v>
      </c>
      <c r="Z125" s="1199"/>
      <c r="AA125" s="1199"/>
      <c r="AB125" s="1199"/>
      <c r="AC125" s="1199"/>
      <c r="AD125" s="1199"/>
      <c r="AE125" s="1199"/>
      <c r="AF125" s="1199"/>
      <c r="AG125" s="1199"/>
      <c r="AH125" s="1199"/>
      <c r="AI125" s="1199"/>
      <c r="AJ125" s="1199"/>
      <c r="AK125" s="1199"/>
      <c r="AL125" s="1199"/>
      <c r="AM125" s="1199"/>
      <c r="AN125" s="1199"/>
      <c r="AO125" s="1738"/>
      <c r="AP125" s="1199"/>
      <c r="AQ125" s="1199"/>
      <c r="AR125" s="1738"/>
    </row>
    <row r="126" spans="1:44" ht="12" customHeight="1" thickBot="1">
      <c r="A126" s="1099" t="s">
        <v>750</v>
      </c>
      <c r="B126" s="1172" t="s">
        <v>899</v>
      </c>
      <c r="C126" s="1101">
        <f>+C127+C128+C129</f>
        <v>0</v>
      </c>
      <c r="D126" s="1102">
        <f>+D127+D128+D129</f>
        <v>0</v>
      </c>
      <c r="Z126" s="1199"/>
      <c r="AA126" s="1199"/>
      <c r="AB126" s="1199"/>
      <c r="AC126" s="1199"/>
      <c r="AD126" s="1199"/>
      <c r="AE126" s="1199"/>
      <c r="AF126" s="1199"/>
      <c r="AG126" s="1199"/>
      <c r="AH126" s="1199"/>
      <c r="AI126" s="1199"/>
      <c r="AJ126" s="1199"/>
      <c r="AK126" s="1199"/>
      <c r="AL126" s="1199"/>
      <c r="AM126" s="1199"/>
      <c r="AN126" s="1199"/>
      <c r="AO126" s="1738"/>
      <c r="AP126" s="1199"/>
      <c r="AQ126" s="1199"/>
      <c r="AR126" s="1738"/>
    </row>
    <row r="127" spans="1:44" s="1151" customFormat="1" ht="12" customHeight="1">
      <c r="A127" s="1103" t="s">
        <v>752</v>
      </c>
      <c r="B127" s="1173" t="s">
        <v>900</v>
      </c>
      <c r="C127" s="1217">
        <f>SUM(E127:AO127)</f>
        <v>0</v>
      </c>
      <c r="D127" s="1106">
        <f t="shared" ref="D127:D129" si="24">C127+SUM(AP127:AR127)</f>
        <v>0</v>
      </c>
      <c r="E127" s="1199"/>
      <c r="F127" s="1199"/>
      <c r="G127" s="1199"/>
      <c r="H127" s="1199"/>
      <c r="I127" s="1199"/>
      <c r="J127" s="1199"/>
      <c r="K127" s="1199"/>
      <c r="L127" s="1199"/>
      <c r="M127" s="1199"/>
      <c r="N127" s="1199"/>
      <c r="O127" s="1199"/>
      <c r="P127" s="1199"/>
      <c r="Q127" s="1199"/>
      <c r="R127" s="1199"/>
      <c r="S127" s="1199"/>
      <c r="T127" s="1199"/>
      <c r="U127" s="1199"/>
      <c r="V127" s="1199"/>
      <c r="W127" s="1199"/>
      <c r="X127" s="1199"/>
      <c r="Y127" s="1199"/>
      <c r="Z127" s="1206"/>
      <c r="AA127" s="1206"/>
      <c r="AB127" s="1206"/>
      <c r="AC127" s="1206"/>
      <c r="AD127" s="1206"/>
      <c r="AE127" s="1206"/>
      <c r="AF127" s="1206"/>
      <c r="AG127" s="1206"/>
      <c r="AH127" s="1206"/>
      <c r="AI127" s="1206"/>
      <c r="AJ127" s="1206"/>
      <c r="AK127" s="1206"/>
      <c r="AL127" s="1206"/>
      <c r="AM127" s="1206"/>
      <c r="AN127" s="1206"/>
      <c r="AO127" s="1738"/>
      <c r="AP127" s="1199"/>
      <c r="AQ127" s="1199"/>
      <c r="AR127" s="1738"/>
    </row>
    <row r="128" spans="1:44" ht="12" customHeight="1">
      <c r="A128" s="1103" t="s">
        <v>754</v>
      </c>
      <c r="B128" s="1173" t="s">
        <v>901</v>
      </c>
      <c r="C128" s="1217">
        <f>SUM(E128:AO128)</f>
        <v>0</v>
      </c>
      <c r="D128" s="1106">
        <f t="shared" si="24"/>
        <v>0</v>
      </c>
      <c r="Z128" s="1199"/>
      <c r="AA128" s="1199"/>
      <c r="AB128" s="1199"/>
      <c r="AC128" s="1199"/>
      <c r="AD128" s="1199"/>
      <c r="AE128" s="1199"/>
      <c r="AF128" s="1199"/>
      <c r="AG128" s="1199"/>
      <c r="AH128" s="1199"/>
      <c r="AI128" s="1199"/>
      <c r="AJ128" s="1199"/>
      <c r="AK128" s="1199"/>
      <c r="AL128" s="1199"/>
      <c r="AM128" s="1199"/>
      <c r="AN128" s="1199"/>
      <c r="AO128" s="1738"/>
      <c r="AP128" s="1199"/>
      <c r="AQ128" s="1199"/>
      <c r="AR128" s="1738"/>
    </row>
    <row r="129" spans="1:44" ht="12" customHeight="1" thickBot="1">
      <c r="A129" s="1162" t="s">
        <v>756</v>
      </c>
      <c r="B129" s="1175" t="s">
        <v>902</v>
      </c>
      <c r="C129" s="1217">
        <f>SUM(E129:AO129)</f>
        <v>0</v>
      </c>
      <c r="D129" s="1106">
        <f t="shared" si="24"/>
        <v>0</v>
      </c>
      <c r="Z129" s="1199"/>
      <c r="AA129" s="1199"/>
      <c r="AB129" s="1199"/>
      <c r="AC129" s="1199"/>
      <c r="AD129" s="1199"/>
      <c r="AE129" s="1199"/>
      <c r="AF129" s="1199"/>
      <c r="AG129" s="1199"/>
      <c r="AH129" s="1199"/>
      <c r="AI129" s="1199"/>
      <c r="AJ129" s="1199"/>
      <c r="AK129" s="1199"/>
      <c r="AL129" s="1199"/>
      <c r="AM129" s="1199"/>
      <c r="AN129" s="1199"/>
      <c r="AO129" s="1738"/>
      <c r="AP129" s="1199"/>
      <c r="AQ129" s="1199"/>
      <c r="AR129" s="1738"/>
    </row>
    <row r="130" spans="1:44" ht="12" customHeight="1" thickBot="1">
      <c r="A130" s="1099" t="s">
        <v>772</v>
      </c>
      <c r="B130" s="1172" t="s">
        <v>903</v>
      </c>
      <c r="C130" s="1101">
        <f>+C131+C132+C133+C134</f>
        <v>0</v>
      </c>
      <c r="D130" s="1102">
        <f>+D131+D132+D133+D134</f>
        <v>0</v>
      </c>
      <c r="Z130" s="1199"/>
      <c r="AA130" s="1199"/>
      <c r="AB130" s="1199"/>
      <c r="AC130" s="1199"/>
      <c r="AD130" s="1199"/>
      <c r="AE130" s="1199"/>
      <c r="AF130" s="1199"/>
      <c r="AG130" s="1199"/>
      <c r="AH130" s="1199"/>
      <c r="AI130" s="1199"/>
      <c r="AJ130" s="1199"/>
      <c r="AK130" s="1199"/>
      <c r="AL130" s="1199"/>
      <c r="AM130" s="1199"/>
      <c r="AN130" s="1199"/>
      <c r="AO130" s="1738"/>
      <c r="AP130" s="1199"/>
      <c r="AQ130" s="1199"/>
      <c r="AR130" s="1738"/>
    </row>
    <row r="131" spans="1:44" ht="12" customHeight="1">
      <c r="A131" s="1103" t="s">
        <v>774</v>
      </c>
      <c r="B131" s="1173" t="s">
        <v>904</v>
      </c>
      <c r="C131" s="1217">
        <f>SUM(E131:AO131)</f>
        <v>0</v>
      </c>
      <c r="D131" s="1106">
        <f t="shared" ref="D131:D134" si="25">C131+SUM(AP131:AR131)</f>
        <v>0</v>
      </c>
      <c r="Z131" s="1199"/>
      <c r="AA131" s="1199"/>
      <c r="AB131" s="1199"/>
      <c r="AC131" s="1199"/>
      <c r="AD131" s="1199"/>
      <c r="AE131" s="1199"/>
      <c r="AF131" s="1199"/>
      <c r="AG131" s="1199"/>
      <c r="AH131" s="1199"/>
      <c r="AI131" s="1199"/>
      <c r="AJ131" s="1199"/>
      <c r="AK131" s="1199"/>
      <c r="AL131" s="1199"/>
      <c r="AM131" s="1199"/>
      <c r="AN131" s="1199"/>
      <c r="AO131" s="1738"/>
      <c r="AP131" s="1199"/>
      <c r="AQ131" s="1199"/>
      <c r="AR131" s="1738"/>
    </row>
    <row r="132" spans="1:44" ht="12" customHeight="1">
      <c r="A132" s="1103" t="s">
        <v>776</v>
      </c>
      <c r="B132" s="1173" t="s">
        <v>905</v>
      </c>
      <c r="C132" s="1217">
        <f>SUM(E132:AO132)</f>
        <v>0</v>
      </c>
      <c r="D132" s="1106">
        <f t="shared" si="25"/>
        <v>0</v>
      </c>
      <c r="Z132" s="1199"/>
      <c r="AA132" s="1199"/>
      <c r="AB132" s="1199"/>
      <c r="AC132" s="1199"/>
      <c r="AD132" s="1199"/>
      <c r="AE132" s="1199"/>
      <c r="AF132" s="1199"/>
      <c r="AG132" s="1199"/>
      <c r="AH132" s="1199"/>
      <c r="AI132" s="1199"/>
      <c r="AJ132" s="1199"/>
      <c r="AK132" s="1199"/>
      <c r="AL132" s="1199"/>
      <c r="AM132" s="1199"/>
      <c r="AN132" s="1199"/>
      <c r="AO132" s="1738"/>
      <c r="AP132" s="1199"/>
      <c r="AQ132" s="1199"/>
      <c r="AR132" s="1738"/>
    </row>
    <row r="133" spans="1:44" ht="12" customHeight="1">
      <c r="A133" s="1103" t="s">
        <v>777</v>
      </c>
      <c r="B133" s="1173" t="s">
        <v>906</v>
      </c>
      <c r="C133" s="1217">
        <f>SUM(E133:AO133)</f>
        <v>0</v>
      </c>
      <c r="D133" s="1106">
        <f t="shared" si="25"/>
        <v>0</v>
      </c>
      <c r="Z133" s="1199"/>
      <c r="AA133" s="1199"/>
      <c r="AB133" s="1199"/>
      <c r="AC133" s="1199"/>
      <c r="AD133" s="1199"/>
      <c r="AE133" s="1199"/>
      <c r="AF133" s="1199"/>
      <c r="AG133" s="1199"/>
      <c r="AH133" s="1199"/>
      <c r="AI133" s="1199"/>
      <c r="AJ133" s="1199"/>
      <c r="AK133" s="1199"/>
      <c r="AL133" s="1199"/>
      <c r="AM133" s="1199"/>
      <c r="AN133" s="1199"/>
      <c r="AO133" s="1738"/>
      <c r="AP133" s="1199"/>
      <c r="AQ133" s="1199"/>
      <c r="AR133" s="1738"/>
    </row>
    <row r="134" spans="1:44" s="1151" customFormat="1" ht="12" customHeight="1" thickBot="1">
      <c r="A134" s="1162" t="s">
        <v>779</v>
      </c>
      <c r="B134" s="1175" t="s">
        <v>907</v>
      </c>
      <c r="C134" s="1217">
        <f>SUM(E134:AO134)</f>
        <v>0</v>
      </c>
      <c r="D134" s="1106">
        <f t="shared" si="25"/>
        <v>0</v>
      </c>
      <c r="E134" s="1199"/>
      <c r="F134" s="1199"/>
      <c r="G134" s="1199"/>
      <c r="H134" s="1199"/>
      <c r="I134" s="1199"/>
      <c r="J134" s="1199"/>
      <c r="K134" s="1199"/>
      <c r="L134" s="1199"/>
      <c r="M134" s="1199"/>
      <c r="N134" s="1199"/>
      <c r="O134" s="1199"/>
      <c r="P134" s="1199"/>
      <c r="Q134" s="1199"/>
      <c r="R134" s="1199"/>
      <c r="S134" s="1199"/>
      <c r="T134" s="1199"/>
      <c r="U134" s="1199"/>
      <c r="V134" s="1199"/>
      <c r="W134" s="1199"/>
      <c r="X134" s="1199"/>
      <c r="Y134" s="1199"/>
      <c r="Z134" s="1206"/>
      <c r="AA134" s="1206"/>
      <c r="AB134" s="1206"/>
      <c r="AC134" s="1206"/>
      <c r="AD134" s="1206"/>
      <c r="AE134" s="1206"/>
      <c r="AF134" s="1206"/>
      <c r="AG134" s="1206"/>
      <c r="AH134" s="1206"/>
      <c r="AI134" s="1206"/>
      <c r="AJ134" s="1206"/>
      <c r="AK134" s="1206"/>
      <c r="AL134" s="1206"/>
      <c r="AM134" s="1206"/>
      <c r="AN134" s="1206"/>
      <c r="AO134" s="1746"/>
      <c r="AP134" s="1199"/>
      <c r="AQ134" s="1199"/>
      <c r="AR134" s="1738"/>
    </row>
    <row r="135" spans="1:44" ht="12" customHeight="1" thickBot="1">
      <c r="A135" s="1099" t="s">
        <v>908</v>
      </c>
      <c r="B135" s="1172" t="s">
        <v>909</v>
      </c>
      <c r="C135" s="1118">
        <f>+C136+C137+C138+C139</f>
        <v>103661341</v>
      </c>
      <c r="D135" s="1119">
        <f>+D136+D137+D138+D139</f>
        <v>103661341</v>
      </c>
      <c r="Z135" s="1199"/>
      <c r="AA135" s="1199"/>
      <c r="AB135" s="1199"/>
      <c r="AC135" s="1199"/>
      <c r="AD135" s="1199"/>
      <c r="AE135" s="1199"/>
      <c r="AF135" s="1199"/>
      <c r="AG135" s="1199"/>
      <c r="AH135" s="1199"/>
      <c r="AI135" s="1199"/>
      <c r="AJ135" s="1199"/>
      <c r="AK135" s="1199"/>
      <c r="AL135" s="1199"/>
      <c r="AM135" s="1199"/>
      <c r="AN135" s="1199"/>
      <c r="AO135" s="1738"/>
      <c r="AP135" s="1199"/>
      <c r="AQ135" s="1199"/>
      <c r="AR135" s="1738"/>
    </row>
    <row r="136" spans="1:44">
      <c r="A136" s="1103" t="s">
        <v>785</v>
      </c>
      <c r="B136" s="1173" t="s">
        <v>910</v>
      </c>
      <c r="C136" s="1217">
        <f>SUM(E136:AO136)</f>
        <v>98121883</v>
      </c>
      <c r="D136" s="1106">
        <f t="shared" ref="D136:D139" si="26">C136+SUM(AP136:AR136)</f>
        <v>98121883</v>
      </c>
      <c r="L136" s="1199">
        <v>98121883</v>
      </c>
      <c r="Z136" s="1199"/>
      <c r="AA136" s="1199"/>
      <c r="AB136" s="1199"/>
      <c r="AC136" s="1199"/>
      <c r="AD136" s="1199"/>
      <c r="AE136" s="1199"/>
      <c r="AF136" s="1199"/>
      <c r="AG136" s="1199"/>
      <c r="AH136" s="1199"/>
      <c r="AI136" s="1199"/>
      <c r="AJ136" s="1199"/>
      <c r="AK136" s="1199"/>
      <c r="AL136" s="1199"/>
      <c r="AM136" s="1199"/>
      <c r="AN136" s="1199"/>
      <c r="AO136" s="1738"/>
      <c r="AP136" s="1199"/>
      <c r="AQ136" s="1199"/>
      <c r="AR136" s="1738"/>
    </row>
    <row r="137" spans="1:44" ht="12" customHeight="1">
      <c r="A137" s="1103" t="s">
        <v>787</v>
      </c>
      <c r="B137" s="1173" t="s">
        <v>911</v>
      </c>
      <c r="C137" s="1217">
        <f>SUM(E137:AO137)</f>
        <v>5539458</v>
      </c>
      <c r="D137" s="1106">
        <f t="shared" si="26"/>
        <v>5539458</v>
      </c>
      <c r="L137" s="1199">
        <v>5539458</v>
      </c>
      <c r="Z137" s="1199"/>
      <c r="AA137" s="1199"/>
      <c r="AB137" s="1199"/>
      <c r="AC137" s="1199"/>
      <c r="AD137" s="1199"/>
      <c r="AE137" s="1199"/>
      <c r="AF137" s="1199"/>
      <c r="AG137" s="1199"/>
      <c r="AH137" s="1199"/>
      <c r="AI137" s="1199"/>
      <c r="AJ137" s="1199"/>
      <c r="AK137" s="1199"/>
      <c r="AL137" s="1199"/>
      <c r="AM137" s="1199"/>
      <c r="AN137" s="1199"/>
      <c r="AO137" s="1738"/>
      <c r="AP137" s="1199"/>
      <c r="AQ137" s="1199"/>
      <c r="AR137" s="1738"/>
    </row>
    <row r="138" spans="1:44" s="1151" customFormat="1" ht="12" customHeight="1">
      <c r="A138" s="1103" t="s">
        <v>789</v>
      </c>
      <c r="B138" s="1173" t="s">
        <v>912</v>
      </c>
      <c r="C138" s="1217">
        <f>SUM(E138:AO138)</f>
        <v>0</v>
      </c>
      <c r="D138" s="1106">
        <f t="shared" si="26"/>
        <v>0</v>
      </c>
      <c r="E138" s="1199"/>
      <c r="F138" s="1199"/>
      <c r="G138" s="1199"/>
      <c r="H138" s="1199"/>
      <c r="I138" s="1199"/>
      <c r="J138" s="1199"/>
      <c r="K138" s="1199"/>
      <c r="L138" s="1199"/>
      <c r="M138" s="1199"/>
      <c r="N138" s="1199"/>
      <c r="O138" s="1199"/>
      <c r="P138" s="1199"/>
      <c r="Q138" s="1199"/>
      <c r="R138" s="1199"/>
      <c r="S138" s="1199"/>
      <c r="T138" s="1199"/>
      <c r="U138" s="1199"/>
      <c r="V138" s="1199"/>
      <c r="W138" s="1199"/>
      <c r="X138" s="1199"/>
      <c r="Y138" s="1199"/>
      <c r="Z138" s="1206"/>
      <c r="AA138" s="1206"/>
      <c r="AB138" s="1206"/>
      <c r="AC138" s="1206"/>
      <c r="AD138" s="1206"/>
      <c r="AE138" s="1206"/>
      <c r="AF138" s="1206"/>
      <c r="AG138" s="1206"/>
      <c r="AH138" s="1206"/>
      <c r="AI138" s="1206"/>
      <c r="AJ138" s="1206"/>
      <c r="AK138" s="1206"/>
      <c r="AL138" s="1206"/>
      <c r="AM138" s="1206"/>
      <c r="AN138" s="1206"/>
      <c r="AO138" s="1746"/>
      <c r="AP138" s="1199"/>
      <c r="AQ138" s="1199"/>
      <c r="AR138" s="1738"/>
    </row>
    <row r="139" spans="1:44" s="1151" customFormat="1" ht="12" customHeight="1" thickBot="1">
      <c r="A139" s="1162" t="s">
        <v>791</v>
      </c>
      <c r="B139" s="1175" t="s">
        <v>913</v>
      </c>
      <c r="C139" s="1217">
        <f>SUM(E139:AO139)</f>
        <v>0</v>
      </c>
      <c r="D139" s="1106">
        <f t="shared" si="26"/>
        <v>0</v>
      </c>
      <c r="E139" s="1199"/>
      <c r="F139" s="1199"/>
      <c r="G139" s="1199"/>
      <c r="H139" s="1199"/>
      <c r="I139" s="1199"/>
      <c r="J139" s="1199"/>
      <c r="K139" s="1199"/>
      <c r="L139" s="1199"/>
      <c r="M139" s="1199"/>
      <c r="N139" s="1199"/>
      <c r="O139" s="1199"/>
      <c r="P139" s="1199"/>
      <c r="Q139" s="1199"/>
      <c r="R139" s="1199"/>
      <c r="S139" s="1199"/>
      <c r="T139" s="1199"/>
      <c r="U139" s="1199"/>
      <c r="V139" s="1199"/>
      <c r="W139" s="1199"/>
      <c r="X139" s="1199"/>
      <c r="Y139" s="1199"/>
      <c r="Z139" s="1206"/>
      <c r="AA139" s="1206"/>
      <c r="AB139" s="1206"/>
      <c r="AC139" s="1206"/>
      <c r="AD139" s="1206"/>
      <c r="AE139" s="1206"/>
      <c r="AF139" s="1206"/>
      <c r="AG139" s="1206"/>
      <c r="AH139" s="1206"/>
      <c r="AI139" s="1206"/>
      <c r="AJ139" s="1206"/>
      <c r="AK139" s="1206"/>
      <c r="AL139" s="1206"/>
      <c r="AM139" s="1206"/>
      <c r="AN139" s="1206"/>
      <c r="AO139" s="1746"/>
      <c r="AP139" s="1199"/>
      <c r="AQ139" s="1199"/>
      <c r="AR139" s="1738"/>
    </row>
    <row r="140" spans="1:44" s="1151" customFormat="1" ht="12" customHeight="1" thickBot="1">
      <c r="A140" s="1099" t="s">
        <v>793</v>
      </c>
      <c r="B140" s="1172" t="s">
        <v>914</v>
      </c>
      <c r="C140" s="1178">
        <f>+C141+C142+C143+C144</f>
        <v>0</v>
      </c>
      <c r="D140" s="1179">
        <f>+D141+D142+D143+D144</f>
        <v>0</v>
      </c>
      <c r="E140" s="1199"/>
      <c r="F140" s="1199"/>
      <c r="G140" s="1199"/>
      <c r="H140" s="1199"/>
      <c r="I140" s="1199"/>
      <c r="J140" s="1199"/>
      <c r="K140" s="1199"/>
      <c r="L140" s="1199"/>
      <c r="M140" s="1199"/>
      <c r="N140" s="1199"/>
      <c r="O140" s="1199"/>
      <c r="P140" s="1199"/>
      <c r="Q140" s="1199"/>
      <c r="R140" s="1199"/>
      <c r="S140" s="1199"/>
      <c r="T140" s="1199"/>
      <c r="U140" s="1199"/>
      <c r="V140" s="1199"/>
      <c r="W140" s="1199"/>
      <c r="X140" s="1199"/>
      <c r="Y140" s="1199"/>
      <c r="Z140" s="1206"/>
      <c r="AA140" s="1206"/>
      <c r="AB140" s="1206"/>
      <c r="AC140" s="1206"/>
      <c r="AD140" s="1206"/>
      <c r="AE140" s="1206"/>
      <c r="AF140" s="1206"/>
      <c r="AG140" s="1206"/>
      <c r="AH140" s="1206"/>
      <c r="AI140" s="1206"/>
      <c r="AJ140" s="1206"/>
      <c r="AK140" s="1206"/>
      <c r="AL140" s="1206"/>
      <c r="AM140" s="1206"/>
      <c r="AN140" s="1206"/>
      <c r="AO140" s="1746"/>
      <c r="AP140" s="1199"/>
      <c r="AQ140" s="1199"/>
      <c r="AR140" s="1738"/>
    </row>
    <row r="141" spans="1:44" s="1151" customFormat="1" ht="12" customHeight="1">
      <c r="A141" s="1103" t="s">
        <v>795</v>
      </c>
      <c r="B141" s="1173" t="s">
        <v>915</v>
      </c>
      <c r="C141" s="1217">
        <f>SUM(E141:AO141)</f>
        <v>0</v>
      </c>
      <c r="D141" s="1106">
        <f t="shared" ref="D141:D144" si="27">C141+SUM(AP141:AR141)</f>
        <v>0</v>
      </c>
      <c r="E141" s="1199"/>
      <c r="F141" s="1199"/>
      <c r="G141" s="1199"/>
      <c r="H141" s="1199"/>
      <c r="I141" s="1199"/>
      <c r="J141" s="1199"/>
      <c r="K141" s="1199"/>
      <c r="L141" s="1199"/>
      <c r="M141" s="1199"/>
      <c r="N141" s="1199"/>
      <c r="O141" s="1199"/>
      <c r="P141" s="1199"/>
      <c r="Q141" s="1199"/>
      <c r="R141" s="1199"/>
      <c r="S141" s="1199"/>
      <c r="T141" s="1199"/>
      <c r="U141" s="1199"/>
      <c r="V141" s="1199"/>
      <c r="W141" s="1199"/>
      <c r="X141" s="1199"/>
      <c r="Y141" s="1199"/>
      <c r="Z141" s="1206"/>
      <c r="AA141" s="1206"/>
      <c r="AB141" s="1206"/>
      <c r="AC141" s="1206"/>
      <c r="AD141" s="1206"/>
      <c r="AE141" s="1206"/>
      <c r="AF141" s="1206"/>
      <c r="AG141" s="1206"/>
      <c r="AH141" s="1206"/>
      <c r="AI141" s="1206"/>
      <c r="AJ141" s="1206"/>
      <c r="AK141" s="1206"/>
      <c r="AL141" s="1206"/>
      <c r="AM141" s="1206"/>
      <c r="AN141" s="1206"/>
      <c r="AO141" s="1746"/>
      <c r="AP141" s="1199"/>
      <c r="AQ141" s="1199"/>
      <c r="AR141" s="1738"/>
    </row>
    <row r="142" spans="1:44" s="1151" customFormat="1" ht="12" customHeight="1">
      <c r="A142" s="1103" t="s">
        <v>797</v>
      </c>
      <c r="B142" s="1173" t="s">
        <v>916</v>
      </c>
      <c r="C142" s="1217">
        <f>SUM(E142:AO142)</f>
        <v>0</v>
      </c>
      <c r="D142" s="1106">
        <f t="shared" si="27"/>
        <v>0</v>
      </c>
      <c r="E142" s="1199"/>
      <c r="F142" s="1199"/>
      <c r="G142" s="1199"/>
      <c r="H142" s="1199"/>
      <c r="I142" s="1199"/>
      <c r="J142" s="1199"/>
      <c r="K142" s="1199"/>
      <c r="L142" s="1199"/>
      <c r="M142" s="1199"/>
      <c r="N142" s="1199"/>
      <c r="O142" s="1199"/>
      <c r="P142" s="1199"/>
      <c r="Q142" s="1199"/>
      <c r="R142" s="1199"/>
      <c r="S142" s="1199"/>
      <c r="T142" s="1199"/>
      <c r="U142" s="1199"/>
      <c r="V142" s="1199"/>
      <c r="W142" s="1199"/>
      <c r="X142" s="1199"/>
      <c r="Y142" s="1199"/>
      <c r="Z142" s="1206"/>
      <c r="AA142" s="1206"/>
      <c r="AB142" s="1206"/>
      <c r="AC142" s="1206"/>
      <c r="AD142" s="1206"/>
      <c r="AE142" s="1206"/>
      <c r="AF142" s="1206"/>
      <c r="AG142" s="1206"/>
      <c r="AH142" s="1206"/>
      <c r="AI142" s="1206"/>
      <c r="AJ142" s="1206"/>
      <c r="AK142" s="1206"/>
      <c r="AL142" s="1206"/>
      <c r="AM142" s="1206"/>
      <c r="AN142" s="1206"/>
      <c r="AO142" s="1746"/>
      <c r="AP142" s="1199"/>
      <c r="AQ142" s="1199"/>
      <c r="AR142" s="1738"/>
    </row>
    <row r="143" spans="1:44" s="1151" customFormat="1" ht="12" customHeight="1">
      <c r="A143" s="1103" t="s">
        <v>799</v>
      </c>
      <c r="B143" s="1173" t="s">
        <v>917</v>
      </c>
      <c r="C143" s="1217">
        <f>SUM(E143:AO143)</f>
        <v>0</v>
      </c>
      <c r="D143" s="1106">
        <f t="shared" si="27"/>
        <v>0</v>
      </c>
      <c r="E143" s="1199"/>
      <c r="F143" s="1199"/>
      <c r="G143" s="1199"/>
      <c r="H143" s="1199"/>
      <c r="I143" s="1199"/>
      <c r="J143" s="1199"/>
      <c r="K143" s="1199"/>
      <c r="L143" s="1199"/>
      <c r="M143" s="1199"/>
      <c r="N143" s="1199"/>
      <c r="O143" s="1199"/>
      <c r="P143" s="1199"/>
      <c r="Q143" s="1199"/>
      <c r="R143" s="1199"/>
      <c r="S143" s="1199"/>
      <c r="T143" s="1199"/>
      <c r="U143" s="1199"/>
      <c r="V143" s="1199"/>
      <c r="W143" s="1199"/>
      <c r="X143" s="1199"/>
      <c r="Y143" s="1199"/>
      <c r="Z143" s="1206"/>
      <c r="AA143" s="1206"/>
      <c r="AB143" s="1206"/>
      <c r="AC143" s="1206"/>
      <c r="AD143" s="1206"/>
      <c r="AE143" s="1206"/>
      <c r="AF143" s="1206"/>
      <c r="AG143" s="1206"/>
      <c r="AH143" s="1206"/>
      <c r="AI143" s="1206"/>
      <c r="AJ143" s="1206"/>
      <c r="AK143" s="1206"/>
      <c r="AL143" s="1206"/>
      <c r="AM143" s="1206"/>
      <c r="AN143" s="1206"/>
      <c r="AO143" s="1746"/>
      <c r="AP143" s="1199"/>
      <c r="AQ143" s="1199"/>
      <c r="AR143" s="1738"/>
    </row>
    <row r="144" spans="1:44" ht="12.75" customHeight="1" thickBot="1">
      <c r="A144" s="1103" t="s">
        <v>801</v>
      </c>
      <c r="B144" s="1173" t="s">
        <v>918</v>
      </c>
      <c r="C144" s="1217">
        <f>SUM(E144:AO144)</f>
        <v>0</v>
      </c>
      <c r="D144" s="1106">
        <f t="shared" si="27"/>
        <v>0</v>
      </c>
      <c r="Z144" s="1199"/>
      <c r="AA144" s="1199"/>
      <c r="AB144" s="1199"/>
      <c r="AC144" s="1199"/>
      <c r="AD144" s="1199"/>
      <c r="AE144" s="1199"/>
      <c r="AF144" s="1199"/>
      <c r="AG144" s="1199"/>
      <c r="AH144" s="1199"/>
      <c r="AI144" s="1199"/>
      <c r="AJ144" s="1199"/>
      <c r="AK144" s="1199"/>
      <c r="AL144" s="1199"/>
      <c r="AM144" s="1199"/>
      <c r="AN144" s="1199"/>
      <c r="AO144" s="1738"/>
      <c r="AP144" s="1199"/>
      <c r="AQ144" s="1199"/>
      <c r="AR144" s="1738"/>
    </row>
    <row r="145" spans="1:49" ht="12" customHeight="1" thickBot="1">
      <c r="A145" s="1099" t="s">
        <v>803</v>
      </c>
      <c r="B145" s="1172" t="s">
        <v>919</v>
      </c>
      <c r="C145" s="1180">
        <f>+C126+C130+C135+C140</f>
        <v>103661341</v>
      </c>
      <c r="D145" s="1181">
        <f>+D126+D130+D135+D140</f>
        <v>103661341</v>
      </c>
      <c r="Z145" s="1199"/>
      <c r="AA145" s="1199"/>
      <c r="AB145" s="1199"/>
      <c r="AC145" s="1199"/>
      <c r="AD145" s="1199"/>
      <c r="AE145" s="1199"/>
      <c r="AF145" s="1199"/>
      <c r="AG145" s="1199"/>
      <c r="AH145" s="1199"/>
      <c r="AI145" s="1199"/>
      <c r="AJ145" s="1199"/>
      <c r="AK145" s="1199"/>
      <c r="AL145" s="1199"/>
      <c r="AM145" s="1199"/>
      <c r="AN145" s="1199"/>
      <c r="AO145" s="1738"/>
      <c r="AP145" s="1199"/>
      <c r="AQ145" s="1199"/>
      <c r="AR145" s="1738"/>
    </row>
    <row r="146" spans="1:49" s="1219" customFormat="1" ht="15" customHeight="1" thickBot="1">
      <c r="A146" s="1182" t="s">
        <v>920</v>
      </c>
      <c r="B146" s="1183" t="s">
        <v>921</v>
      </c>
      <c r="C146" s="1180">
        <f>+C125+C145</f>
        <v>254590239</v>
      </c>
      <c r="D146" s="1180">
        <f>+D125+D145</f>
        <v>280857062</v>
      </c>
      <c r="E146" s="1218">
        <f>SUM(E93:E145)</f>
        <v>93771698</v>
      </c>
      <c r="F146" s="1218">
        <f t="shared" ref="F146:AO146" si="28">SUM(F93:F145)</f>
        <v>4418000</v>
      </c>
      <c r="G146" s="1218">
        <f t="shared" si="28"/>
        <v>6282200</v>
      </c>
      <c r="H146" s="1218">
        <f t="shared" si="28"/>
        <v>0</v>
      </c>
      <c r="I146" s="1218">
        <f>SUM(I93:I145)</f>
        <v>0</v>
      </c>
      <c r="J146" s="1218">
        <f t="shared" si="28"/>
        <v>1236000</v>
      </c>
      <c r="K146" s="1218">
        <f t="shared" si="28"/>
        <v>0</v>
      </c>
      <c r="L146" s="1218">
        <f>SUM(L93:L145)</f>
        <v>105361341</v>
      </c>
      <c r="M146" s="1218">
        <f t="shared" si="28"/>
        <v>1343000</v>
      </c>
      <c r="N146" s="1218">
        <f t="shared" si="28"/>
        <v>762000</v>
      </c>
      <c r="O146" s="1218">
        <f t="shared" si="28"/>
        <v>3000000</v>
      </c>
      <c r="P146" s="1218">
        <f t="shared" si="28"/>
        <v>282000</v>
      </c>
      <c r="Q146" s="1218">
        <f t="shared" si="28"/>
        <v>150000</v>
      </c>
      <c r="R146" s="1218">
        <f t="shared" si="28"/>
        <v>8836000</v>
      </c>
      <c r="S146" s="1218">
        <f t="shared" si="28"/>
        <v>4108000</v>
      </c>
      <c r="T146" s="1218">
        <f t="shared" si="28"/>
        <v>10428000</v>
      </c>
      <c r="U146" s="1218">
        <f t="shared" si="28"/>
        <v>387000</v>
      </c>
      <c r="V146" s="1218">
        <f t="shared" si="28"/>
        <v>601000</v>
      </c>
      <c r="W146" s="1218">
        <f t="shared" si="28"/>
        <v>261000</v>
      </c>
      <c r="X146" s="1218">
        <f t="shared" si="28"/>
        <v>1116000</v>
      </c>
      <c r="Y146" s="1218">
        <f t="shared" si="28"/>
        <v>4102000</v>
      </c>
      <c r="Z146" s="1218">
        <f t="shared" si="28"/>
        <v>579000</v>
      </c>
      <c r="AA146" s="1218">
        <f t="shared" si="28"/>
        <v>2630000</v>
      </c>
      <c r="AB146" s="1218">
        <f t="shared" si="28"/>
        <v>1143000</v>
      </c>
      <c r="AC146" s="1218">
        <f>SUM(AC93:AC145)</f>
        <v>0</v>
      </c>
      <c r="AD146" s="1218">
        <f t="shared" si="28"/>
        <v>400000</v>
      </c>
      <c r="AE146" s="1218">
        <f t="shared" si="28"/>
        <v>0</v>
      </c>
      <c r="AF146" s="1218">
        <f t="shared" si="28"/>
        <v>0</v>
      </c>
      <c r="AG146" s="1218">
        <f t="shared" si="28"/>
        <v>128000</v>
      </c>
      <c r="AH146" s="1218">
        <f>SUM(AH93:AH145)</f>
        <v>0</v>
      </c>
      <c r="AI146" s="1218">
        <f t="shared" si="28"/>
        <v>0</v>
      </c>
      <c r="AJ146" s="1218">
        <f t="shared" si="28"/>
        <v>150000</v>
      </c>
      <c r="AK146" s="1218">
        <f t="shared" si="28"/>
        <v>1113000</v>
      </c>
      <c r="AL146" s="1218">
        <f t="shared" si="28"/>
        <v>2000</v>
      </c>
      <c r="AM146" s="1218">
        <f t="shared" si="28"/>
        <v>2000000</v>
      </c>
      <c r="AN146" s="1218">
        <f t="shared" si="28"/>
        <v>0</v>
      </c>
      <c r="AO146" s="1739">
        <f t="shared" si="28"/>
        <v>0</v>
      </c>
      <c r="AP146" s="1218"/>
      <c r="AQ146" s="1218"/>
      <c r="AR146" s="1739"/>
      <c r="AS146" s="1218"/>
      <c r="AT146" s="1218"/>
      <c r="AU146" s="1218"/>
      <c r="AV146" s="1218"/>
      <c r="AW146" s="1218"/>
    </row>
    <row r="147" spans="1:49" ht="13.5" thickBot="1">
      <c r="AP147" s="1199"/>
      <c r="AQ147" s="1199"/>
      <c r="AR147" s="1738"/>
    </row>
    <row r="148" spans="1:49" ht="15" customHeight="1" thickBot="1">
      <c r="A148" s="1220" t="s">
        <v>964</v>
      </c>
      <c r="B148" s="1221"/>
      <c r="C148" s="1222">
        <v>6</v>
      </c>
      <c r="D148" s="1222">
        <v>7</v>
      </c>
      <c r="AO148" s="1744">
        <f>SUM(E146:AO146)</f>
        <v>254590239</v>
      </c>
      <c r="AP148" s="1199"/>
      <c r="AQ148" s="1199"/>
      <c r="AR148" s="1738"/>
    </row>
    <row r="149" spans="1:49" ht="14.25" customHeight="1" thickBot="1">
      <c r="A149" s="1220" t="s">
        <v>965</v>
      </c>
      <c r="B149" s="1221"/>
      <c r="C149" s="1222">
        <v>7</v>
      </c>
      <c r="D149" s="1222">
        <v>7</v>
      </c>
      <c r="AP149" s="1199"/>
      <c r="AQ149" s="1199"/>
      <c r="AR149" s="1738"/>
    </row>
    <row r="150" spans="1:49">
      <c r="A150" s="1224"/>
      <c r="AP150" s="1199"/>
      <c r="AQ150" s="1199"/>
      <c r="AR150" s="1738"/>
    </row>
    <row r="151" spans="1:49">
      <c r="AP151" s="1199"/>
      <c r="AQ151" s="1199"/>
      <c r="AR151" s="1738"/>
    </row>
  </sheetData>
  <sheetProtection selectLockedCells="1" selectUnlockedCells="1"/>
  <mergeCells count="5">
    <mergeCell ref="A1:D1"/>
    <mergeCell ref="C2:D3"/>
    <mergeCell ref="C4:D4"/>
    <mergeCell ref="A7:D7"/>
    <mergeCell ref="A91:D9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2" manualBreakCount="2">
    <brk id="69" max="3" man="1"/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J150"/>
  <sheetViews>
    <sheetView view="pageBreakPreview" topLeftCell="A118" zoomScaleNormal="100" zoomScaleSheetLayoutView="100" workbookViewId="0">
      <selection activeCell="Q16" sqref="Q16"/>
    </sheetView>
  </sheetViews>
  <sheetFormatPr defaultRowHeight="12.75"/>
  <cols>
    <col min="1" max="1" width="16.7109375" style="1190" customWidth="1"/>
    <col min="2" max="2" width="52.5703125" style="1191" customWidth="1"/>
    <col min="3" max="3" width="11" style="1192" customWidth="1"/>
    <col min="4" max="4" width="13.42578125" style="1192" customWidth="1"/>
    <col min="5" max="5" width="11.28515625" style="1199" hidden="1" customWidth="1"/>
    <col min="6" max="6" width="13" style="1199" hidden="1" customWidth="1"/>
    <col min="7" max="7" width="11.42578125" style="1199" hidden="1" customWidth="1"/>
    <col min="8" max="10" width="9.140625" style="1093" hidden="1" customWidth="1"/>
    <col min="11" max="12" width="0" style="1093" hidden="1" customWidth="1"/>
    <col min="13" max="213" width="9.140625" style="1093"/>
    <col min="214" max="214" width="16.7109375" style="1093" customWidth="1"/>
    <col min="215" max="215" width="52.5703125" style="1093" customWidth="1"/>
    <col min="216" max="216" width="11" style="1093" customWidth="1"/>
    <col min="217" max="217" width="13.42578125" style="1093" customWidth="1"/>
    <col min="218" max="218" width="11.28515625" style="1093" customWidth="1"/>
    <col min="219" max="219" width="10.28515625" style="1093" customWidth="1"/>
    <col min="220" max="220" width="13.85546875" style="1093" customWidth="1"/>
    <col min="221" max="222" width="7.85546875" style="1093" customWidth="1"/>
    <col min="223" max="223" width="10.85546875" style="1093" customWidth="1"/>
    <col min="224" max="224" width="13" style="1093" customWidth="1"/>
    <col min="225" max="225" width="11.42578125" style="1093" customWidth="1"/>
    <col min="226" max="226" width="10" style="1093" customWidth="1"/>
    <col min="227" max="227" width="7.85546875" style="1093" customWidth="1"/>
    <col min="228" max="228" width="10.140625" style="1093" customWidth="1"/>
    <col min="229" max="230" width="7.85546875" style="1093" customWidth="1"/>
    <col min="231" max="231" width="10.85546875" style="1093" customWidth="1"/>
    <col min="232" max="232" width="10.7109375" style="1093" customWidth="1"/>
    <col min="233" max="233" width="11" style="1093" customWidth="1"/>
    <col min="234" max="236" width="7.85546875" style="1093" customWidth="1"/>
    <col min="237" max="237" width="11.28515625" style="1093" customWidth="1"/>
    <col min="238" max="238" width="12.42578125" style="1093" customWidth="1"/>
    <col min="239" max="239" width="11" style="1093" customWidth="1"/>
    <col min="240" max="241" width="7.85546875" style="1093" customWidth="1"/>
    <col min="242" max="242" width="11" style="1093" customWidth="1"/>
    <col min="243" max="243" width="10.5703125" style="1093" customWidth="1"/>
    <col min="244" max="245" width="11" style="1093" customWidth="1"/>
    <col min="246" max="250" width="7.85546875" style="1093" bestFit="1" customWidth="1"/>
    <col min="251" max="251" width="8.42578125" style="1093" bestFit="1" customWidth="1"/>
    <col min="252" max="252" width="11.42578125" style="1093" customWidth="1"/>
    <col min="253" max="253" width="7.85546875" style="1093" bestFit="1" customWidth="1"/>
    <col min="254" max="254" width="9.5703125" style="1093" customWidth="1"/>
    <col min="255" max="255" width="7.85546875" style="1093" bestFit="1" customWidth="1"/>
    <col min="256" max="256" width="12" style="1093" customWidth="1"/>
    <col min="257" max="257" width="13.42578125" style="1093" customWidth="1"/>
    <col min="258" max="258" width="9.5703125" style="1093" bestFit="1" customWidth="1"/>
    <col min="259" max="265" width="9.140625" style="1093" customWidth="1"/>
    <col min="266" max="469" width="9.140625" style="1093"/>
    <col min="470" max="470" width="16.7109375" style="1093" customWidth="1"/>
    <col min="471" max="471" width="52.5703125" style="1093" customWidth="1"/>
    <col min="472" max="472" width="11" style="1093" customWidth="1"/>
    <col min="473" max="473" width="13.42578125" style="1093" customWidth="1"/>
    <col min="474" max="474" width="11.28515625" style="1093" customWidth="1"/>
    <col min="475" max="475" width="10.28515625" style="1093" customWidth="1"/>
    <col min="476" max="476" width="13.85546875" style="1093" customWidth="1"/>
    <col min="477" max="478" width="7.85546875" style="1093" customWidth="1"/>
    <col min="479" max="479" width="10.85546875" style="1093" customWidth="1"/>
    <col min="480" max="480" width="13" style="1093" customWidth="1"/>
    <col min="481" max="481" width="11.42578125" style="1093" customWidth="1"/>
    <col min="482" max="482" width="10" style="1093" customWidth="1"/>
    <col min="483" max="483" width="7.85546875" style="1093" customWidth="1"/>
    <col min="484" max="484" width="10.140625" style="1093" customWidth="1"/>
    <col min="485" max="486" width="7.85546875" style="1093" customWidth="1"/>
    <col min="487" max="487" width="10.85546875" style="1093" customWidth="1"/>
    <col min="488" max="488" width="10.7109375" style="1093" customWidth="1"/>
    <col min="489" max="489" width="11" style="1093" customWidth="1"/>
    <col min="490" max="492" width="7.85546875" style="1093" customWidth="1"/>
    <col min="493" max="493" width="11.28515625" style="1093" customWidth="1"/>
    <col min="494" max="494" width="12.42578125" style="1093" customWidth="1"/>
    <col min="495" max="495" width="11" style="1093" customWidth="1"/>
    <col min="496" max="497" width="7.85546875" style="1093" customWidth="1"/>
    <col min="498" max="498" width="11" style="1093" customWidth="1"/>
    <col min="499" max="499" width="10.5703125" style="1093" customWidth="1"/>
    <col min="500" max="501" width="11" style="1093" customWidth="1"/>
    <col min="502" max="506" width="7.85546875" style="1093" bestFit="1" customWidth="1"/>
    <col min="507" max="507" width="8.42578125" style="1093" bestFit="1" customWidth="1"/>
    <col min="508" max="508" width="11.42578125" style="1093" customWidth="1"/>
    <col min="509" max="509" width="7.85546875" style="1093" bestFit="1" customWidth="1"/>
    <col min="510" max="510" width="9.5703125" style="1093" customWidth="1"/>
    <col min="511" max="511" width="7.85546875" style="1093" bestFit="1" customWidth="1"/>
    <col min="512" max="512" width="12" style="1093" customWidth="1"/>
    <col min="513" max="513" width="13.42578125" style="1093" customWidth="1"/>
    <col min="514" max="514" width="9.5703125" style="1093" bestFit="1" customWidth="1"/>
    <col min="515" max="521" width="9.140625" style="1093" customWidth="1"/>
    <col min="522" max="725" width="9.140625" style="1093"/>
    <col min="726" max="726" width="16.7109375" style="1093" customWidth="1"/>
    <col min="727" max="727" width="52.5703125" style="1093" customWidth="1"/>
    <col min="728" max="728" width="11" style="1093" customWidth="1"/>
    <col min="729" max="729" width="13.42578125" style="1093" customWidth="1"/>
    <col min="730" max="730" width="11.28515625" style="1093" customWidth="1"/>
    <col min="731" max="731" width="10.28515625" style="1093" customWidth="1"/>
    <col min="732" max="732" width="13.85546875" style="1093" customWidth="1"/>
    <col min="733" max="734" width="7.85546875" style="1093" customWidth="1"/>
    <col min="735" max="735" width="10.85546875" style="1093" customWidth="1"/>
    <col min="736" max="736" width="13" style="1093" customWidth="1"/>
    <col min="737" max="737" width="11.42578125" style="1093" customWidth="1"/>
    <col min="738" max="738" width="10" style="1093" customWidth="1"/>
    <col min="739" max="739" width="7.85546875" style="1093" customWidth="1"/>
    <col min="740" max="740" width="10.140625" style="1093" customWidth="1"/>
    <col min="741" max="742" width="7.85546875" style="1093" customWidth="1"/>
    <col min="743" max="743" width="10.85546875" style="1093" customWidth="1"/>
    <col min="744" max="744" width="10.7109375" style="1093" customWidth="1"/>
    <col min="745" max="745" width="11" style="1093" customWidth="1"/>
    <col min="746" max="748" width="7.85546875" style="1093" customWidth="1"/>
    <col min="749" max="749" width="11.28515625" style="1093" customWidth="1"/>
    <col min="750" max="750" width="12.42578125" style="1093" customWidth="1"/>
    <col min="751" max="751" width="11" style="1093" customWidth="1"/>
    <col min="752" max="753" width="7.85546875" style="1093" customWidth="1"/>
    <col min="754" max="754" width="11" style="1093" customWidth="1"/>
    <col min="755" max="755" width="10.5703125" style="1093" customWidth="1"/>
    <col min="756" max="757" width="11" style="1093" customWidth="1"/>
    <col min="758" max="762" width="7.85546875" style="1093" bestFit="1" customWidth="1"/>
    <col min="763" max="763" width="8.42578125" style="1093" bestFit="1" customWidth="1"/>
    <col min="764" max="764" width="11.42578125" style="1093" customWidth="1"/>
    <col min="765" max="765" width="7.85546875" style="1093" bestFit="1" customWidth="1"/>
    <col min="766" max="766" width="9.5703125" style="1093" customWidth="1"/>
    <col min="767" max="767" width="7.85546875" style="1093" bestFit="1" customWidth="1"/>
    <col min="768" max="768" width="12" style="1093" customWidth="1"/>
    <col min="769" max="769" width="13.42578125" style="1093" customWidth="1"/>
    <col min="770" max="770" width="9.5703125" style="1093" bestFit="1" customWidth="1"/>
    <col min="771" max="777" width="9.140625" style="1093" customWidth="1"/>
    <col min="778" max="981" width="9.140625" style="1093"/>
    <col min="982" max="982" width="16.7109375" style="1093" customWidth="1"/>
    <col min="983" max="983" width="52.5703125" style="1093" customWidth="1"/>
    <col min="984" max="984" width="11" style="1093" customWidth="1"/>
    <col min="985" max="985" width="13.42578125" style="1093" customWidth="1"/>
    <col min="986" max="986" width="11.28515625" style="1093" customWidth="1"/>
    <col min="987" max="987" width="10.28515625" style="1093" customWidth="1"/>
    <col min="988" max="988" width="13.85546875" style="1093" customWidth="1"/>
    <col min="989" max="990" width="7.85546875" style="1093" customWidth="1"/>
    <col min="991" max="991" width="10.85546875" style="1093" customWidth="1"/>
    <col min="992" max="992" width="13" style="1093" customWidth="1"/>
    <col min="993" max="993" width="11.42578125" style="1093" customWidth="1"/>
    <col min="994" max="994" width="10" style="1093" customWidth="1"/>
    <col min="995" max="995" width="7.85546875" style="1093" customWidth="1"/>
    <col min="996" max="996" width="10.140625" style="1093" customWidth="1"/>
    <col min="997" max="998" width="7.85546875" style="1093" customWidth="1"/>
    <col min="999" max="999" width="10.85546875" style="1093" customWidth="1"/>
    <col min="1000" max="1000" width="10.7109375" style="1093" customWidth="1"/>
    <col min="1001" max="1001" width="11" style="1093" customWidth="1"/>
    <col min="1002" max="1004" width="7.85546875" style="1093" customWidth="1"/>
    <col min="1005" max="1005" width="11.28515625" style="1093" customWidth="1"/>
    <col min="1006" max="1006" width="12.42578125" style="1093" customWidth="1"/>
    <col min="1007" max="1007" width="11" style="1093" customWidth="1"/>
    <col min="1008" max="1009" width="7.85546875" style="1093" customWidth="1"/>
    <col min="1010" max="1010" width="11" style="1093" customWidth="1"/>
    <col min="1011" max="1011" width="10.5703125" style="1093" customWidth="1"/>
    <col min="1012" max="1013" width="11" style="1093" customWidth="1"/>
    <col min="1014" max="1018" width="7.85546875" style="1093" bestFit="1" customWidth="1"/>
    <col min="1019" max="1019" width="8.42578125" style="1093" bestFit="1" customWidth="1"/>
    <col min="1020" max="1020" width="11.42578125" style="1093" customWidth="1"/>
    <col min="1021" max="1021" width="7.85546875" style="1093" bestFit="1" customWidth="1"/>
    <col min="1022" max="1022" width="9.5703125" style="1093" customWidth="1"/>
    <col min="1023" max="1023" width="7.85546875" style="1093" bestFit="1" customWidth="1"/>
    <col min="1024" max="1024" width="12" style="1093" customWidth="1"/>
    <col min="1025" max="1025" width="13.42578125" style="1093" customWidth="1"/>
    <col min="1026" max="1026" width="9.5703125" style="1093" bestFit="1" customWidth="1"/>
    <col min="1027" max="1033" width="9.140625" style="1093" customWidth="1"/>
    <col min="1034" max="1237" width="9.140625" style="1093"/>
    <col min="1238" max="1238" width="16.7109375" style="1093" customWidth="1"/>
    <col min="1239" max="1239" width="52.5703125" style="1093" customWidth="1"/>
    <col min="1240" max="1240" width="11" style="1093" customWidth="1"/>
    <col min="1241" max="1241" width="13.42578125" style="1093" customWidth="1"/>
    <col min="1242" max="1242" width="11.28515625" style="1093" customWidth="1"/>
    <col min="1243" max="1243" width="10.28515625" style="1093" customWidth="1"/>
    <col min="1244" max="1244" width="13.85546875" style="1093" customWidth="1"/>
    <col min="1245" max="1246" width="7.85546875" style="1093" customWidth="1"/>
    <col min="1247" max="1247" width="10.85546875" style="1093" customWidth="1"/>
    <col min="1248" max="1248" width="13" style="1093" customWidth="1"/>
    <col min="1249" max="1249" width="11.42578125" style="1093" customWidth="1"/>
    <col min="1250" max="1250" width="10" style="1093" customWidth="1"/>
    <col min="1251" max="1251" width="7.85546875" style="1093" customWidth="1"/>
    <col min="1252" max="1252" width="10.140625" style="1093" customWidth="1"/>
    <col min="1253" max="1254" width="7.85546875" style="1093" customWidth="1"/>
    <col min="1255" max="1255" width="10.85546875" style="1093" customWidth="1"/>
    <col min="1256" max="1256" width="10.7109375" style="1093" customWidth="1"/>
    <col min="1257" max="1257" width="11" style="1093" customWidth="1"/>
    <col min="1258" max="1260" width="7.85546875" style="1093" customWidth="1"/>
    <col min="1261" max="1261" width="11.28515625" style="1093" customWidth="1"/>
    <col min="1262" max="1262" width="12.42578125" style="1093" customWidth="1"/>
    <col min="1263" max="1263" width="11" style="1093" customWidth="1"/>
    <col min="1264" max="1265" width="7.85546875" style="1093" customWidth="1"/>
    <col min="1266" max="1266" width="11" style="1093" customWidth="1"/>
    <col min="1267" max="1267" width="10.5703125" style="1093" customWidth="1"/>
    <col min="1268" max="1269" width="11" style="1093" customWidth="1"/>
    <col min="1270" max="1274" width="7.85546875" style="1093" bestFit="1" customWidth="1"/>
    <col min="1275" max="1275" width="8.42578125" style="1093" bestFit="1" customWidth="1"/>
    <col min="1276" max="1276" width="11.42578125" style="1093" customWidth="1"/>
    <col min="1277" max="1277" width="7.85546875" style="1093" bestFit="1" customWidth="1"/>
    <col min="1278" max="1278" width="9.5703125" style="1093" customWidth="1"/>
    <col min="1279" max="1279" width="7.85546875" style="1093" bestFit="1" customWidth="1"/>
    <col min="1280" max="1280" width="12" style="1093" customWidth="1"/>
    <col min="1281" max="1281" width="13.42578125" style="1093" customWidth="1"/>
    <col min="1282" max="1282" width="9.5703125" style="1093" bestFit="1" customWidth="1"/>
    <col min="1283" max="1289" width="9.140625" style="1093" customWidth="1"/>
    <col min="1290" max="1493" width="9.140625" style="1093"/>
    <col min="1494" max="1494" width="16.7109375" style="1093" customWidth="1"/>
    <col min="1495" max="1495" width="52.5703125" style="1093" customWidth="1"/>
    <col min="1496" max="1496" width="11" style="1093" customWidth="1"/>
    <col min="1497" max="1497" width="13.42578125" style="1093" customWidth="1"/>
    <col min="1498" max="1498" width="11.28515625" style="1093" customWidth="1"/>
    <col min="1499" max="1499" width="10.28515625" style="1093" customWidth="1"/>
    <col min="1500" max="1500" width="13.85546875" style="1093" customWidth="1"/>
    <col min="1501" max="1502" width="7.85546875" style="1093" customWidth="1"/>
    <col min="1503" max="1503" width="10.85546875" style="1093" customWidth="1"/>
    <col min="1504" max="1504" width="13" style="1093" customWidth="1"/>
    <col min="1505" max="1505" width="11.42578125" style="1093" customWidth="1"/>
    <col min="1506" max="1506" width="10" style="1093" customWidth="1"/>
    <col min="1507" max="1507" width="7.85546875" style="1093" customWidth="1"/>
    <col min="1508" max="1508" width="10.140625" style="1093" customWidth="1"/>
    <col min="1509" max="1510" width="7.85546875" style="1093" customWidth="1"/>
    <col min="1511" max="1511" width="10.85546875" style="1093" customWidth="1"/>
    <col min="1512" max="1512" width="10.7109375" style="1093" customWidth="1"/>
    <col min="1513" max="1513" width="11" style="1093" customWidth="1"/>
    <col min="1514" max="1516" width="7.85546875" style="1093" customWidth="1"/>
    <col min="1517" max="1517" width="11.28515625" style="1093" customWidth="1"/>
    <col min="1518" max="1518" width="12.42578125" style="1093" customWidth="1"/>
    <col min="1519" max="1519" width="11" style="1093" customWidth="1"/>
    <col min="1520" max="1521" width="7.85546875" style="1093" customWidth="1"/>
    <col min="1522" max="1522" width="11" style="1093" customWidth="1"/>
    <col min="1523" max="1523" width="10.5703125" style="1093" customWidth="1"/>
    <col min="1524" max="1525" width="11" style="1093" customWidth="1"/>
    <col min="1526" max="1530" width="7.85546875" style="1093" bestFit="1" customWidth="1"/>
    <col min="1531" max="1531" width="8.42578125" style="1093" bestFit="1" customWidth="1"/>
    <col min="1532" max="1532" width="11.42578125" style="1093" customWidth="1"/>
    <col min="1533" max="1533" width="7.85546875" style="1093" bestFit="1" customWidth="1"/>
    <col min="1534" max="1534" width="9.5703125" style="1093" customWidth="1"/>
    <col min="1535" max="1535" width="7.85546875" style="1093" bestFit="1" customWidth="1"/>
    <col min="1536" max="1536" width="12" style="1093" customWidth="1"/>
    <col min="1537" max="1537" width="13.42578125" style="1093" customWidth="1"/>
    <col min="1538" max="1538" width="9.5703125" style="1093" bestFit="1" customWidth="1"/>
    <col min="1539" max="1545" width="9.140625" style="1093" customWidth="1"/>
    <col min="1546" max="1749" width="9.140625" style="1093"/>
    <col min="1750" max="1750" width="16.7109375" style="1093" customWidth="1"/>
    <col min="1751" max="1751" width="52.5703125" style="1093" customWidth="1"/>
    <col min="1752" max="1752" width="11" style="1093" customWidth="1"/>
    <col min="1753" max="1753" width="13.42578125" style="1093" customWidth="1"/>
    <col min="1754" max="1754" width="11.28515625" style="1093" customWidth="1"/>
    <col min="1755" max="1755" width="10.28515625" style="1093" customWidth="1"/>
    <col min="1756" max="1756" width="13.85546875" style="1093" customWidth="1"/>
    <col min="1757" max="1758" width="7.85546875" style="1093" customWidth="1"/>
    <col min="1759" max="1759" width="10.85546875" style="1093" customWidth="1"/>
    <col min="1760" max="1760" width="13" style="1093" customWidth="1"/>
    <col min="1761" max="1761" width="11.42578125" style="1093" customWidth="1"/>
    <col min="1762" max="1762" width="10" style="1093" customWidth="1"/>
    <col min="1763" max="1763" width="7.85546875" style="1093" customWidth="1"/>
    <col min="1764" max="1764" width="10.140625" style="1093" customWidth="1"/>
    <col min="1765" max="1766" width="7.85546875" style="1093" customWidth="1"/>
    <col min="1767" max="1767" width="10.85546875" style="1093" customWidth="1"/>
    <col min="1768" max="1768" width="10.7109375" style="1093" customWidth="1"/>
    <col min="1769" max="1769" width="11" style="1093" customWidth="1"/>
    <col min="1770" max="1772" width="7.85546875" style="1093" customWidth="1"/>
    <col min="1773" max="1773" width="11.28515625" style="1093" customWidth="1"/>
    <col min="1774" max="1774" width="12.42578125" style="1093" customWidth="1"/>
    <col min="1775" max="1775" width="11" style="1093" customWidth="1"/>
    <col min="1776" max="1777" width="7.85546875" style="1093" customWidth="1"/>
    <col min="1778" max="1778" width="11" style="1093" customWidth="1"/>
    <col min="1779" max="1779" width="10.5703125" style="1093" customWidth="1"/>
    <col min="1780" max="1781" width="11" style="1093" customWidth="1"/>
    <col min="1782" max="1786" width="7.85546875" style="1093" bestFit="1" customWidth="1"/>
    <col min="1787" max="1787" width="8.42578125" style="1093" bestFit="1" customWidth="1"/>
    <col min="1788" max="1788" width="11.42578125" style="1093" customWidth="1"/>
    <col min="1789" max="1789" width="7.85546875" style="1093" bestFit="1" customWidth="1"/>
    <col min="1790" max="1790" width="9.5703125" style="1093" customWidth="1"/>
    <col min="1791" max="1791" width="7.85546875" style="1093" bestFit="1" customWidth="1"/>
    <col min="1792" max="1792" width="12" style="1093" customWidth="1"/>
    <col min="1793" max="1793" width="13.42578125" style="1093" customWidth="1"/>
    <col min="1794" max="1794" width="9.5703125" style="1093" bestFit="1" customWidth="1"/>
    <col min="1795" max="1801" width="9.140625" style="1093" customWidth="1"/>
    <col min="1802" max="2005" width="9.140625" style="1093"/>
    <col min="2006" max="2006" width="16.7109375" style="1093" customWidth="1"/>
    <col min="2007" max="2007" width="52.5703125" style="1093" customWidth="1"/>
    <col min="2008" max="2008" width="11" style="1093" customWidth="1"/>
    <col min="2009" max="2009" width="13.42578125" style="1093" customWidth="1"/>
    <col min="2010" max="2010" width="11.28515625" style="1093" customWidth="1"/>
    <col min="2011" max="2011" width="10.28515625" style="1093" customWidth="1"/>
    <col min="2012" max="2012" width="13.85546875" style="1093" customWidth="1"/>
    <col min="2013" max="2014" width="7.85546875" style="1093" customWidth="1"/>
    <col min="2015" max="2015" width="10.85546875" style="1093" customWidth="1"/>
    <col min="2016" max="2016" width="13" style="1093" customWidth="1"/>
    <col min="2017" max="2017" width="11.42578125" style="1093" customWidth="1"/>
    <col min="2018" max="2018" width="10" style="1093" customWidth="1"/>
    <col min="2019" max="2019" width="7.85546875" style="1093" customWidth="1"/>
    <col min="2020" max="2020" width="10.140625" style="1093" customWidth="1"/>
    <col min="2021" max="2022" width="7.85546875" style="1093" customWidth="1"/>
    <col min="2023" max="2023" width="10.85546875" style="1093" customWidth="1"/>
    <col min="2024" max="2024" width="10.7109375" style="1093" customWidth="1"/>
    <col min="2025" max="2025" width="11" style="1093" customWidth="1"/>
    <col min="2026" max="2028" width="7.85546875" style="1093" customWidth="1"/>
    <col min="2029" max="2029" width="11.28515625" style="1093" customWidth="1"/>
    <col min="2030" max="2030" width="12.42578125" style="1093" customWidth="1"/>
    <col min="2031" max="2031" width="11" style="1093" customWidth="1"/>
    <col min="2032" max="2033" width="7.85546875" style="1093" customWidth="1"/>
    <col min="2034" max="2034" width="11" style="1093" customWidth="1"/>
    <col min="2035" max="2035" width="10.5703125" style="1093" customWidth="1"/>
    <col min="2036" max="2037" width="11" style="1093" customWidth="1"/>
    <col min="2038" max="2042" width="7.85546875" style="1093" bestFit="1" customWidth="1"/>
    <col min="2043" max="2043" width="8.42578125" style="1093" bestFit="1" customWidth="1"/>
    <col min="2044" max="2044" width="11.42578125" style="1093" customWidth="1"/>
    <col min="2045" max="2045" width="7.85546875" style="1093" bestFit="1" customWidth="1"/>
    <col min="2046" max="2046" width="9.5703125" style="1093" customWidth="1"/>
    <col min="2047" max="2047" width="7.85546875" style="1093" bestFit="1" customWidth="1"/>
    <col min="2048" max="2048" width="12" style="1093" customWidth="1"/>
    <col min="2049" max="2049" width="13.42578125" style="1093" customWidth="1"/>
    <col min="2050" max="2050" width="9.5703125" style="1093" bestFit="1" customWidth="1"/>
    <col min="2051" max="2057" width="9.140625" style="1093" customWidth="1"/>
    <col min="2058" max="2261" width="9.140625" style="1093"/>
    <col min="2262" max="2262" width="16.7109375" style="1093" customWidth="1"/>
    <col min="2263" max="2263" width="52.5703125" style="1093" customWidth="1"/>
    <col min="2264" max="2264" width="11" style="1093" customWidth="1"/>
    <col min="2265" max="2265" width="13.42578125" style="1093" customWidth="1"/>
    <col min="2266" max="2266" width="11.28515625" style="1093" customWidth="1"/>
    <col min="2267" max="2267" width="10.28515625" style="1093" customWidth="1"/>
    <col min="2268" max="2268" width="13.85546875" style="1093" customWidth="1"/>
    <col min="2269" max="2270" width="7.85546875" style="1093" customWidth="1"/>
    <col min="2271" max="2271" width="10.85546875" style="1093" customWidth="1"/>
    <col min="2272" max="2272" width="13" style="1093" customWidth="1"/>
    <col min="2273" max="2273" width="11.42578125" style="1093" customWidth="1"/>
    <col min="2274" max="2274" width="10" style="1093" customWidth="1"/>
    <col min="2275" max="2275" width="7.85546875" style="1093" customWidth="1"/>
    <col min="2276" max="2276" width="10.140625" style="1093" customWidth="1"/>
    <col min="2277" max="2278" width="7.85546875" style="1093" customWidth="1"/>
    <col min="2279" max="2279" width="10.85546875" style="1093" customWidth="1"/>
    <col min="2280" max="2280" width="10.7109375" style="1093" customWidth="1"/>
    <col min="2281" max="2281" width="11" style="1093" customWidth="1"/>
    <col min="2282" max="2284" width="7.85546875" style="1093" customWidth="1"/>
    <col min="2285" max="2285" width="11.28515625" style="1093" customWidth="1"/>
    <col min="2286" max="2286" width="12.42578125" style="1093" customWidth="1"/>
    <col min="2287" max="2287" width="11" style="1093" customWidth="1"/>
    <col min="2288" max="2289" width="7.85546875" style="1093" customWidth="1"/>
    <col min="2290" max="2290" width="11" style="1093" customWidth="1"/>
    <col min="2291" max="2291" width="10.5703125" style="1093" customWidth="1"/>
    <col min="2292" max="2293" width="11" style="1093" customWidth="1"/>
    <col min="2294" max="2298" width="7.85546875" style="1093" bestFit="1" customWidth="1"/>
    <col min="2299" max="2299" width="8.42578125" style="1093" bestFit="1" customWidth="1"/>
    <col min="2300" max="2300" width="11.42578125" style="1093" customWidth="1"/>
    <col min="2301" max="2301" width="7.85546875" style="1093" bestFit="1" customWidth="1"/>
    <col min="2302" max="2302" width="9.5703125" style="1093" customWidth="1"/>
    <col min="2303" max="2303" width="7.85546875" style="1093" bestFit="1" customWidth="1"/>
    <col min="2304" max="2304" width="12" style="1093" customWidth="1"/>
    <col min="2305" max="2305" width="13.42578125" style="1093" customWidth="1"/>
    <col min="2306" max="2306" width="9.5703125" style="1093" bestFit="1" customWidth="1"/>
    <col min="2307" max="2313" width="9.140625" style="1093" customWidth="1"/>
    <col min="2314" max="2517" width="9.140625" style="1093"/>
    <col min="2518" max="2518" width="16.7109375" style="1093" customWidth="1"/>
    <col min="2519" max="2519" width="52.5703125" style="1093" customWidth="1"/>
    <col min="2520" max="2520" width="11" style="1093" customWidth="1"/>
    <col min="2521" max="2521" width="13.42578125" style="1093" customWidth="1"/>
    <col min="2522" max="2522" width="11.28515625" style="1093" customWidth="1"/>
    <col min="2523" max="2523" width="10.28515625" style="1093" customWidth="1"/>
    <col min="2524" max="2524" width="13.85546875" style="1093" customWidth="1"/>
    <col min="2525" max="2526" width="7.85546875" style="1093" customWidth="1"/>
    <col min="2527" max="2527" width="10.85546875" style="1093" customWidth="1"/>
    <col min="2528" max="2528" width="13" style="1093" customWidth="1"/>
    <col min="2529" max="2529" width="11.42578125" style="1093" customWidth="1"/>
    <col min="2530" max="2530" width="10" style="1093" customWidth="1"/>
    <col min="2531" max="2531" width="7.85546875" style="1093" customWidth="1"/>
    <col min="2532" max="2532" width="10.140625" style="1093" customWidth="1"/>
    <col min="2533" max="2534" width="7.85546875" style="1093" customWidth="1"/>
    <col min="2535" max="2535" width="10.85546875" style="1093" customWidth="1"/>
    <col min="2536" max="2536" width="10.7109375" style="1093" customWidth="1"/>
    <col min="2537" max="2537" width="11" style="1093" customWidth="1"/>
    <col min="2538" max="2540" width="7.85546875" style="1093" customWidth="1"/>
    <col min="2541" max="2541" width="11.28515625" style="1093" customWidth="1"/>
    <col min="2542" max="2542" width="12.42578125" style="1093" customWidth="1"/>
    <col min="2543" max="2543" width="11" style="1093" customWidth="1"/>
    <col min="2544" max="2545" width="7.85546875" style="1093" customWidth="1"/>
    <col min="2546" max="2546" width="11" style="1093" customWidth="1"/>
    <col min="2547" max="2547" width="10.5703125" style="1093" customWidth="1"/>
    <col min="2548" max="2549" width="11" style="1093" customWidth="1"/>
    <col min="2550" max="2554" width="7.85546875" style="1093" bestFit="1" customWidth="1"/>
    <col min="2555" max="2555" width="8.42578125" style="1093" bestFit="1" customWidth="1"/>
    <col min="2556" max="2556" width="11.42578125" style="1093" customWidth="1"/>
    <col min="2557" max="2557" width="7.85546875" style="1093" bestFit="1" customWidth="1"/>
    <col min="2558" max="2558" width="9.5703125" style="1093" customWidth="1"/>
    <col min="2559" max="2559" width="7.85546875" style="1093" bestFit="1" customWidth="1"/>
    <col min="2560" max="2560" width="12" style="1093" customWidth="1"/>
    <col min="2561" max="2561" width="13.42578125" style="1093" customWidth="1"/>
    <col min="2562" max="2562" width="9.5703125" style="1093" bestFit="1" customWidth="1"/>
    <col min="2563" max="2569" width="9.140625" style="1093" customWidth="1"/>
    <col min="2570" max="2773" width="9.140625" style="1093"/>
    <col min="2774" max="2774" width="16.7109375" style="1093" customWidth="1"/>
    <col min="2775" max="2775" width="52.5703125" style="1093" customWidth="1"/>
    <col min="2776" max="2776" width="11" style="1093" customWidth="1"/>
    <col min="2777" max="2777" width="13.42578125" style="1093" customWidth="1"/>
    <col min="2778" max="2778" width="11.28515625" style="1093" customWidth="1"/>
    <col min="2779" max="2779" width="10.28515625" style="1093" customWidth="1"/>
    <col min="2780" max="2780" width="13.85546875" style="1093" customWidth="1"/>
    <col min="2781" max="2782" width="7.85546875" style="1093" customWidth="1"/>
    <col min="2783" max="2783" width="10.85546875" style="1093" customWidth="1"/>
    <col min="2784" max="2784" width="13" style="1093" customWidth="1"/>
    <col min="2785" max="2785" width="11.42578125" style="1093" customWidth="1"/>
    <col min="2786" max="2786" width="10" style="1093" customWidth="1"/>
    <col min="2787" max="2787" width="7.85546875" style="1093" customWidth="1"/>
    <col min="2788" max="2788" width="10.140625" style="1093" customWidth="1"/>
    <col min="2789" max="2790" width="7.85546875" style="1093" customWidth="1"/>
    <col min="2791" max="2791" width="10.85546875" style="1093" customWidth="1"/>
    <col min="2792" max="2792" width="10.7109375" style="1093" customWidth="1"/>
    <col min="2793" max="2793" width="11" style="1093" customWidth="1"/>
    <col min="2794" max="2796" width="7.85546875" style="1093" customWidth="1"/>
    <col min="2797" max="2797" width="11.28515625" style="1093" customWidth="1"/>
    <col min="2798" max="2798" width="12.42578125" style="1093" customWidth="1"/>
    <col min="2799" max="2799" width="11" style="1093" customWidth="1"/>
    <col min="2800" max="2801" width="7.85546875" style="1093" customWidth="1"/>
    <col min="2802" max="2802" width="11" style="1093" customWidth="1"/>
    <col min="2803" max="2803" width="10.5703125" style="1093" customWidth="1"/>
    <col min="2804" max="2805" width="11" style="1093" customWidth="1"/>
    <col min="2806" max="2810" width="7.85546875" style="1093" bestFit="1" customWidth="1"/>
    <col min="2811" max="2811" width="8.42578125" style="1093" bestFit="1" customWidth="1"/>
    <col min="2812" max="2812" width="11.42578125" style="1093" customWidth="1"/>
    <col min="2813" max="2813" width="7.85546875" style="1093" bestFit="1" customWidth="1"/>
    <col min="2814" max="2814" width="9.5703125" style="1093" customWidth="1"/>
    <col min="2815" max="2815" width="7.85546875" style="1093" bestFit="1" customWidth="1"/>
    <col min="2816" max="2816" width="12" style="1093" customWidth="1"/>
    <col min="2817" max="2817" width="13.42578125" style="1093" customWidth="1"/>
    <col min="2818" max="2818" width="9.5703125" style="1093" bestFit="1" customWidth="1"/>
    <col min="2819" max="2825" width="9.140625" style="1093" customWidth="1"/>
    <col min="2826" max="3029" width="9.140625" style="1093"/>
    <col min="3030" max="3030" width="16.7109375" style="1093" customWidth="1"/>
    <col min="3031" max="3031" width="52.5703125" style="1093" customWidth="1"/>
    <col min="3032" max="3032" width="11" style="1093" customWidth="1"/>
    <col min="3033" max="3033" width="13.42578125" style="1093" customWidth="1"/>
    <col min="3034" max="3034" width="11.28515625" style="1093" customWidth="1"/>
    <col min="3035" max="3035" width="10.28515625" style="1093" customWidth="1"/>
    <col min="3036" max="3036" width="13.85546875" style="1093" customWidth="1"/>
    <col min="3037" max="3038" width="7.85546875" style="1093" customWidth="1"/>
    <col min="3039" max="3039" width="10.85546875" style="1093" customWidth="1"/>
    <col min="3040" max="3040" width="13" style="1093" customWidth="1"/>
    <col min="3041" max="3041" width="11.42578125" style="1093" customWidth="1"/>
    <col min="3042" max="3042" width="10" style="1093" customWidth="1"/>
    <col min="3043" max="3043" width="7.85546875" style="1093" customWidth="1"/>
    <col min="3044" max="3044" width="10.140625" style="1093" customWidth="1"/>
    <col min="3045" max="3046" width="7.85546875" style="1093" customWidth="1"/>
    <col min="3047" max="3047" width="10.85546875" style="1093" customWidth="1"/>
    <col min="3048" max="3048" width="10.7109375" style="1093" customWidth="1"/>
    <col min="3049" max="3049" width="11" style="1093" customWidth="1"/>
    <col min="3050" max="3052" width="7.85546875" style="1093" customWidth="1"/>
    <col min="3053" max="3053" width="11.28515625" style="1093" customWidth="1"/>
    <col min="3054" max="3054" width="12.42578125" style="1093" customWidth="1"/>
    <col min="3055" max="3055" width="11" style="1093" customWidth="1"/>
    <col min="3056" max="3057" width="7.85546875" style="1093" customWidth="1"/>
    <col min="3058" max="3058" width="11" style="1093" customWidth="1"/>
    <col min="3059" max="3059" width="10.5703125" style="1093" customWidth="1"/>
    <col min="3060" max="3061" width="11" style="1093" customWidth="1"/>
    <col min="3062" max="3066" width="7.85546875" style="1093" bestFit="1" customWidth="1"/>
    <col min="3067" max="3067" width="8.42578125" style="1093" bestFit="1" customWidth="1"/>
    <col min="3068" max="3068" width="11.42578125" style="1093" customWidth="1"/>
    <col min="3069" max="3069" width="7.85546875" style="1093" bestFit="1" customWidth="1"/>
    <col min="3070" max="3070" width="9.5703125" style="1093" customWidth="1"/>
    <col min="3071" max="3071" width="7.85546875" style="1093" bestFit="1" customWidth="1"/>
    <col min="3072" max="3072" width="12" style="1093" customWidth="1"/>
    <col min="3073" max="3073" width="13.42578125" style="1093" customWidth="1"/>
    <col min="3074" max="3074" width="9.5703125" style="1093" bestFit="1" customWidth="1"/>
    <col min="3075" max="3081" width="9.140625" style="1093" customWidth="1"/>
    <col min="3082" max="3285" width="9.140625" style="1093"/>
    <col min="3286" max="3286" width="16.7109375" style="1093" customWidth="1"/>
    <col min="3287" max="3287" width="52.5703125" style="1093" customWidth="1"/>
    <col min="3288" max="3288" width="11" style="1093" customWidth="1"/>
    <col min="3289" max="3289" width="13.42578125" style="1093" customWidth="1"/>
    <col min="3290" max="3290" width="11.28515625" style="1093" customWidth="1"/>
    <col min="3291" max="3291" width="10.28515625" style="1093" customWidth="1"/>
    <col min="3292" max="3292" width="13.85546875" style="1093" customWidth="1"/>
    <col min="3293" max="3294" width="7.85546875" style="1093" customWidth="1"/>
    <col min="3295" max="3295" width="10.85546875" style="1093" customWidth="1"/>
    <col min="3296" max="3296" width="13" style="1093" customWidth="1"/>
    <col min="3297" max="3297" width="11.42578125" style="1093" customWidth="1"/>
    <col min="3298" max="3298" width="10" style="1093" customWidth="1"/>
    <col min="3299" max="3299" width="7.85546875" style="1093" customWidth="1"/>
    <col min="3300" max="3300" width="10.140625" style="1093" customWidth="1"/>
    <col min="3301" max="3302" width="7.85546875" style="1093" customWidth="1"/>
    <col min="3303" max="3303" width="10.85546875" style="1093" customWidth="1"/>
    <col min="3304" max="3304" width="10.7109375" style="1093" customWidth="1"/>
    <col min="3305" max="3305" width="11" style="1093" customWidth="1"/>
    <col min="3306" max="3308" width="7.85546875" style="1093" customWidth="1"/>
    <col min="3309" max="3309" width="11.28515625" style="1093" customWidth="1"/>
    <col min="3310" max="3310" width="12.42578125" style="1093" customWidth="1"/>
    <col min="3311" max="3311" width="11" style="1093" customWidth="1"/>
    <col min="3312" max="3313" width="7.85546875" style="1093" customWidth="1"/>
    <col min="3314" max="3314" width="11" style="1093" customWidth="1"/>
    <col min="3315" max="3315" width="10.5703125" style="1093" customWidth="1"/>
    <col min="3316" max="3317" width="11" style="1093" customWidth="1"/>
    <col min="3318" max="3322" width="7.85546875" style="1093" bestFit="1" customWidth="1"/>
    <col min="3323" max="3323" width="8.42578125" style="1093" bestFit="1" customWidth="1"/>
    <col min="3324" max="3324" width="11.42578125" style="1093" customWidth="1"/>
    <col min="3325" max="3325" width="7.85546875" style="1093" bestFit="1" customWidth="1"/>
    <col min="3326" max="3326" width="9.5703125" style="1093" customWidth="1"/>
    <col min="3327" max="3327" width="7.85546875" style="1093" bestFit="1" customWidth="1"/>
    <col min="3328" max="3328" width="12" style="1093" customWidth="1"/>
    <col min="3329" max="3329" width="13.42578125" style="1093" customWidth="1"/>
    <col min="3330" max="3330" width="9.5703125" style="1093" bestFit="1" customWidth="1"/>
    <col min="3331" max="3337" width="9.140625" style="1093" customWidth="1"/>
    <col min="3338" max="3541" width="9.140625" style="1093"/>
    <col min="3542" max="3542" width="16.7109375" style="1093" customWidth="1"/>
    <col min="3543" max="3543" width="52.5703125" style="1093" customWidth="1"/>
    <col min="3544" max="3544" width="11" style="1093" customWidth="1"/>
    <col min="3545" max="3545" width="13.42578125" style="1093" customWidth="1"/>
    <col min="3546" max="3546" width="11.28515625" style="1093" customWidth="1"/>
    <col min="3547" max="3547" width="10.28515625" style="1093" customWidth="1"/>
    <col min="3548" max="3548" width="13.85546875" style="1093" customWidth="1"/>
    <col min="3549" max="3550" width="7.85546875" style="1093" customWidth="1"/>
    <col min="3551" max="3551" width="10.85546875" style="1093" customWidth="1"/>
    <col min="3552" max="3552" width="13" style="1093" customWidth="1"/>
    <col min="3553" max="3553" width="11.42578125" style="1093" customWidth="1"/>
    <col min="3554" max="3554" width="10" style="1093" customWidth="1"/>
    <col min="3555" max="3555" width="7.85546875" style="1093" customWidth="1"/>
    <col min="3556" max="3556" width="10.140625" style="1093" customWidth="1"/>
    <col min="3557" max="3558" width="7.85546875" style="1093" customWidth="1"/>
    <col min="3559" max="3559" width="10.85546875" style="1093" customWidth="1"/>
    <col min="3560" max="3560" width="10.7109375" style="1093" customWidth="1"/>
    <col min="3561" max="3561" width="11" style="1093" customWidth="1"/>
    <col min="3562" max="3564" width="7.85546875" style="1093" customWidth="1"/>
    <col min="3565" max="3565" width="11.28515625" style="1093" customWidth="1"/>
    <col min="3566" max="3566" width="12.42578125" style="1093" customWidth="1"/>
    <col min="3567" max="3567" width="11" style="1093" customWidth="1"/>
    <col min="3568" max="3569" width="7.85546875" style="1093" customWidth="1"/>
    <col min="3570" max="3570" width="11" style="1093" customWidth="1"/>
    <col min="3571" max="3571" width="10.5703125" style="1093" customWidth="1"/>
    <col min="3572" max="3573" width="11" style="1093" customWidth="1"/>
    <col min="3574" max="3578" width="7.85546875" style="1093" bestFit="1" customWidth="1"/>
    <col min="3579" max="3579" width="8.42578125" style="1093" bestFit="1" customWidth="1"/>
    <col min="3580" max="3580" width="11.42578125" style="1093" customWidth="1"/>
    <col min="3581" max="3581" width="7.85546875" style="1093" bestFit="1" customWidth="1"/>
    <col min="3582" max="3582" width="9.5703125" style="1093" customWidth="1"/>
    <col min="3583" max="3583" width="7.85546875" style="1093" bestFit="1" customWidth="1"/>
    <col min="3584" max="3584" width="12" style="1093" customWidth="1"/>
    <col min="3585" max="3585" width="13.42578125" style="1093" customWidth="1"/>
    <col min="3586" max="3586" width="9.5703125" style="1093" bestFit="1" customWidth="1"/>
    <col min="3587" max="3593" width="9.140625" style="1093" customWidth="1"/>
    <col min="3594" max="3797" width="9.140625" style="1093"/>
    <col min="3798" max="3798" width="16.7109375" style="1093" customWidth="1"/>
    <col min="3799" max="3799" width="52.5703125" style="1093" customWidth="1"/>
    <col min="3800" max="3800" width="11" style="1093" customWidth="1"/>
    <col min="3801" max="3801" width="13.42578125" style="1093" customWidth="1"/>
    <col min="3802" max="3802" width="11.28515625" style="1093" customWidth="1"/>
    <col min="3803" max="3803" width="10.28515625" style="1093" customWidth="1"/>
    <col min="3804" max="3804" width="13.85546875" style="1093" customWidth="1"/>
    <col min="3805" max="3806" width="7.85546875" style="1093" customWidth="1"/>
    <col min="3807" max="3807" width="10.85546875" style="1093" customWidth="1"/>
    <col min="3808" max="3808" width="13" style="1093" customWidth="1"/>
    <col min="3809" max="3809" width="11.42578125" style="1093" customWidth="1"/>
    <col min="3810" max="3810" width="10" style="1093" customWidth="1"/>
    <col min="3811" max="3811" width="7.85546875" style="1093" customWidth="1"/>
    <col min="3812" max="3812" width="10.140625" style="1093" customWidth="1"/>
    <col min="3813" max="3814" width="7.85546875" style="1093" customWidth="1"/>
    <col min="3815" max="3815" width="10.85546875" style="1093" customWidth="1"/>
    <col min="3816" max="3816" width="10.7109375" style="1093" customWidth="1"/>
    <col min="3817" max="3817" width="11" style="1093" customWidth="1"/>
    <col min="3818" max="3820" width="7.85546875" style="1093" customWidth="1"/>
    <col min="3821" max="3821" width="11.28515625" style="1093" customWidth="1"/>
    <col min="3822" max="3822" width="12.42578125" style="1093" customWidth="1"/>
    <col min="3823" max="3823" width="11" style="1093" customWidth="1"/>
    <col min="3824" max="3825" width="7.85546875" style="1093" customWidth="1"/>
    <col min="3826" max="3826" width="11" style="1093" customWidth="1"/>
    <col min="3827" max="3827" width="10.5703125" style="1093" customWidth="1"/>
    <col min="3828" max="3829" width="11" style="1093" customWidth="1"/>
    <col min="3830" max="3834" width="7.85546875" style="1093" bestFit="1" customWidth="1"/>
    <col min="3835" max="3835" width="8.42578125" style="1093" bestFit="1" customWidth="1"/>
    <col min="3836" max="3836" width="11.42578125" style="1093" customWidth="1"/>
    <col min="3837" max="3837" width="7.85546875" style="1093" bestFit="1" customWidth="1"/>
    <col min="3838" max="3838" width="9.5703125" style="1093" customWidth="1"/>
    <col min="3839" max="3839" width="7.85546875" style="1093" bestFit="1" customWidth="1"/>
    <col min="3840" max="3840" width="12" style="1093" customWidth="1"/>
    <col min="3841" max="3841" width="13.42578125" style="1093" customWidth="1"/>
    <col min="3842" max="3842" width="9.5703125" style="1093" bestFit="1" customWidth="1"/>
    <col min="3843" max="3849" width="9.140625" style="1093" customWidth="1"/>
    <col min="3850" max="4053" width="9.140625" style="1093"/>
    <col min="4054" max="4054" width="16.7109375" style="1093" customWidth="1"/>
    <col min="4055" max="4055" width="52.5703125" style="1093" customWidth="1"/>
    <col min="4056" max="4056" width="11" style="1093" customWidth="1"/>
    <col min="4057" max="4057" width="13.42578125" style="1093" customWidth="1"/>
    <col min="4058" max="4058" width="11.28515625" style="1093" customWidth="1"/>
    <col min="4059" max="4059" width="10.28515625" style="1093" customWidth="1"/>
    <col min="4060" max="4060" width="13.85546875" style="1093" customWidth="1"/>
    <col min="4061" max="4062" width="7.85546875" style="1093" customWidth="1"/>
    <col min="4063" max="4063" width="10.85546875" style="1093" customWidth="1"/>
    <col min="4064" max="4064" width="13" style="1093" customWidth="1"/>
    <col min="4065" max="4065" width="11.42578125" style="1093" customWidth="1"/>
    <col min="4066" max="4066" width="10" style="1093" customWidth="1"/>
    <col min="4067" max="4067" width="7.85546875" style="1093" customWidth="1"/>
    <col min="4068" max="4068" width="10.140625" style="1093" customWidth="1"/>
    <col min="4069" max="4070" width="7.85546875" style="1093" customWidth="1"/>
    <col min="4071" max="4071" width="10.85546875" style="1093" customWidth="1"/>
    <col min="4072" max="4072" width="10.7109375" style="1093" customWidth="1"/>
    <col min="4073" max="4073" width="11" style="1093" customWidth="1"/>
    <col min="4074" max="4076" width="7.85546875" style="1093" customWidth="1"/>
    <col min="4077" max="4077" width="11.28515625" style="1093" customWidth="1"/>
    <col min="4078" max="4078" width="12.42578125" style="1093" customWidth="1"/>
    <col min="4079" max="4079" width="11" style="1093" customWidth="1"/>
    <col min="4080" max="4081" width="7.85546875" style="1093" customWidth="1"/>
    <col min="4082" max="4082" width="11" style="1093" customWidth="1"/>
    <col min="4083" max="4083" width="10.5703125" style="1093" customWidth="1"/>
    <col min="4084" max="4085" width="11" style="1093" customWidth="1"/>
    <col min="4086" max="4090" width="7.85546875" style="1093" bestFit="1" customWidth="1"/>
    <col min="4091" max="4091" width="8.42578125" style="1093" bestFit="1" customWidth="1"/>
    <col min="4092" max="4092" width="11.42578125" style="1093" customWidth="1"/>
    <col min="4093" max="4093" width="7.85546875" style="1093" bestFit="1" customWidth="1"/>
    <col min="4094" max="4094" width="9.5703125" style="1093" customWidth="1"/>
    <col min="4095" max="4095" width="7.85546875" style="1093" bestFit="1" customWidth="1"/>
    <col min="4096" max="4096" width="12" style="1093" customWidth="1"/>
    <col min="4097" max="4097" width="13.42578125" style="1093" customWidth="1"/>
    <col min="4098" max="4098" width="9.5703125" style="1093" bestFit="1" customWidth="1"/>
    <col min="4099" max="4105" width="9.140625" style="1093" customWidth="1"/>
    <col min="4106" max="4309" width="9.140625" style="1093"/>
    <col min="4310" max="4310" width="16.7109375" style="1093" customWidth="1"/>
    <col min="4311" max="4311" width="52.5703125" style="1093" customWidth="1"/>
    <col min="4312" max="4312" width="11" style="1093" customWidth="1"/>
    <col min="4313" max="4313" width="13.42578125" style="1093" customWidth="1"/>
    <col min="4314" max="4314" width="11.28515625" style="1093" customWidth="1"/>
    <col min="4315" max="4315" width="10.28515625" style="1093" customWidth="1"/>
    <col min="4316" max="4316" width="13.85546875" style="1093" customWidth="1"/>
    <col min="4317" max="4318" width="7.85546875" style="1093" customWidth="1"/>
    <col min="4319" max="4319" width="10.85546875" style="1093" customWidth="1"/>
    <col min="4320" max="4320" width="13" style="1093" customWidth="1"/>
    <col min="4321" max="4321" width="11.42578125" style="1093" customWidth="1"/>
    <col min="4322" max="4322" width="10" style="1093" customWidth="1"/>
    <col min="4323" max="4323" width="7.85546875" style="1093" customWidth="1"/>
    <col min="4324" max="4324" width="10.140625" style="1093" customWidth="1"/>
    <col min="4325" max="4326" width="7.85546875" style="1093" customWidth="1"/>
    <col min="4327" max="4327" width="10.85546875" style="1093" customWidth="1"/>
    <col min="4328" max="4328" width="10.7109375" style="1093" customWidth="1"/>
    <col min="4329" max="4329" width="11" style="1093" customWidth="1"/>
    <col min="4330" max="4332" width="7.85546875" style="1093" customWidth="1"/>
    <col min="4333" max="4333" width="11.28515625" style="1093" customWidth="1"/>
    <col min="4334" max="4334" width="12.42578125" style="1093" customWidth="1"/>
    <col min="4335" max="4335" width="11" style="1093" customWidth="1"/>
    <col min="4336" max="4337" width="7.85546875" style="1093" customWidth="1"/>
    <col min="4338" max="4338" width="11" style="1093" customWidth="1"/>
    <col min="4339" max="4339" width="10.5703125" style="1093" customWidth="1"/>
    <col min="4340" max="4341" width="11" style="1093" customWidth="1"/>
    <col min="4342" max="4346" width="7.85546875" style="1093" bestFit="1" customWidth="1"/>
    <col min="4347" max="4347" width="8.42578125" style="1093" bestFit="1" customWidth="1"/>
    <col min="4348" max="4348" width="11.42578125" style="1093" customWidth="1"/>
    <col min="4349" max="4349" width="7.85546875" style="1093" bestFit="1" customWidth="1"/>
    <col min="4350" max="4350" width="9.5703125" style="1093" customWidth="1"/>
    <col min="4351" max="4351" width="7.85546875" style="1093" bestFit="1" customWidth="1"/>
    <col min="4352" max="4352" width="12" style="1093" customWidth="1"/>
    <col min="4353" max="4353" width="13.42578125" style="1093" customWidth="1"/>
    <col min="4354" max="4354" width="9.5703125" style="1093" bestFit="1" customWidth="1"/>
    <col min="4355" max="4361" width="9.140625" style="1093" customWidth="1"/>
    <col min="4362" max="4565" width="9.140625" style="1093"/>
    <col min="4566" max="4566" width="16.7109375" style="1093" customWidth="1"/>
    <col min="4567" max="4567" width="52.5703125" style="1093" customWidth="1"/>
    <col min="4568" max="4568" width="11" style="1093" customWidth="1"/>
    <col min="4569" max="4569" width="13.42578125" style="1093" customWidth="1"/>
    <col min="4570" max="4570" width="11.28515625" style="1093" customWidth="1"/>
    <col min="4571" max="4571" width="10.28515625" style="1093" customWidth="1"/>
    <col min="4572" max="4572" width="13.85546875" style="1093" customWidth="1"/>
    <col min="4573" max="4574" width="7.85546875" style="1093" customWidth="1"/>
    <col min="4575" max="4575" width="10.85546875" style="1093" customWidth="1"/>
    <col min="4576" max="4576" width="13" style="1093" customWidth="1"/>
    <col min="4577" max="4577" width="11.42578125" style="1093" customWidth="1"/>
    <col min="4578" max="4578" width="10" style="1093" customWidth="1"/>
    <col min="4579" max="4579" width="7.85546875" style="1093" customWidth="1"/>
    <col min="4580" max="4580" width="10.140625" style="1093" customWidth="1"/>
    <col min="4581" max="4582" width="7.85546875" style="1093" customWidth="1"/>
    <col min="4583" max="4583" width="10.85546875" style="1093" customWidth="1"/>
    <col min="4584" max="4584" width="10.7109375" style="1093" customWidth="1"/>
    <col min="4585" max="4585" width="11" style="1093" customWidth="1"/>
    <col min="4586" max="4588" width="7.85546875" style="1093" customWidth="1"/>
    <col min="4589" max="4589" width="11.28515625" style="1093" customWidth="1"/>
    <col min="4590" max="4590" width="12.42578125" style="1093" customWidth="1"/>
    <col min="4591" max="4591" width="11" style="1093" customWidth="1"/>
    <col min="4592" max="4593" width="7.85546875" style="1093" customWidth="1"/>
    <col min="4594" max="4594" width="11" style="1093" customWidth="1"/>
    <col min="4595" max="4595" width="10.5703125" style="1093" customWidth="1"/>
    <col min="4596" max="4597" width="11" style="1093" customWidth="1"/>
    <col min="4598" max="4602" width="7.85546875" style="1093" bestFit="1" customWidth="1"/>
    <col min="4603" max="4603" width="8.42578125" style="1093" bestFit="1" customWidth="1"/>
    <col min="4604" max="4604" width="11.42578125" style="1093" customWidth="1"/>
    <col min="4605" max="4605" width="7.85546875" style="1093" bestFit="1" customWidth="1"/>
    <col min="4606" max="4606" width="9.5703125" style="1093" customWidth="1"/>
    <col min="4607" max="4607" width="7.85546875" style="1093" bestFit="1" customWidth="1"/>
    <col min="4608" max="4608" width="12" style="1093" customWidth="1"/>
    <col min="4609" max="4609" width="13.42578125" style="1093" customWidth="1"/>
    <col min="4610" max="4610" width="9.5703125" style="1093" bestFit="1" customWidth="1"/>
    <col min="4611" max="4617" width="9.140625" style="1093" customWidth="1"/>
    <col min="4618" max="4821" width="9.140625" style="1093"/>
    <col min="4822" max="4822" width="16.7109375" style="1093" customWidth="1"/>
    <col min="4823" max="4823" width="52.5703125" style="1093" customWidth="1"/>
    <col min="4824" max="4824" width="11" style="1093" customWidth="1"/>
    <col min="4825" max="4825" width="13.42578125" style="1093" customWidth="1"/>
    <col min="4826" max="4826" width="11.28515625" style="1093" customWidth="1"/>
    <col min="4827" max="4827" width="10.28515625" style="1093" customWidth="1"/>
    <col min="4828" max="4828" width="13.85546875" style="1093" customWidth="1"/>
    <col min="4829" max="4830" width="7.85546875" style="1093" customWidth="1"/>
    <col min="4831" max="4831" width="10.85546875" style="1093" customWidth="1"/>
    <col min="4832" max="4832" width="13" style="1093" customWidth="1"/>
    <col min="4833" max="4833" width="11.42578125" style="1093" customWidth="1"/>
    <col min="4834" max="4834" width="10" style="1093" customWidth="1"/>
    <col min="4835" max="4835" width="7.85546875" style="1093" customWidth="1"/>
    <col min="4836" max="4836" width="10.140625" style="1093" customWidth="1"/>
    <col min="4837" max="4838" width="7.85546875" style="1093" customWidth="1"/>
    <col min="4839" max="4839" width="10.85546875" style="1093" customWidth="1"/>
    <col min="4840" max="4840" width="10.7109375" style="1093" customWidth="1"/>
    <col min="4841" max="4841" width="11" style="1093" customWidth="1"/>
    <col min="4842" max="4844" width="7.85546875" style="1093" customWidth="1"/>
    <col min="4845" max="4845" width="11.28515625" style="1093" customWidth="1"/>
    <col min="4846" max="4846" width="12.42578125" style="1093" customWidth="1"/>
    <col min="4847" max="4847" width="11" style="1093" customWidth="1"/>
    <col min="4848" max="4849" width="7.85546875" style="1093" customWidth="1"/>
    <col min="4850" max="4850" width="11" style="1093" customWidth="1"/>
    <col min="4851" max="4851" width="10.5703125" style="1093" customWidth="1"/>
    <col min="4852" max="4853" width="11" style="1093" customWidth="1"/>
    <col min="4854" max="4858" width="7.85546875" style="1093" bestFit="1" customWidth="1"/>
    <col min="4859" max="4859" width="8.42578125" style="1093" bestFit="1" customWidth="1"/>
    <col min="4860" max="4860" width="11.42578125" style="1093" customWidth="1"/>
    <col min="4861" max="4861" width="7.85546875" style="1093" bestFit="1" customWidth="1"/>
    <col min="4862" max="4862" width="9.5703125" style="1093" customWidth="1"/>
    <col min="4863" max="4863" width="7.85546875" style="1093" bestFit="1" customWidth="1"/>
    <col min="4864" max="4864" width="12" style="1093" customWidth="1"/>
    <col min="4865" max="4865" width="13.42578125" style="1093" customWidth="1"/>
    <col min="4866" max="4866" width="9.5703125" style="1093" bestFit="1" customWidth="1"/>
    <col min="4867" max="4873" width="9.140625" style="1093" customWidth="1"/>
    <col min="4874" max="5077" width="9.140625" style="1093"/>
    <col min="5078" max="5078" width="16.7109375" style="1093" customWidth="1"/>
    <col min="5079" max="5079" width="52.5703125" style="1093" customWidth="1"/>
    <col min="5080" max="5080" width="11" style="1093" customWidth="1"/>
    <col min="5081" max="5081" width="13.42578125" style="1093" customWidth="1"/>
    <col min="5082" max="5082" width="11.28515625" style="1093" customWidth="1"/>
    <col min="5083" max="5083" width="10.28515625" style="1093" customWidth="1"/>
    <col min="5084" max="5084" width="13.85546875" style="1093" customWidth="1"/>
    <col min="5085" max="5086" width="7.85546875" style="1093" customWidth="1"/>
    <col min="5087" max="5087" width="10.85546875" style="1093" customWidth="1"/>
    <col min="5088" max="5088" width="13" style="1093" customWidth="1"/>
    <col min="5089" max="5089" width="11.42578125" style="1093" customWidth="1"/>
    <col min="5090" max="5090" width="10" style="1093" customWidth="1"/>
    <col min="5091" max="5091" width="7.85546875" style="1093" customWidth="1"/>
    <col min="5092" max="5092" width="10.140625" style="1093" customWidth="1"/>
    <col min="5093" max="5094" width="7.85546875" style="1093" customWidth="1"/>
    <col min="5095" max="5095" width="10.85546875" style="1093" customWidth="1"/>
    <col min="5096" max="5096" width="10.7109375" style="1093" customWidth="1"/>
    <col min="5097" max="5097" width="11" style="1093" customWidth="1"/>
    <col min="5098" max="5100" width="7.85546875" style="1093" customWidth="1"/>
    <col min="5101" max="5101" width="11.28515625" style="1093" customWidth="1"/>
    <col min="5102" max="5102" width="12.42578125" style="1093" customWidth="1"/>
    <col min="5103" max="5103" width="11" style="1093" customWidth="1"/>
    <col min="5104" max="5105" width="7.85546875" style="1093" customWidth="1"/>
    <col min="5106" max="5106" width="11" style="1093" customWidth="1"/>
    <col min="5107" max="5107" width="10.5703125" style="1093" customWidth="1"/>
    <col min="5108" max="5109" width="11" style="1093" customWidth="1"/>
    <col min="5110" max="5114" width="7.85546875" style="1093" bestFit="1" customWidth="1"/>
    <col min="5115" max="5115" width="8.42578125" style="1093" bestFit="1" customWidth="1"/>
    <col min="5116" max="5116" width="11.42578125" style="1093" customWidth="1"/>
    <col min="5117" max="5117" width="7.85546875" style="1093" bestFit="1" customWidth="1"/>
    <col min="5118" max="5118" width="9.5703125" style="1093" customWidth="1"/>
    <col min="5119" max="5119" width="7.85546875" style="1093" bestFit="1" customWidth="1"/>
    <col min="5120" max="5120" width="12" style="1093" customWidth="1"/>
    <col min="5121" max="5121" width="13.42578125" style="1093" customWidth="1"/>
    <col min="5122" max="5122" width="9.5703125" style="1093" bestFit="1" customWidth="1"/>
    <col min="5123" max="5129" width="9.140625" style="1093" customWidth="1"/>
    <col min="5130" max="5333" width="9.140625" style="1093"/>
    <col min="5334" max="5334" width="16.7109375" style="1093" customWidth="1"/>
    <col min="5335" max="5335" width="52.5703125" style="1093" customWidth="1"/>
    <col min="5336" max="5336" width="11" style="1093" customWidth="1"/>
    <col min="5337" max="5337" width="13.42578125" style="1093" customWidth="1"/>
    <col min="5338" max="5338" width="11.28515625" style="1093" customWidth="1"/>
    <col min="5339" max="5339" width="10.28515625" style="1093" customWidth="1"/>
    <col min="5340" max="5340" width="13.85546875" style="1093" customWidth="1"/>
    <col min="5341" max="5342" width="7.85546875" style="1093" customWidth="1"/>
    <col min="5343" max="5343" width="10.85546875" style="1093" customWidth="1"/>
    <col min="5344" max="5344" width="13" style="1093" customWidth="1"/>
    <col min="5345" max="5345" width="11.42578125" style="1093" customWidth="1"/>
    <col min="5346" max="5346" width="10" style="1093" customWidth="1"/>
    <col min="5347" max="5347" width="7.85546875" style="1093" customWidth="1"/>
    <col min="5348" max="5348" width="10.140625" style="1093" customWidth="1"/>
    <col min="5349" max="5350" width="7.85546875" style="1093" customWidth="1"/>
    <col min="5351" max="5351" width="10.85546875" style="1093" customWidth="1"/>
    <col min="5352" max="5352" width="10.7109375" style="1093" customWidth="1"/>
    <col min="5353" max="5353" width="11" style="1093" customWidth="1"/>
    <col min="5354" max="5356" width="7.85546875" style="1093" customWidth="1"/>
    <col min="5357" max="5357" width="11.28515625" style="1093" customWidth="1"/>
    <col min="5358" max="5358" width="12.42578125" style="1093" customWidth="1"/>
    <col min="5359" max="5359" width="11" style="1093" customWidth="1"/>
    <col min="5360" max="5361" width="7.85546875" style="1093" customWidth="1"/>
    <col min="5362" max="5362" width="11" style="1093" customWidth="1"/>
    <col min="5363" max="5363" width="10.5703125" style="1093" customWidth="1"/>
    <col min="5364" max="5365" width="11" style="1093" customWidth="1"/>
    <col min="5366" max="5370" width="7.85546875" style="1093" bestFit="1" customWidth="1"/>
    <col min="5371" max="5371" width="8.42578125" style="1093" bestFit="1" customWidth="1"/>
    <col min="5372" max="5372" width="11.42578125" style="1093" customWidth="1"/>
    <col min="5373" max="5373" width="7.85546875" style="1093" bestFit="1" customWidth="1"/>
    <col min="5374" max="5374" width="9.5703125" style="1093" customWidth="1"/>
    <col min="5375" max="5375" width="7.85546875" style="1093" bestFit="1" customWidth="1"/>
    <col min="5376" max="5376" width="12" style="1093" customWidth="1"/>
    <col min="5377" max="5377" width="13.42578125" style="1093" customWidth="1"/>
    <col min="5378" max="5378" width="9.5703125" style="1093" bestFit="1" customWidth="1"/>
    <col min="5379" max="5385" width="9.140625" style="1093" customWidth="1"/>
    <col min="5386" max="5589" width="9.140625" style="1093"/>
    <col min="5590" max="5590" width="16.7109375" style="1093" customWidth="1"/>
    <col min="5591" max="5591" width="52.5703125" style="1093" customWidth="1"/>
    <col min="5592" max="5592" width="11" style="1093" customWidth="1"/>
    <col min="5593" max="5593" width="13.42578125" style="1093" customWidth="1"/>
    <col min="5594" max="5594" width="11.28515625" style="1093" customWidth="1"/>
    <col min="5595" max="5595" width="10.28515625" style="1093" customWidth="1"/>
    <col min="5596" max="5596" width="13.85546875" style="1093" customWidth="1"/>
    <col min="5597" max="5598" width="7.85546875" style="1093" customWidth="1"/>
    <col min="5599" max="5599" width="10.85546875" style="1093" customWidth="1"/>
    <col min="5600" max="5600" width="13" style="1093" customWidth="1"/>
    <col min="5601" max="5601" width="11.42578125" style="1093" customWidth="1"/>
    <col min="5602" max="5602" width="10" style="1093" customWidth="1"/>
    <col min="5603" max="5603" width="7.85546875" style="1093" customWidth="1"/>
    <col min="5604" max="5604" width="10.140625" style="1093" customWidth="1"/>
    <col min="5605" max="5606" width="7.85546875" style="1093" customWidth="1"/>
    <col min="5607" max="5607" width="10.85546875" style="1093" customWidth="1"/>
    <col min="5608" max="5608" width="10.7109375" style="1093" customWidth="1"/>
    <col min="5609" max="5609" width="11" style="1093" customWidth="1"/>
    <col min="5610" max="5612" width="7.85546875" style="1093" customWidth="1"/>
    <col min="5613" max="5613" width="11.28515625" style="1093" customWidth="1"/>
    <col min="5614" max="5614" width="12.42578125" style="1093" customWidth="1"/>
    <col min="5615" max="5615" width="11" style="1093" customWidth="1"/>
    <col min="5616" max="5617" width="7.85546875" style="1093" customWidth="1"/>
    <col min="5618" max="5618" width="11" style="1093" customWidth="1"/>
    <col min="5619" max="5619" width="10.5703125" style="1093" customWidth="1"/>
    <col min="5620" max="5621" width="11" style="1093" customWidth="1"/>
    <col min="5622" max="5626" width="7.85546875" style="1093" bestFit="1" customWidth="1"/>
    <col min="5627" max="5627" width="8.42578125" style="1093" bestFit="1" customWidth="1"/>
    <col min="5628" max="5628" width="11.42578125" style="1093" customWidth="1"/>
    <col min="5629" max="5629" width="7.85546875" style="1093" bestFit="1" customWidth="1"/>
    <col min="5630" max="5630" width="9.5703125" style="1093" customWidth="1"/>
    <col min="5631" max="5631" width="7.85546875" style="1093" bestFit="1" customWidth="1"/>
    <col min="5632" max="5632" width="12" style="1093" customWidth="1"/>
    <col min="5633" max="5633" width="13.42578125" style="1093" customWidth="1"/>
    <col min="5634" max="5634" width="9.5703125" style="1093" bestFit="1" customWidth="1"/>
    <col min="5635" max="5641" width="9.140625" style="1093" customWidth="1"/>
    <col min="5642" max="5845" width="9.140625" style="1093"/>
    <col min="5846" max="5846" width="16.7109375" style="1093" customWidth="1"/>
    <col min="5847" max="5847" width="52.5703125" style="1093" customWidth="1"/>
    <col min="5848" max="5848" width="11" style="1093" customWidth="1"/>
    <col min="5849" max="5849" width="13.42578125" style="1093" customWidth="1"/>
    <col min="5850" max="5850" width="11.28515625" style="1093" customWidth="1"/>
    <col min="5851" max="5851" width="10.28515625" style="1093" customWidth="1"/>
    <col min="5852" max="5852" width="13.85546875" style="1093" customWidth="1"/>
    <col min="5853" max="5854" width="7.85546875" style="1093" customWidth="1"/>
    <col min="5855" max="5855" width="10.85546875" style="1093" customWidth="1"/>
    <col min="5856" max="5856" width="13" style="1093" customWidth="1"/>
    <col min="5857" max="5857" width="11.42578125" style="1093" customWidth="1"/>
    <col min="5858" max="5858" width="10" style="1093" customWidth="1"/>
    <col min="5859" max="5859" width="7.85546875" style="1093" customWidth="1"/>
    <col min="5860" max="5860" width="10.140625" style="1093" customWidth="1"/>
    <col min="5861" max="5862" width="7.85546875" style="1093" customWidth="1"/>
    <col min="5863" max="5863" width="10.85546875" style="1093" customWidth="1"/>
    <col min="5864" max="5864" width="10.7109375" style="1093" customWidth="1"/>
    <col min="5865" max="5865" width="11" style="1093" customWidth="1"/>
    <col min="5866" max="5868" width="7.85546875" style="1093" customWidth="1"/>
    <col min="5869" max="5869" width="11.28515625" style="1093" customWidth="1"/>
    <col min="5870" max="5870" width="12.42578125" style="1093" customWidth="1"/>
    <col min="5871" max="5871" width="11" style="1093" customWidth="1"/>
    <col min="5872" max="5873" width="7.85546875" style="1093" customWidth="1"/>
    <col min="5874" max="5874" width="11" style="1093" customWidth="1"/>
    <col min="5875" max="5875" width="10.5703125" style="1093" customWidth="1"/>
    <col min="5876" max="5877" width="11" style="1093" customWidth="1"/>
    <col min="5878" max="5882" width="7.85546875" style="1093" bestFit="1" customWidth="1"/>
    <col min="5883" max="5883" width="8.42578125" style="1093" bestFit="1" customWidth="1"/>
    <col min="5884" max="5884" width="11.42578125" style="1093" customWidth="1"/>
    <col min="5885" max="5885" width="7.85546875" style="1093" bestFit="1" customWidth="1"/>
    <col min="5886" max="5886" width="9.5703125" style="1093" customWidth="1"/>
    <col min="5887" max="5887" width="7.85546875" style="1093" bestFit="1" customWidth="1"/>
    <col min="5888" max="5888" width="12" style="1093" customWidth="1"/>
    <col min="5889" max="5889" width="13.42578125" style="1093" customWidth="1"/>
    <col min="5890" max="5890" width="9.5703125" style="1093" bestFit="1" customWidth="1"/>
    <col min="5891" max="5897" width="9.140625" style="1093" customWidth="1"/>
    <col min="5898" max="6101" width="9.140625" style="1093"/>
    <col min="6102" max="6102" width="16.7109375" style="1093" customWidth="1"/>
    <col min="6103" max="6103" width="52.5703125" style="1093" customWidth="1"/>
    <col min="6104" max="6104" width="11" style="1093" customWidth="1"/>
    <col min="6105" max="6105" width="13.42578125" style="1093" customWidth="1"/>
    <col min="6106" max="6106" width="11.28515625" style="1093" customWidth="1"/>
    <col min="6107" max="6107" width="10.28515625" style="1093" customWidth="1"/>
    <col min="6108" max="6108" width="13.85546875" style="1093" customWidth="1"/>
    <col min="6109" max="6110" width="7.85546875" style="1093" customWidth="1"/>
    <col min="6111" max="6111" width="10.85546875" style="1093" customWidth="1"/>
    <col min="6112" max="6112" width="13" style="1093" customWidth="1"/>
    <col min="6113" max="6113" width="11.42578125" style="1093" customWidth="1"/>
    <col min="6114" max="6114" width="10" style="1093" customWidth="1"/>
    <col min="6115" max="6115" width="7.85546875" style="1093" customWidth="1"/>
    <col min="6116" max="6116" width="10.140625" style="1093" customWidth="1"/>
    <col min="6117" max="6118" width="7.85546875" style="1093" customWidth="1"/>
    <col min="6119" max="6119" width="10.85546875" style="1093" customWidth="1"/>
    <col min="6120" max="6120" width="10.7109375" style="1093" customWidth="1"/>
    <col min="6121" max="6121" width="11" style="1093" customWidth="1"/>
    <col min="6122" max="6124" width="7.85546875" style="1093" customWidth="1"/>
    <col min="6125" max="6125" width="11.28515625" style="1093" customWidth="1"/>
    <col min="6126" max="6126" width="12.42578125" style="1093" customWidth="1"/>
    <col min="6127" max="6127" width="11" style="1093" customWidth="1"/>
    <col min="6128" max="6129" width="7.85546875" style="1093" customWidth="1"/>
    <col min="6130" max="6130" width="11" style="1093" customWidth="1"/>
    <col min="6131" max="6131" width="10.5703125" style="1093" customWidth="1"/>
    <col min="6132" max="6133" width="11" style="1093" customWidth="1"/>
    <col min="6134" max="6138" width="7.85546875" style="1093" bestFit="1" customWidth="1"/>
    <col min="6139" max="6139" width="8.42578125" style="1093" bestFit="1" customWidth="1"/>
    <col min="6140" max="6140" width="11.42578125" style="1093" customWidth="1"/>
    <col min="6141" max="6141" width="7.85546875" style="1093" bestFit="1" customWidth="1"/>
    <col min="6142" max="6142" width="9.5703125" style="1093" customWidth="1"/>
    <col min="6143" max="6143" width="7.85546875" style="1093" bestFit="1" customWidth="1"/>
    <col min="6144" max="6144" width="12" style="1093" customWidth="1"/>
    <col min="6145" max="6145" width="13.42578125" style="1093" customWidth="1"/>
    <col min="6146" max="6146" width="9.5703125" style="1093" bestFit="1" customWidth="1"/>
    <col min="6147" max="6153" width="9.140625" style="1093" customWidth="1"/>
    <col min="6154" max="6357" width="9.140625" style="1093"/>
    <col min="6358" max="6358" width="16.7109375" style="1093" customWidth="1"/>
    <col min="6359" max="6359" width="52.5703125" style="1093" customWidth="1"/>
    <col min="6360" max="6360" width="11" style="1093" customWidth="1"/>
    <col min="6361" max="6361" width="13.42578125" style="1093" customWidth="1"/>
    <col min="6362" max="6362" width="11.28515625" style="1093" customWidth="1"/>
    <col min="6363" max="6363" width="10.28515625" style="1093" customWidth="1"/>
    <col min="6364" max="6364" width="13.85546875" style="1093" customWidth="1"/>
    <col min="6365" max="6366" width="7.85546875" style="1093" customWidth="1"/>
    <col min="6367" max="6367" width="10.85546875" style="1093" customWidth="1"/>
    <col min="6368" max="6368" width="13" style="1093" customWidth="1"/>
    <col min="6369" max="6369" width="11.42578125" style="1093" customWidth="1"/>
    <col min="6370" max="6370" width="10" style="1093" customWidth="1"/>
    <col min="6371" max="6371" width="7.85546875" style="1093" customWidth="1"/>
    <col min="6372" max="6372" width="10.140625" style="1093" customWidth="1"/>
    <col min="6373" max="6374" width="7.85546875" style="1093" customWidth="1"/>
    <col min="6375" max="6375" width="10.85546875" style="1093" customWidth="1"/>
    <col min="6376" max="6376" width="10.7109375" style="1093" customWidth="1"/>
    <col min="6377" max="6377" width="11" style="1093" customWidth="1"/>
    <col min="6378" max="6380" width="7.85546875" style="1093" customWidth="1"/>
    <col min="6381" max="6381" width="11.28515625" style="1093" customWidth="1"/>
    <col min="6382" max="6382" width="12.42578125" style="1093" customWidth="1"/>
    <col min="6383" max="6383" width="11" style="1093" customWidth="1"/>
    <col min="6384" max="6385" width="7.85546875" style="1093" customWidth="1"/>
    <col min="6386" max="6386" width="11" style="1093" customWidth="1"/>
    <col min="6387" max="6387" width="10.5703125" style="1093" customWidth="1"/>
    <col min="6388" max="6389" width="11" style="1093" customWidth="1"/>
    <col min="6390" max="6394" width="7.85546875" style="1093" bestFit="1" customWidth="1"/>
    <col min="6395" max="6395" width="8.42578125" style="1093" bestFit="1" customWidth="1"/>
    <col min="6396" max="6396" width="11.42578125" style="1093" customWidth="1"/>
    <col min="6397" max="6397" width="7.85546875" style="1093" bestFit="1" customWidth="1"/>
    <col min="6398" max="6398" width="9.5703125" style="1093" customWidth="1"/>
    <col min="6399" max="6399" width="7.85546875" style="1093" bestFit="1" customWidth="1"/>
    <col min="6400" max="6400" width="12" style="1093" customWidth="1"/>
    <col min="6401" max="6401" width="13.42578125" style="1093" customWidth="1"/>
    <col min="6402" max="6402" width="9.5703125" style="1093" bestFit="1" customWidth="1"/>
    <col min="6403" max="6409" width="9.140625" style="1093" customWidth="1"/>
    <col min="6410" max="6613" width="9.140625" style="1093"/>
    <col min="6614" max="6614" width="16.7109375" style="1093" customWidth="1"/>
    <col min="6615" max="6615" width="52.5703125" style="1093" customWidth="1"/>
    <col min="6616" max="6616" width="11" style="1093" customWidth="1"/>
    <col min="6617" max="6617" width="13.42578125" style="1093" customWidth="1"/>
    <col min="6618" max="6618" width="11.28515625" style="1093" customWidth="1"/>
    <col min="6619" max="6619" width="10.28515625" style="1093" customWidth="1"/>
    <col min="6620" max="6620" width="13.85546875" style="1093" customWidth="1"/>
    <col min="6621" max="6622" width="7.85546875" style="1093" customWidth="1"/>
    <col min="6623" max="6623" width="10.85546875" style="1093" customWidth="1"/>
    <col min="6624" max="6624" width="13" style="1093" customWidth="1"/>
    <col min="6625" max="6625" width="11.42578125" style="1093" customWidth="1"/>
    <col min="6626" max="6626" width="10" style="1093" customWidth="1"/>
    <col min="6627" max="6627" width="7.85546875" style="1093" customWidth="1"/>
    <col min="6628" max="6628" width="10.140625" style="1093" customWidth="1"/>
    <col min="6629" max="6630" width="7.85546875" style="1093" customWidth="1"/>
    <col min="6631" max="6631" width="10.85546875" style="1093" customWidth="1"/>
    <col min="6632" max="6632" width="10.7109375" style="1093" customWidth="1"/>
    <col min="6633" max="6633" width="11" style="1093" customWidth="1"/>
    <col min="6634" max="6636" width="7.85546875" style="1093" customWidth="1"/>
    <col min="6637" max="6637" width="11.28515625" style="1093" customWidth="1"/>
    <col min="6638" max="6638" width="12.42578125" style="1093" customWidth="1"/>
    <col min="6639" max="6639" width="11" style="1093" customWidth="1"/>
    <col min="6640" max="6641" width="7.85546875" style="1093" customWidth="1"/>
    <col min="6642" max="6642" width="11" style="1093" customWidth="1"/>
    <col min="6643" max="6643" width="10.5703125" style="1093" customWidth="1"/>
    <col min="6644" max="6645" width="11" style="1093" customWidth="1"/>
    <col min="6646" max="6650" width="7.85546875" style="1093" bestFit="1" customWidth="1"/>
    <col min="6651" max="6651" width="8.42578125" style="1093" bestFit="1" customWidth="1"/>
    <col min="6652" max="6652" width="11.42578125" style="1093" customWidth="1"/>
    <col min="6653" max="6653" width="7.85546875" style="1093" bestFit="1" customWidth="1"/>
    <col min="6654" max="6654" width="9.5703125" style="1093" customWidth="1"/>
    <col min="6655" max="6655" width="7.85546875" style="1093" bestFit="1" customWidth="1"/>
    <col min="6656" max="6656" width="12" style="1093" customWidth="1"/>
    <col min="6657" max="6657" width="13.42578125" style="1093" customWidth="1"/>
    <col min="6658" max="6658" width="9.5703125" style="1093" bestFit="1" customWidth="1"/>
    <col min="6659" max="6665" width="9.140625" style="1093" customWidth="1"/>
    <col min="6666" max="6869" width="9.140625" style="1093"/>
    <col min="6870" max="6870" width="16.7109375" style="1093" customWidth="1"/>
    <col min="6871" max="6871" width="52.5703125" style="1093" customWidth="1"/>
    <col min="6872" max="6872" width="11" style="1093" customWidth="1"/>
    <col min="6873" max="6873" width="13.42578125" style="1093" customWidth="1"/>
    <col min="6874" max="6874" width="11.28515625" style="1093" customWidth="1"/>
    <col min="6875" max="6875" width="10.28515625" style="1093" customWidth="1"/>
    <col min="6876" max="6876" width="13.85546875" style="1093" customWidth="1"/>
    <col min="6877" max="6878" width="7.85546875" style="1093" customWidth="1"/>
    <col min="6879" max="6879" width="10.85546875" style="1093" customWidth="1"/>
    <col min="6880" max="6880" width="13" style="1093" customWidth="1"/>
    <col min="6881" max="6881" width="11.42578125" style="1093" customWidth="1"/>
    <col min="6882" max="6882" width="10" style="1093" customWidth="1"/>
    <col min="6883" max="6883" width="7.85546875" style="1093" customWidth="1"/>
    <col min="6884" max="6884" width="10.140625" style="1093" customWidth="1"/>
    <col min="6885" max="6886" width="7.85546875" style="1093" customWidth="1"/>
    <col min="6887" max="6887" width="10.85546875" style="1093" customWidth="1"/>
    <col min="6888" max="6888" width="10.7109375" style="1093" customWidth="1"/>
    <col min="6889" max="6889" width="11" style="1093" customWidth="1"/>
    <col min="6890" max="6892" width="7.85546875" style="1093" customWidth="1"/>
    <col min="6893" max="6893" width="11.28515625" style="1093" customWidth="1"/>
    <col min="6894" max="6894" width="12.42578125" style="1093" customWidth="1"/>
    <col min="6895" max="6895" width="11" style="1093" customWidth="1"/>
    <col min="6896" max="6897" width="7.85546875" style="1093" customWidth="1"/>
    <col min="6898" max="6898" width="11" style="1093" customWidth="1"/>
    <col min="6899" max="6899" width="10.5703125" style="1093" customWidth="1"/>
    <col min="6900" max="6901" width="11" style="1093" customWidth="1"/>
    <col min="6902" max="6906" width="7.85546875" style="1093" bestFit="1" customWidth="1"/>
    <col min="6907" max="6907" width="8.42578125" style="1093" bestFit="1" customWidth="1"/>
    <col min="6908" max="6908" width="11.42578125" style="1093" customWidth="1"/>
    <col min="6909" max="6909" width="7.85546875" style="1093" bestFit="1" customWidth="1"/>
    <col min="6910" max="6910" width="9.5703125" style="1093" customWidth="1"/>
    <col min="6911" max="6911" width="7.85546875" style="1093" bestFit="1" customWidth="1"/>
    <col min="6912" max="6912" width="12" style="1093" customWidth="1"/>
    <col min="6913" max="6913" width="13.42578125" style="1093" customWidth="1"/>
    <col min="6914" max="6914" width="9.5703125" style="1093" bestFit="1" customWidth="1"/>
    <col min="6915" max="6921" width="9.140625" style="1093" customWidth="1"/>
    <col min="6922" max="7125" width="9.140625" style="1093"/>
    <col min="7126" max="7126" width="16.7109375" style="1093" customWidth="1"/>
    <col min="7127" max="7127" width="52.5703125" style="1093" customWidth="1"/>
    <col min="7128" max="7128" width="11" style="1093" customWidth="1"/>
    <col min="7129" max="7129" width="13.42578125" style="1093" customWidth="1"/>
    <col min="7130" max="7130" width="11.28515625" style="1093" customWidth="1"/>
    <col min="7131" max="7131" width="10.28515625" style="1093" customWidth="1"/>
    <col min="7132" max="7132" width="13.85546875" style="1093" customWidth="1"/>
    <col min="7133" max="7134" width="7.85546875" style="1093" customWidth="1"/>
    <col min="7135" max="7135" width="10.85546875" style="1093" customWidth="1"/>
    <col min="7136" max="7136" width="13" style="1093" customWidth="1"/>
    <col min="7137" max="7137" width="11.42578125" style="1093" customWidth="1"/>
    <col min="7138" max="7138" width="10" style="1093" customWidth="1"/>
    <col min="7139" max="7139" width="7.85546875" style="1093" customWidth="1"/>
    <col min="7140" max="7140" width="10.140625" style="1093" customWidth="1"/>
    <col min="7141" max="7142" width="7.85546875" style="1093" customWidth="1"/>
    <col min="7143" max="7143" width="10.85546875" style="1093" customWidth="1"/>
    <col min="7144" max="7144" width="10.7109375" style="1093" customWidth="1"/>
    <col min="7145" max="7145" width="11" style="1093" customWidth="1"/>
    <col min="7146" max="7148" width="7.85546875" style="1093" customWidth="1"/>
    <col min="7149" max="7149" width="11.28515625" style="1093" customWidth="1"/>
    <col min="7150" max="7150" width="12.42578125" style="1093" customWidth="1"/>
    <col min="7151" max="7151" width="11" style="1093" customWidth="1"/>
    <col min="7152" max="7153" width="7.85546875" style="1093" customWidth="1"/>
    <col min="7154" max="7154" width="11" style="1093" customWidth="1"/>
    <col min="7155" max="7155" width="10.5703125" style="1093" customWidth="1"/>
    <col min="7156" max="7157" width="11" style="1093" customWidth="1"/>
    <col min="7158" max="7162" width="7.85546875" style="1093" bestFit="1" customWidth="1"/>
    <col min="7163" max="7163" width="8.42578125" style="1093" bestFit="1" customWidth="1"/>
    <col min="7164" max="7164" width="11.42578125" style="1093" customWidth="1"/>
    <col min="7165" max="7165" width="7.85546875" style="1093" bestFit="1" customWidth="1"/>
    <col min="7166" max="7166" width="9.5703125" style="1093" customWidth="1"/>
    <col min="7167" max="7167" width="7.85546875" style="1093" bestFit="1" customWidth="1"/>
    <col min="7168" max="7168" width="12" style="1093" customWidth="1"/>
    <col min="7169" max="7169" width="13.42578125" style="1093" customWidth="1"/>
    <col min="7170" max="7170" width="9.5703125" style="1093" bestFit="1" customWidth="1"/>
    <col min="7171" max="7177" width="9.140625" style="1093" customWidth="1"/>
    <col min="7178" max="7381" width="9.140625" style="1093"/>
    <col min="7382" max="7382" width="16.7109375" style="1093" customWidth="1"/>
    <col min="7383" max="7383" width="52.5703125" style="1093" customWidth="1"/>
    <col min="7384" max="7384" width="11" style="1093" customWidth="1"/>
    <col min="7385" max="7385" width="13.42578125" style="1093" customWidth="1"/>
    <col min="7386" max="7386" width="11.28515625" style="1093" customWidth="1"/>
    <col min="7387" max="7387" width="10.28515625" style="1093" customWidth="1"/>
    <col min="7388" max="7388" width="13.85546875" style="1093" customWidth="1"/>
    <col min="7389" max="7390" width="7.85546875" style="1093" customWidth="1"/>
    <col min="7391" max="7391" width="10.85546875" style="1093" customWidth="1"/>
    <col min="7392" max="7392" width="13" style="1093" customWidth="1"/>
    <col min="7393" max="7393" width="11.42578125" style="1093" customWidth="1"/>
    <col min="7394" max="7394" width="10" style="1093" customWidth="1"/>
    <col min="7395" max="7395" width="7.85546875" style="1093" customWidth="1"/>
    <col min="7396" max="7396" width="10.140625" style="1093" customWidth="1"/>
    <col min="7397" max="7398" width="7.85546875" style="1093" customWidth="1"/>
    <col min="7399" max="7399" width="10.85546875" style="1093" customWidth="1"/>
    <col min="7400" max="7400" width="10.7109375" style="1093" customWidth="1"/>
    <col min="7401" max="7401" width="11" style="1093" customWidth="1"/>
    <col min="7402" max="7404" width="7.85546875" style="1093" customWidth="1"/>
    <col min="7405" max="7405" width="11.28515625" style="1093" customWidth="1"/>
    <col min="7406" max="7406" width="12.42578125" style="1093" customWidth="1"/>
    <col min="7407" max="7407" width="11" style="1093" customWidth="1"/>
    <col min="7408" max="7409" width="7.85546875" style="1093" customWidth="1"/>
    <col min="7410" max="7410" width="11" style="1093" customWidth="1"/>
    <col min="7411" max="7411" width="10.5703125" style="1093" customWidth="1"/>
    <col min="7412" max="7413" width="11" style="1093" customWidth="1"/>
    <col min="7414" max="7418" width="7.85546875" style="1093" bestFit="1" customWidth="1"/>
    <col min="7419" max="7419" width="8.42578125" style="1093" bestFit="1" customWidth="1"/>
    <col min="7420" max="7420" width="11.42578125" style="1093" customWidth="1"/>
    <col min="7421" max="7421" width="7.85546875" style="1093" bestFit="1" customWidth="1"/>
    <col min="7422" max="7422" width="9.5703125" style="1093" customWidth="1"/>
    <col min="7423" max="7423" width="7.85546875" style="1093" bestFit="1" customWidth="1"/>
    <col min="7424" max="7424" width="12" style="1093" customWidth="1"/>
    <col min="7425" max="7425" width="13.42578125" style="1093" customWidth="1"/>
    <col min="7426" max="7426" width="9.5703125" style="1093" bestFit="1" customWidth="1"/>
    <col min="7427" max="7433" width="9.140625" style="1093" customWidth="1"/>
    <col min="7434" max="7637" width="9.140625" style="1093"/>
    <col min="7638" max="7638" width="16.7109375" style="1093" customWidth="1"/>
    <col min="7639" max="7639" width="52.5703125" style="1093" customWidth="1"/>
    <col min="7640" max="7640" width="11" style="1093" customWidth="1"/>
    <col min="7641" max="7641" width="13.42578125" style="1093" customWidth="1"/>
    <col min="7642" max="7642" width="11.28515625" style="1093" customWidth="1"/>
    <col min="7643" max="7643" width="10.28515625" style="1093" customWidth="1"/>
    <col min="7644" max="7644" width="13.85546875" style="1093" customWidth="1"/>
    <col min="7645" max="7646" width="7.85546875" style="1093" customWidth="1"/>
    <col min="7647" max="7647" width="10.85546875" style="1093" customWidth="1"/>
    <col min="7648" max="7648" width="13" style="1093" customWidth="1"/>
    <col min="7649" max="7649" width="11.42578125" style="1093" customWidth="1"/>
    <col min="7650" max="7650" width="10" style="1093" customWidth="1"/>
    <col min="7651" max="7651" width="7.85546875" style="1093" customWidth="1"/>
    <col min="7652" max="7652" width="10.140625" style="1093" customWidth="1"/>
    <col min="7653" max="7654" width="7.85546875" style="1093" customWidth="1"/>
    <col min="7655" max="7655" width="10.85546875" style="1093" customWidth="1"/>
    <col min="7656" max="7656" width="10.7109375" style="1093" customWidth="1"/>
    <col min="7657" max="7657" width="11" style="1093" customWidth="1"/>
    <col min="7658" max="7660" width="7.85546875" style="1093" customWidth="1"/>
    <col min="7661" max="7661" width="11.28515625" style="1093" customWidth="1"/>
    <col min="7662" max="7662" width="12.42578125" style="1093" customWidth="1"/>
    <col min="7663" max="7663" width="11" style="1093" customWidth="1"/>
    <col min="7664" max="7665" width="7.85546875" style="1093" customWidth="1"/>
    <col min="7666" max="7666" width="11" style="1093" customWidth="1"/>
    <col min="7667" max="7667" width="10.5703125" style="1093" customWidth="1"/>
    <col min="7668" max="7669" width="11" style="1093" customWidth="1"/>
    <col min="7670" max="7674" width="7.85546875" style="1093" bestFit="1" customWidth="1"/>
    <col min="7675" max="7675" width="8.42578125" style="1093" bestFit="1" customWidth="1"/>
    <col min="7676" max="7676" width="11.42578125" style="1093" customWidth="1"/>
    <col min="7677" max="7677" width="7.85546875" style="1093" bestFit="1" customWidth="1"/>
    <col min="7678" max="7678" width="9.5703125" style="1093" customWidth="1"/>
    <col min="7679" max="7679" width="7.85546875" style="1093" bestFit="1" customWidth="1"/>
    <col min="7680" max="7680" width="12" style="1093" customWidth="1"/>
    <col min="7681" max="7681" width="13.42578125" style="1093" customWidth="1"/>
    <col min="7682" max="7682" width="9.5703125" style="1093" bestFit="1" customWidth="1"/>
    <col min="7683" max="7689" width="9.140625" style="1093" customWidth="1"/>
    <col min="7690" max="7893" width="9.140625" style="1093"/>
    <col min="7894" max="7894" width="16.7109375" style="1093" customWidth="1"/>
    <col min="7895" max="7895" width="52.5703125" style="1093" customWidth="1"/>
    <col min="7896" max="7896" width="11" style="1093" customWidth="1"/>
    <col min="7897" max="7897" width="13.42578125" style="1093" customWidth="1"/>
    <col min="7898" max="7898" width="11.28515625" style="1093" customWidth="1"/>
    <col min="7899" max="7899" width="10.28515625" style="1093" customWidth="1"/>
    <col min="7900" max="7900" width="13.85546875" style="1093" customWidth="1"/>
    <col min="7901" max="7902" width="7.85546875" style="1093" customWidth="1"/>
    <col min="7903" max="7903" width="10.85546875" style="1093" customWidth="1"/>
    <col min="7904" max="7904" width="13" style="1093" customWidth="1"/>
    <col min="7905" max="7905" width="11.42578125" style="1093" customWidth="1"/>
    <col min="7906" max="7906" width="10" style="1093" customWidth="1"/>
    <col min="7907" max="7907" width="7.85546875" style="1093" customWidth="1"/>
    <col min="7908" max="7908" width="10.140625" style="1093" customWidth="1"/>
    <col min="7909" max="7910" width="7.85546875" style="1093" customWidth="1"/>
    <col min="7911" max="7911" width="10.85546875" style="1093" customWidth="1"/>
    <col min="7912" max="7912" width="10.7109375" style="1093" customWidth="1"/>
    <col min="7913" max="7913" width="11" style="1093" customWidth="1"/>
    <col min="7914" max="7916" width="7.85546875" style="1093" customWidth="1"/>
    <col min="7917" max="7917" width="11.28515625" style="1093" customWidth="1"/>
    <col min="7918" max="7918" width="12.42578125" style="1093" customWidth="1"/>
    <col min="7919" max="7919" width="11" style="1093" customWidth="1"/>
    <col min="7920" max="7921" width="7.85546875" style="1093" customWidth="1"/>
    <col min="7922" max="7922" width="11" style="1093" customWidth="1"/>
    <col min="7923" max="7923" width="10.5703125" style="1093" customWidth="1"/>
    <col min="7924" max="7925" width="11" style="1093" customWidth="1"/>
    <col min="7926" max="7930" width="7.85546875" style="1093" bestFit="1" customWidth="1"/>
    <col min="7931" max="7931" width="8.42578125" style="1093" bestFit="1" customWidth="1"/>
    <col min="7932" max="7932" width="11.42578125" style="1093" customWidth="1"/>
    <col min="7933" max="7933" width="7.85546875" style="1093" bestFit="1" customWidth="1"/>
    <col min="7934" max="7934" width="9.5703125" style="1093" customWidth="1"/>
    <col min="7935" max="7935" width="7.85546875" style="1093" bestFit="1" customWidth="1"/>
    <col min="7936" max="7936" width="12" style="1093" customWidth="1"/>
    <col min="7937" max="7937" width="13.42578125" style="1093" customWidth="1"/>
    <col min="7938" max="7938" width="9.5703125" style="1093" bestFit="1" customWidth="1"/>
    <col min="7939" max="7945" width="9.140625" style="1093" customWidth="1"/>
    <col min="7946" max="8149" width="9.140625" style="1093"/>
    <col min="8150" max="8150" width="16.7109375" style="1093" customWidth="1"/>
    <col min="8151" max="8151" width="52.5703125" style="1093" customWidth="1"/>
    <col min="8152" max="8152" width="11" style="1093" customWidth="1"/>
    <col min="8153" max="8153" width="13.42578125" style="1093" customWidth="1"/>
    <col min="8154" max="8154" width="11.28515625" style="1093" customWidth="1"/>
    <col min="8155" max="8155" width="10.28515625" style="1093" customWidth="1"/>
    <col min="8156" max="8156" width="13.85546875" style="1093" customWidth="1"/>
    <col min="8157" max="8158" width="7.85546875" style="1093" customWidth="1"/>
    <col min="8159" max="8159" width="10.85546875" style="1093" customWidth="1"/>
    <col min="8160" max="8160" width="13" style="1093" customWidth="1"/>
    <col min="8161" max="8161" width="11.42578125" style="1093" customWidth="1"/>
    <col min="8162" max="8162" width="10" style="1093" customWidth="1"/>
    <col min="8163" max="8163" width="7.85546875" style="1093" customWidth="1"/>
    <col min="8164" max="8164" width="10.140625" style="1093" customWidth="1"/>
    <col min="8165" max="8166" width="7.85546875" style="1093" customWidth="1"/>
    <col min="8167" max="8167" width="10.85546875" style="1093" customWidth="1"/>
    <col min="8168" max="8168" width="10.7109375" style="1093" customWidth="1"/>
    <col min="8169" max="8169" width="11" style="1093" customWidth="1"/>
    <col min="8170" max="8172" width="7.85546875" style="1093" customWidth="1"/>
    <col min="8173" max="8173" width="11.28515625" style="1093" customWidth="1"/>
    <col min="8174" max="8174" width="12.42578125" style="1093" customWidth="1"/>
    <col min="8175" max="8175" width="11" style="1093" customWidth="1"/>
    <col min="8176" max="8177" width="7.85546875" style="1093" customWidth="1"/>
    <col min="8178" max="8178" width="11" style="1093" customWidth="1"/>
    <col min="8179" max="8179" width="10.5703125" style="1093" customWidth="1"/>
    <col min="8180" max="8181" width="11" style="1093" customWidth="1"/>
    <col min="8182" max="8186" width="7.85546875" style="1093" bestFit="1" customWidth="1"/>
    <col min="8187" max="8187" width="8.42578125" style="1093" bestFit="1" customWidth="1"/>
    <col min="8188" max="8188" width="11.42578125" style="1093" customWidth="1"/>
    <col min="8189" max="8189" width="7.85546875" style="1093" bestFit="1" customWidth="1"/>
    <col min="8190" max="8190" width="9.5703125" style="1093" customWidth="1"/>
    <col min="8191" max="8191" width="7.85546875" style="1093" bestFit="1" customWidth="1"/>
    <col min="8192" max="8192" width="12" style="1093" customWidth="1"/>
    <col min="8193" max="8193" width="13.42578125" style="1093" customWidth="1"/>
    <col min="8194" max="8194" width="9.5703125" style="1093" bestFit="1" customWidth="1"/>
    <col min="8195" max="8201" width="9.140625" style="1093" customWidth="1"/>
    <col min="8202" max="8405" width="9.140625" style="1093"/>
    <col min="8406" max="8406" width="16.7109375" style="1093" customWidth="1"/>
    <col min="8407" max="8407" width="52.5703125" style="1093" customWidth="1"/>
    <col min="8408" max="8408" width="11" style="1093" customWidth="1"/>
    <col min="8409" max="8409" width="13.42578125" style="1093" customWidth="1"/>
    <col min="8410" max="8410" width="11.28515625" style="1093" customWidth="1"/>
    <col min="8411" max="8411" width="10.28515625" style="1093" customWidth="1"/>
    <col min="8412" max="8412" width="13.85546875" style="1093" customWidth="1"/>
    <col min="8413" max="8414" width="7.85546875" style="1093" customWidth="1"/>
    <col min="8415" max="8415" width="10.85546875" style="1093" customWidth="1"/>
    <col min="8416" max="8416" width="13" style="1093" customWidth="1"/>
    <col min="8417" max="8417" width="11.42578125" style="1093" customWidth="1"/>
    <col min="8418" max="8418" width="10" style="1093" customWidth="1"/>
    <col min="8419" max="8419" width="7.85546875" style="1093" customWidth="1"/>
    <col min="8420" max="8420" width="10.140625" style="1093" customWidth="1"/>
    <col min="8421" max="8422" width="7.85546875" style="1093" customWidth="1"/>
    <col min="8423" max="8423" width="10.85546875" style="1093" customWidth="1"/>
    <col min="8424" max="8424" width="10.7109375" style="1093" customWidth="1"/>
    <col min="8425" max="8425" width="11" style="1093" customWidth="1"/>
    <col min="8426" max="8428" width="7.85546875" style="1093" customWidth="1"/>
    <col min="8429" max="8429" width="11.28515625" style="1093" customWidth="1"/>
    <col min="8430" max="8430" width="12.42578125" style="1093" customWidth="1"/>
    <col min="8431" max="8431" width="11" style="1093" customWidth="1"/>
    <col min="8432" max="8433" width="7.85546875" style="1093" customWidth="1"/>
    <col min="8434" max="8434" width="11" style="1093" customWidth="1"/>
    <col min="8435" max="8435" width="10.5703125" style="1093" customWidth="1"/>
    <col min="8436" max="8437" width="11" style="1093" customWidth="1"/>
    <col min="8438" max="8442" width="7.85546875" style="1093" bestFit="1" customWidth="1"/>
    <col min="8443" max="8443" width="8.42578125" style="1093" bestFit="1" customWidth="1"/>
    <col min="8444" max="8444" width="11.42578125" style="1093" customWidth="1"/>
    <col min="8445" max="8445" width="7.85546875" style="1093" bestFit="1" customWidth="1"/>
    <col min="8446" max="8446" width="9.5703125" style="1093" customWidth="1"/>
    <col min="8447" max="8447" width="7.85546875" style="1093" bestFit="1" customWidth="1"/>
    <col min="8448" max="8448" width="12" style="1093" customWidth="1"/>
    <col min="8449" max="8449" width="13.42578125" style="1093" customWidth="1"/>
    <col min="8450" max="8450" width="9.5703125" style="1093" bestFit="1" customWidth="1"/>
    <col min="8451" max="8457" width="9.140625" style="1093" customWidth="1"/>
    <col min="8458" max="8661" width="9.140625" style="1093"/>
    <col min="8662" max="8662" width="16.7109375" style="1093" customWidth="1"/>
    <col min="8663" max="8663" width="52.5703125" style="1093" customWidth="1"/>
    <col min="8664" max="8664" width="11" style="1093" customWidth="1"/>
    <col min="8665" max="8665" width="13.42578125" style="1093" customWidth="1"/>
    <col min="8666" max="8666" width="11.28515625" style="1093" customWidth="1"/>
    <col min="8667" max="8667" width="10.28515625" style="1093" customWidth="1"/>
    <col min="8668" max="8668" width="13.85546875" style="1093" customWidth="1"/>
    <col min="8669" max="8670" width="7.85546875" style="1093" customWidth="1"/>
    <col min="8671" max="8671" width="10.85546875" style="1093" customWidth="1"/>
    <col min="8672" max="8672" width="13" style="1093" customWidth="1"/>
    <col min="8673" max="8673" width="11.42578125" style="1093" customWidth="1"/>
    <col min="8674" max="8674" width="10" style="1093" customWidth="1"/>
    <col min="8675" max="8675" width="7.85546875" style="1093" customWidth="1"/>
    <col min="8676" max="8676" width="10.140625" style="1093" customWidth="1"/>
    <col min="8677" max="8678" width="7.85546875" style="1093" customWidth="1"/>
    <col min="8679" max="8679" width="10.85546875" style="1093" customWidth="1"/>
    <col min="8680" max="8680" width="10.7109375" style="1093" customWidth="1"/>
    <col min="8681" max="8681" width="11" style="1093" customWidth="1"/>
    <col min="8682" max="8684" width="7.85546875" style="1093" customWidth="1"/>
    <col min="8685" max="8685" width="11.28515625" style="1093" customWidth="1"/>
    <col min="8686" max="8686" width="12.42578125" style="1093" customWidth="1"/>
    <col min="8687" max="8687" width="11" style="1093" customWidth="1"/>
    <col min="8688" max="8689" width="7.85546875" style="1093" customWidth="1"/>
    <col min="8690" max="8690" width="11" style="1093" customWidth="1"/>
    <col min="8691" max="8691" width="10.5703125" style="1093" customWidth="1"/>
    <col min="8692" max="8693" width="11" style="1093" customWidth="1"/>
    <col min="8694" max="8698" width="7.85546875" style="1093" bestFit="1" customWidth="1"/>
    <col min="8699" max="8699" width="8.42578125" style="1093" bestFit="1" customWidth="1"/>
    <col min="8700" max="8700" width="11.42578125" style="1093" customWidth="1"/>
    <col min="8701" max="8701" width="7.85546875" style="1093" bestFit="1" customWidth="1"/>
    <col min="8702" max="8702" width="9.5703125" style="1093" customWidth="1"/>
    <col min="8703" max="8703" width="7.85546875" style="1093" bestFit="1" customWidth="1"/>
    <col min="8704" max="8704" width="12" style="1093" customWidth="1"/>
    <col min="8705" max="8705" width="13.42578125" style="1093" customWidth="1"/>
    <col min="8706" max="8706" width="9.5703125" style="1093" bestFit="1" customWidth="1"/>
    <col min="8707" max="8713" width="9.140625" style="1093" customWidth="1"/>
    <col min="8714" max="8917" width="9.140625" style="1093"/>
    <col min="8918" max="8918" width="16.7109375" style="1093" customWidth="1"/>
    <col min="8919" max="8919" width="52.5703125" style="1093" customWidth="1"/>
    <col min="8920" max="8920" width="11" style="1093" customWidth="1"/>
    <col min="8921" max="8921" width="13.42578125" style="1093" customWidth="1"/>
    <col min="8922" max="8922" width="11.28515625" style="1093" customWidth="1"/>
    <col min="8923" max="8923" width="10.28515625" style="1093" customWidth="1"/>
    <col min="8924" max="8924" width="13.85546875" style="1093" customWidth="1"/>
    <col min="8925" max="8926" width="7.85546875" style="1093" customWidth="1"/>
    <col min="8927" max="8927" width="10.85546875" style="1093" customWidth="1"/>
    <col min="8928" max="8928" width="13" style="1093" customWidth="1"/>
    <col min="8929" max="8929" width="11.42578125" style="1093" customWidth="1"/>
    <col min="8930" max="8930" width="10" style="1093" customWidth="1"/>
    <col min="8931" max="8931" width="7.85546875" style="1093" customWidth="1"/>
    <col min="8932" max="8932" width="10.140625" style="1093" customWidth="1"/>
    <col min="8933" max="8934" width="7.85546875" style="1093" customWidth="1"/>
    <col min="8935" max="8935" width="10.85546875" style="1093" customWidth="1"/>
    <col min="8936" max="8936" width="10.7109375" style="1093" customWidth="1"/>
    <col min="8937" max="8937" width="11" style="1093" customWidth="1"/>
    <col min="8938" max="8940" width="7.85546875" style="1093" customWidth="1"/>
    <col min="8941" max="8941" width="11.28515625" style="1093" customWidth="1"/>
    <col min="8942" max="8942" width="12.42578125" style="1093" customWidth="1"/>
    <col min="8943" max="8943" width="11" style="1093" customWidth="1"/>
    <col min="8944" max="8945" width="7.85546875" style="1093" customWidth="1"/>
    <col min="8946" max="8946" width="11" style="1093" customWidth="1"/>
    <col min="8947" max="8947" width="10.5703125" style="1093" customWidth="1"/>
    <col min="8948" max="8949" width="11" style="1093" customWidth="1"/>
    <col min="8950" max="8954" width="7.85546875" style="1093" bestFit="1" customWidth="1"/>
    <col min="8955" max="8955" width="8.42578125" style="1093" bestFit="1" customWidth="1"/>
    <col min="8956" max="8956" width="11.42578125" style="1093" customWidth="1"/>
    <col min="8957" max="8957" width="7.85546875" style="1093" bestFit="1" customWidth="1"/>
    <col min="8958" max="8958" width="9.5703125" style="1093" customWidth="1"/>
    <col min="8959" max="8959" width="7.85546875" style="1093" bestFit="1" customWidth="1"/>
    <col min="8960" max="8960" width="12" style="1093" customWidth="1"/>
    <col min="8961" max="8961" width="13.42578125" style="1093" customWidth="1"/>
    <col min="8962" max="8962" width="9.5703125" style="1093" bestFit="1" customWidth="1"/>
    <col min="8963" max="8969" width="9.140625" style="1093" customWidth="1"/>
    <col min="8970" max="9173" width="9.140625" style="1093"/>
    <col min="9174" max="9174" width="16.7109375" style="1093" customWidth="1"/>
    <col min="9175" max="9175" width="52.5703125" style="1093" customWidth="1"/>
    <col min="9176" max="9176" width="11" style="1093" customWidth="1"/>
    <col min="9177" max="9177" width="13.42578125" style="1093" customWidth="1"/>
    <col min="9178" max="9178" width="11.28515625" style="1093" customWidth="1"/>
    <col min="9179" max="9179" width="10.28515625" style="1093" customWidth="1"/>
    <col min="9180" max="9180" width="13.85546875" style="1093" customWidth="1"/>
    <col min="9181" max="9182" width="7.85546875" style="1093" customWidth="1"/>
    <col min="9183" max="9183" width="10.85546875" style="1093" customWidth="1"/>
    <col min="9184" max="9184" width="13" style="1093" customWidth="1"/>
    <col min="9185" max="9185" width="11.42578125" style="1093" customWidth="1"/>
    <col min="9186" max="9186" width="10" style="1093" customWidth="1"/>
    <col min="9187" max="9187" width="7.85546875" style="1093" customWidth="1"/>
    <col min="9188" max="9188" width="10.140625" style="1093" customWidth="1"/>
    <col min="9189" max="9190" width="7.85546875" style="1093" customWidth="1"/>
    <col min="9191" max="9191" width="10.85546875" style="1093" customWidth="1"/>
    <col min="9192" max="9192" width="10.7109375" style="1093" customWidth="1"/>
    <col min="9193" max="9193" width="11" style="1093" customWidth="1"/>
    <col min="9194" max="9196" width="7.85546875" style="1093" customWidth="1"/>
    <col min="9197" max="9197" width="11.28515625" style="1093" customWidth="1"/>
    <col min="9198" max="9198" width="12.42578125" style="1093" customWidth="1"/>
    <col min="9199" max="9199" width="11" style="1093" customWidth="1"/>
    <col min="9200" max="9201" width="7.85546875" style="1093" customWidth="1"/>
    <col min="9202" max="9202" width="11" style="1093" customWidth="1"/>
    <col min="9203" max="9203" width="10.5703125" style="1093" customWidth="1"/>
    <col min="9204" max="9205" width="11" style="1093" customWidth="1"/>
    <col min="9206" max="9210" width="7.85546875" style="1093" bestFit="1" customWidth="1"/>
    <col min="9211" max="9211" width="8.42578125" style="1093" bestFit="1" customWidth="1"/>
    <col min="9212" max="9212" width="11.42578125" style="1093" customWidth="1"/>
    <col min="9213" max="9213" width="7.85546875" style="1093" bestFit="1" customWidth="1"/>
    <col min="9214" max="9214" width="9.5703125" style="1093" customWidth="1"/>
    <col min="9215" max="9215" width="7.85546875" style="1093" bestFit="1" customWidth="1"/>
    <col min="9216" max="9216" width="12" style="1093" customWidth="1"/>
    <col min="9217" max="9217" width="13.42578125" style="1093" customWidth="1"/>
    <col min="9218" max="9218" width="9.5703125" style="1093" bestFit="1" customWidth="1"/>
    <col min="9219" max="9225" width="9.140625" style="1093" customWidth="1"/>
    <col min="9226" max="9429" width="9.140625" style="1093"/>
    <col min="9430" max="9430" width="16.7109375" style="1093" customWidth="1"/>
    <col min="9431" max="9431" width="52.5703125" style="1093" customWidth="1"/>
    <col min="9432" max="9432" width="11" style="1093" customWidth="1"/>
    <col min="9433" max="9433" width="13.42578125" style="1093" customWidth="1"/>
    <col min="9434" max="9434" width="11.28515625" style="1093" customWidth="1"/>
    <col min="9435" max="9435" width="10.28515625" style="1093" customWidth="1"/>
    <col min="9436" max="9436" width="13.85546875" style="1093" customWidth="1"/>
    <col min="9437" max="9438" width="7.85546875" style="1093" customWidth="1"/>
    <col min="9439" max="9439" width="10.85546875" style="1093" customWidth="1"/>
    <col min="9440" max="9440" width="13" style="1093" customWidth="1"/>
    <col min="9441" max="9441" width="11.42578125" style="1093" customWidth="1"/>
    <col min="9442" max="9442" width="10" style="1093" customWidth="1"/>
    <col min="9443" max="9443" width="7.85546875" style="1093" customWidth="1"/>
    <col min="9444" max="9444" width="10.140625" style="1093" customWidth="1"/>
    <col min="9445" max="9446" width="7.85546875" style="1093" customWidth="1"/>
    <col min="9447" max="9447" width="10.85546875" style="1093" customWidth="1"/>
    <col min="9448" max="9448" width="10.7109375" style="1093" customWidth="1"/>
    <col min="9449" max="9449" width="11" style="1093" customWidth="1"/>
    <col min="9450" max="9452" width="7.85546875" style="1093" customWidth="1"/>
    <col min="9453" max="9453" width="11.28515625" style="1093" customWidth="1"/>
    <col min="9454" max="9454" width="12.42578125" style="1093" customWidth="1"/>
    <col min="9455" max="9455" width="11" style="1093" customWidth="1"/>
    <col min="9456" max="9457" width="7.85546875" style="1093" customWidth="1"/>
    <col min="9458" max="9458" width="11" style="1093" customWidth="1"/>
    <col min="9459" max="9459" width="10.5703125" style="1093" customWidth="1"/>
    <col min="9460" max="9461" width="11" style="1093" customWidth="1"/>
    <col min="9462" max="9466" width="7.85546875" style="1093" bestFit="1" customWidth="1"/>
    <col min="9467" max="9467" width="8.42578125" style="1093" bestFit="1" customWidth="1"/>
    <col min="9468" max="9468" width="11.42578125" style="1093" customWidth="1"/>
    <col min="9469" max="9469" width="7.85546875" style="1093" bestFit="1" customWidth="1"/>
    <col min="9470" max="9470" width="9.5703125" style="1093" customWidth="1"/>
    <col min="9471" max="9471" width="7.85546875" style="1093" bestFit="1" customWidth="1"/>
    <col min="9472" max="9472" width="12" style="1093" customWidth="1"/>
    <col min="9473" max="9473" width="13.42578125" style="1093" customWidth="1"/>
    <col min="9474" max="9474" width="9.5703125" style="1093" bestFit="1" customWidth="1"/>
    <col min="9475" max="9481" width="9.140625" style="1093" customWidth="1"/>
    <col min="9482" max="9685" width="9.140625" style="1093"/>
    <col min="9686" max="9686" width="16.7109375" style="1093" customWidth="1"/>
    <col min="9687" max="9687" width="52.5703125" style="1093" customWidth="1"/>
    <col min="9688" max="9688" width="11" style="1093" customWidth="1"/>
    <col min="9689" max="9689" width="13.42578125" style="1093" customWidth="1"/>
    <col min="9690" max="9690" width="11.28515625" style="1093" customWidth="1"/>
    <col min="9691" max="9691" width="10.28515625" style="1093" customWidth="1"/>
    <col min="9692" max="9692" width="13.85546875" style="1093" customWidth="1"/>
    <col min="9693" max="9694" width="7.85546875" style="1093" customWidth="1"/>
    <col min="9695" max="9695" width="10.85546875" style="1093" customWidth="1"/>
    <col min="9696" max="9696" width="13" style="1093" customWidth="1"/>
    <col min="9697" max="9697" width="11.42578125" style="1093" customWidth="1"/>
    <col min="9698" max="9698" width="10" style="1093" customWidth="1"/>
    <col min="9699" max="9699" width="7.85546875" style="1093" customWidth="1"/>
    <col min="9700" max="9700" width="10.140625" style="1093" customWidth="1"/>
    <col min="9701" max="9702" width="7.85546875" style="1093" customWidth="1"/>
    <col min="9703" max="9703" width="10.85546875" style="1093" customWidth="1"/>
    <col min="9704" max="9704" width="10.7109375" style="1093" customWidth="1"/>
    <col min="9705" max="9705" width="11" style="1093" customWidth="1"/>
    <col min="9706" max="9708" width="7.85546875" style="1093" customWidth="1"/>
    <col min="9709" max="9709" width="11.28515625" style="1093" customWidth="1"/>
    <col min="9710" max="9710" width="12.42578125" style="1093" customWidth="1"/>
    <col min="9711" max="9711" width="11" style="1093" customWidth="1"/>
    <col min="9712" max="9713" width="7.85546875" style="1093" customWidth="1"/>
    <col min="9714" max="9714" width="11" style="1093" customWidth="1"/>
    <col min="9715" max="9715" width="10.5703125" style="1093" customWidth="1"/>
    <col min="9716" max="9717" width="11" style="1093" customWidth="1"/>
    <col min="9718" max="9722" width="7.85546875" style="1093" bestFit="1" customWidth="1"/>
    <col min="9723" max="9723" width="8.42578125" style="1093" bestFit="1" customWidth="1"/>
    <col min="9724" max="9724" width="11.42578125" style="1093" customWidth="1"/>
    <col min="9725" max="9725" width="7.85546875" style="1093" bestFit="1" customWidth="1"/>
    <col min="9726" max="9726" width="9.5703125" style="1093" customWidth="1"/>
    <col min="9727" max="9727" width="7.85546875" style="1093" bestFit="1" customWidth="1"/>
    <col min="9728" max="9728" width="12" style="1093" customWidth="1"/>
    <col min="9729" max="9729" width="13.42578125" style="1093" customWidth="1"/>
    <col min="9730" max="9730" width="9.5703125" style="1093" bestFit="1" customWidth="1"/>
    <col min="9731" max="9737" width="9.140625" style="1093" customWidth="1"/>
    <col min="9738" max="9941" width="9.140625" style="1093"/>
    <col min="9942" max="9942" width="16.7109375" style="1093" customWidth="1"/>
    <col min="9943" max="9943" width="52.5703125" style="1093" customWidth="1"/>
    <col min="9944" max="9944" width="11" style="1093" customWidth="1"/>
    <col min="9945" max="9945" width="13.42578125" style="1093" customWidth="1"/>
    <col min="9946" max="9946" width="11.28515625" style="1093" customWidth="1"/>
    <col min="9947" max="9947" width="10.28515625" style="1093" customWidth="1"/>
    <col min="9948" max="9948" width="13.85546875" style="1093" customWidth="1"/>
    <col min="9949" max="9950" width="7.85546875" style="1093" customWidth="1"/>
    <col min="9951" max="9951" width="10.85546875" style="1093" customWidth="1"/>
    <col min="9952" max="9952" width="13" style="1093" customWidth="1"/>
    <col min="9953" max="9953" width="11.42578125" style="1093" customWidth="1"/>
    <col min="9954" max="9954" width="10" style="1093" customWidth="1"/>
    <col min="9955" max="9955" width="7.85546875" style="1093" customWidth="1"/>
    <col min="9956" max="9956" width="10.140625" style="1093" customWidth="1"/>
    <col min="9957" max="9958" width="7.85546875" style="1093" customWidth="1"/>
    <col min="9959" max="9959" width="10.85546875" style="1093" customWidth="1"/>
    <col min="9960" max="9960" width="10.7109375" style="1093" customWidth="1"/>
    <col min="9961" max="9961" width="11" style="1093" customWidth="1"/>
    <col min="9962" max="9964" width="7.85546875" style="1093" customWidth="1"/>
    <col min="9965" max="9965" width="11.28515625" style="1093" customWidth="1"/>
    <col min="9966" max="9966" width="12.42578125" style="1093" customWidth="1"/>
    <col min="9967" max="9967" width="11" style="1093" customWidth="1"/>
    <col min="9968" max="9969" width="7.85546875" style="1093" customWidth="1"/>
    <col min="9970" max="9970" width="11" style="1093" customWidth="1"/>
    <col min="9971" max="9971" width="10.5703125" style="1093" customWidth="1"/>
    <col min="9972" max="9973" width="11" style="1093" customWidth="1"/>
    <col min="9974" max="9978" width="7.85546875" style="1093" bestFit="1" customWidth="1"/>
    <col min="9979" max="9979" width="8.42578125" style="1093" bestFit="1" customWidth="1"/>
    <col min="9980" max="9980" width="11.42578125" style="1093" customWidth="1"/>
    <col min="9981" max="9981" width="7.85546875" style="1093" bestFit="1" customWidth="1"/>
    <col min="9982" max="9982" width="9.5703125" style="1093" customWidth="1"/>
    <col min="9983" max="9983" width="7.85546875" style="1093" bestFit="1" customWidth="1"/>
    <col min="9984" max="9984" width="12" style="1093" customWidth="1"/>
    <col min="9985" max="9985" width="13.42578125" style="1093" customWidth="1"/>
    <col min="9986" max="9986" width="9.5703125" style="1093" bestFit="1" customWidth="1"/>
    <col min="9987" max="9993" width="9.140625" style="1093" customWidth="1"/>
    <col min="9994" max="10197" width="9.140625" style="1093"/>
    <col min="10198" max="10198" width="16.7109375" style="1093" customWidth="1"/>
    <col min="10199" max="10199" width="52.5703125" style="1093" customWidth="1"/>
    <col min="10200" max="10200" width="11" style="1093" customWidth="1"/>
    <col min="10201" max="10201" width="13.42578125" style="1093" customWidth="1"/>
    <col min="10202" max="10202" width="11.28515625" style="1093" customWidth="1"/>
    <col min="10203" max="10203" width="10.28515625" style="1093" customWidth="1"/>
    <col min="10204" max="10204" width="13.85546875" style="1093" customWidth="1"/>
    <col min="10205" max="10206" width="7.85546875" style="1093" customWidth="1"/>
    <col min="10207" max="10207" width="10.85546875" style="1093" customWidth="1"/>
    <col min="10208" max="10208" width="13" style="1093" customWidth="1"/>
    <col min="10209" max="10209" width="11.42578125" style="1093" customWidth="1"/>
    <col min="10210" max="10210" width="10" style="1093" customWidth="1"/>
    <col min="10211" max="10211" width="7.85546875" style="1093" customWidth="1"/>
    <col min="10212" max="10212" width="10.140625" style="1093" customWidth="1"/>
    <col min="10213" max="10214" width="7.85546875" style="1093" customWidth="1"/>
    <col min="10215" max="10215" width="10.85546875" style="1093" customWidth="1"/>
    <col min="10216" max="10216" width="10.7109375" style="1093" customWidth="1"/>
    <col min="10217" max="10217" width="11" style="1093" customWidth="1"/>
    <col min="10218" max="10220" width="7.85546875" style="1093" customWidth="1"/>
    <col min="10221" max="10221" width="11.28515625" style="1093" customWidth="1"/>
    <col min="10222" max="10222" width="12.42578125" style="1093" customWidth="1"/>
    <col min="10223" max="10223" width="11" style="1093" customWidth="1"/>
    <col min="10224" max="10225" width="7.85546875" style="1093" customWidth="1"/>
    <col min="10226" max="10226" width="11" style="1093" customWidth="1"/>
    <col min="10227" max="10227" width="10.5703125" style="1093" customWidth="1"/>
    <col min="10228" max="10229" width="11" style="1093" customWidth="1"/>
    <col min="10230" max="10234" width="7.85546875" style="1093" bestFit="1" customWidth="1"/>
    <col min="10235" max="10235" width="8.42578125" style="1093" bestFit="1" customWidth="1"/>
    <col min="10236" max="10236" width="11.42578125" style="1093" customWidth="1"/>
    <col min="10237" max="10237" width="7.85546875" style="1093" bestFit="1" customWidth="1"/>
    <col min="10238" max="10238" width="9.5703125" style="1093" customWidth="1"/>
    <col min="10239" max="10239" width="7.85546875" style="1093" bestFit="1" customWidth="1"/>
    <col min="10240" max="10240" width="12" style="1093" customWidth="1"/>
    <col min="10241" max="10241" width="13.42578125" style="1093" customWidth="1"/>
    <col min="10242" max="10242" width="9.5703125" style="1093" bestFit="1" customWidth="1"/>
    <col min="10243" max="10249" width="9.140625" style="1093" customWidth="1"/>
    <col min="10250" max="10453" width="9.140625" style="1093"/>
    <col min="10454" max="10454" width="16.7109375" style="1093" customWidth="1"/>
    <col min="10455" max="10455" width="52.5703125" style="1093" customWidth="1"/>
    <col min="10456" max="10456" width="11" style="1093" customWidth="1"/>
    <col min="10457" max="10457" width="13.42578125" style="1093" customWidth="1"/>
    <col min="10458" max="10458" width="11.28515625" style="1093" customWidth="1"/>
    <col min="10459" max="10459" width="10.28515625" style="1093" customWidth="1"/>
    <col min="10460" max="10460" width="13.85546875" style="1093" customWidth="1"/>
    <col min="10461" max="10462" width="7.85546875" style="1093" customWidth="1"/>
    <col min="10463" max="10463" width="10.85546875" style="1093" customWidth="1"/>
    <col min="10464" max="10464" width="13" style="1093" customWidth="1"/>
    <col min="10465" max="10465" width="11.42578125" style="1093" customWidth="1"/>
    <col min="10466" max="10466" width="10" style="1093" customWidth="1"/>
    <col min="10467" max="10467" width="7.85546875" style="1093" customWidth="1"/>
    <col min="10468" max="10468" width="10.140625" style="1093" customWidth="1"/>
    <col min="10469" max="10470" width="7.85546875" style="1093" customWidth="1"/>
    <col min="10471" max="10471" width="10.85546875" style="1093" customWidth="1"/>
    <col min="10472" max="10472" width="10.7109375" style="1093" customWidth="1"/>
    <col min="10473" max="10473" width="11" style="1093" customWidth="1"/>
    <col min="10474" max="10476" width="7.85546875" style="1093" customWidth="1"/>
    <col min="10477" max="10477" width="11.28515625" style="1093" customWidth="1"/>
    <col min="10478" max="10478" width="12.42578125" style="1093" customWidth="1"/>
    <col min="10479" max="10479" width="11" style="1093" customWidth="1"/>
    <col min="10480" max="10481" width="7.85546875" style="1093" customWidth="1"/>
    <col min="10482" max="10482" width="11" style="1093" customWidth="1"/>
    <col min="10483" max="10483" width="10.5703125" style="1093" customWidth="1"/>
    <col min="10484" max="10485" width="11" style="1093" customWidth="1"/>
    <col min="10486" max="10490" width="7.85546875" style="1093" bestFit="1" customWidth="1"/>
    <col min="10491" max="10491" width="8.42578125" style="1093" bestFit="1" customWidth="1"/>
    <col min="10492" max="10492" width="11.42578125" style="1093" customWidth="1"/>
    <col min="10493" max="10493" width="7.85546875" style="1093" bestFit="1" customWidth="1"/>
    <col min="10494" max="10494" width="9.5703125" style="1093" customWidth="1"/>
    <col min="10495" max="10495" width="7.85546875" style="1093" bestFit="1" customWidth="1"/>
    <col min="10496" max="10496" width="12" style="1093" customWidth="1"/>
    <col min="10497" max="10497" width="13.42578125" style="1093" customWidth="1"/>
    <col min="10498" max="10498" width="9.5703125" style="1093" bestFit="1" customWidth="1"/>
    <col min="10499" max="10505" width="9.140625" style="1093" customWidth="1"/>
    <col min="10506" max="10709" width="9.140625" style="1093"/>
    <col min="10710" max="10710" width="16.7109375" style="1093" customWidth="1"/>
    <col min="10711" max="10711" width="52.5703125" style="1093" customWidth="1"/>
    <col min="10712" max="10712" width="11" style="1093" customWidth="1"/>
    <col min="10713" max="10713" width="13.42578125" style="1093" customWidth="1"/>
    <col min="10714" max="10714" width="11.28515625" style="1093" customWidth="1"/>
    <col min="10715" max="10715" width="10.28515625" style="1093" customWidth="1"/>
    <col min="10716" max="10716" width="13.85546875" style="1093" customWidth="1"/>
    <col min="10717" max="10718" width="7.85546875" style="1093" customWidth="1"/>
    <col min="10719" max="10719" width="10.85546875" style="1093" customWidth="1"/>
    <col min="10720" max="10720" width="13" style="1093" customWidth="1"/>
    <col min="10721" max="10721" width="11.42578125" style="1093" customWidth="1"/>
    <col min="10722" max="10722" width="10" style="1093" customWidth="1"/>
    <col min="10723" max="10723" width="7.85546875" style="1093" customWidth="1"/>
    <col min="10724" max="10724" width="10.140625" style="1093" customWidth="1"/>
    <col min="10725" max="10726" width="7.85546875" style="1093" customWidth="1"/>
    <col min="10727" max="10727" width="10.85546875" style="1093" customWidth="1"/>
    <col min="10728" max="10728" width="10.7109375" style="1093" customWidth="1"/>
    <col min="10729" max="10729" width="11" style="1093" customWidth="1"/>
    <col min="10730" max="10732" width="7.85546875" style="1093" customWidth="1"/>
    <col min="10733" max="10733" width="11.28515625" style="1093" customWidth="1"/>
    <col min="10734" max="10734" width="12.42578125" style="1093" customWidth="1"/>
    <col min="10735" max="10735" width="11" style="1093" customWidth="1"/>
    <col min="10736" max="10737" width="7.85546875" style="1093" customWidth="1"/>
    <col min="10738" max="10738" width="11" style="1093" customWidth="1"/>
    <col min="10739" max="10739" width="10.5703125" style="1093" customWidth="1"/>
    <col min="10740" max="10741" width="11" style="1093" customWidth="1"/>
    <col min="10742" max="10746" width="7.85546875" style="1093" bestFit="1" customWidth="1"/>
    <col min="10747" max="10747" width="8.42578125" style="1093" bestFit="1" customWidth="1"/>
    <col min="10748" max="10748" width="11.42578125" style="1093" customWidth="1"/>
    <col min="10749" max="10749" width="7.85546875" style="1093" bestFit="1" customWidth="1"/>
    <col min="10750" max="10750" width="9.5703125" style="1093" customWidth="1"/>
    <col min="10751" max="10751" width="7.85546875" style="1093" bestFit="1" customWidth="1"/>
    <col min="10752" max="10752" width="12" style="1093" customWidth="1"/>
    <col min="10753" max="10753" width="13.42578125" style="1093" customWidth="1"/>
    <col min="10754" max="10754" width="9.5703125" style="1093" bestFit="1" customWidth="1"/>
    <col min="10755" max="10761" width="9.140625" style="1093" customWidth="1"/>
    <col min="10762" max="10965" width="9.140625" style="1093"/>
    <col min="10966" max="10966" width="16.7109375" style="1093" customWidth="1"/>
    <col min="10967" max="10967" width="52.5703125" style="1093" customWidth="1"/>
    <col min="10968" max="10968" width="11" style="1093" customWidth="1"/>
    <col min="10969" max="10969" width="13.42578125" style="1093" customWidth="1"/>
    <col min="10970" max="10970" width="11.28515625" style="1093" customWidth="1"/>
    <col min="10971" max="10971" width="10.28515625" style="1093" customWidth="1"/>
    <col min="10972" max="10972" width="13.85546875" style="1093" customWidth="1"/>
    <col min="10973" max="10974" width="7.85546875" style="1093" customWidth="1"/>
    <col min="10975" max="10975" width="10.85546875" style="1093" customWidth="1"/>
    <col min="10976" max="10976" width="13" style="1093" customWidth="1"/>
    <col min="10977" max="10977" width="11.42578125" style="1093" customWidth="1"/>
    <col min="10978" max="10978" width="10" style="1093" customWidth="1"/>
    <col min="10979" max="10979" width="7.85546875" style="1093" customWidth="1"/>
    <col min="10980" max="10980" width="10.140625" style="1093" customWidth="1"/>
    <col min="10981" max="10982" width="7.85546875" style="1093" customWidth="1"/>
    <col min="10983" max="10983" width="10.85546875" style="1093" customWidth="1"/>
    <col min="10984" max="10984" width="10.7109375" style="1093" customWidth="1"/>
    <col min="10985" max="10985" width="11" style="1093" customWidth="1"/>
    <col min="10986" max="10988" width="7.85546875" style="1093" customWidth="1"/>
    <col min="10989" max="10989" width="11.28515625" style="1093" customWidth="1"/>
    <col min="10990" max="10990" width="12.42578125" style="1093" customWidth="1"/>
    <col min="10991" max="10991" width="11" style="1093" customWidth="1"/>
    <col min="10992" max="10993" width="7.85546875" style="1093" customWidth="1"/>
    <col min="10994" max="10994" width="11" style="1093" customWidth="1"/>
    <col min="10995" max="10995" width="10.5703125" style="1093" customWidth="1"/>
    <col min="10996" max="10997" width="11" style="1093" customWidth="1"/>
    <col min="10998" max="11002" width="7.85546875" style="1093" bestFit="1" customWidth="1"/>
    <col min="11003" max="11003" width="8.42578125" style="1093" bestFit="1" customWidth="1"/>
    <col min="11004" max="11004" width="11.42578125" style="1093" customWidth="1"/>
    <col min="11005" max="11005" width="7.85546875" style="1093" bestFit="1" customWidth="1"/>
    <col min="11006" max="11006" width="9.5703125" style="1093" customWidth="1"/>
    <col min="11007" max="11007" width="7.85546875" style="1093" bestFit="1" customWidth="1"/>
    <col min="11008" max="11008" width="12" style="1093" customWidth="1"/>
    <col min="11009" max="11009" width="13.42578125" style="1093" customWidth="1"/>
    <col min="11010" max="11010" width="9.5703125" style="1093" bestFit="1" customWidth="1"/>
    <col min="11011" max="11017" width="9.140625" style="1093" customWidth="1"/>
    <col min="11018" max="11221" width="9.140625" style="1093"/>
    <col min="11222" max="11222" width="16.7109375" style="1093" customWidth="1"/>
    <col min="11223" max="11223" width="52.5703125" style="1093" customWidth="1"/>
    <col min="11224" max="11224" width="11" style="1093" customWidth="1"/>
    <col min="11225" max="11225" width="13.42578125" style="1093" customWidth="1"/>
    <col min="11226" max="11226" width="11.28515625" style="1093" customWidth="1"/>
    <col min="11227" max="11227" width="10.28515625" style="1093" customWidth="1"/>
    <col min="11228" max="11228" width="13.85546875" style="1093" customWidth="1"/>
    <col min="11229" max="11230" width="7.85546875" style="1093" customWidth="1"/>
    <col min="11231" max="11231" width="10.85546875" style="1093" customWidth="1"/>
    <col min="11232" max="11232" width="13" style="1093" customWidth="1"/>
    <col min="11233" max="11233" width="11.42578125" style="1093" customWidth="1"/>
    <col min="11234" max="11234" width="10" style="1093" customWidth="1"/>
    <col min="11235" max="11235" width="7.85546875" style="1093" customWidth="1"/>
    <col min="11236" max="11236" width="10.140625" style="1093" customWidth="1"/>
    <col min="11237" max="11238" width="7.85546875" style="1093" customWidth="1"/>
    <col min="11239" max="11239" width="10.85546875" style="1093" customWidth="1"/>
    <col min="11240" max="11240" width="10.7109375" style="1093" customWidth="1"/>
    <col min="11241" max="11241" width="11" style="1093" customWidth="1"/>
    <col min="11242" max="11244" width="7.85546875" style="1093" customWidth="1"/>
    <col min="11245" max="11245" width="11.28515625" style="1093" customWidth="1"/>
    <col min="11246" max="11246" width="12.42578125" style="1093" customWidth="1"/>
    <col min="11247" max="11247" width="11" style="1093" customWidth="1"/>
    <col min="11248" max="11249" width="7.85546875" style="1093" customWidth="1"/>
    <col min="11250" max="11250" width="11" style="1093" customWidth="1"/>
    <col min="11251" max="11251" width="10.5703125" style="1093" customWidth="1"/>
    <col min="11252" max="11253" width="11" style="1093" customWidth="1"/>
    <col min="11254" max="11258" width="7.85546875" style="1093" bestFit="1" customWidth="1"/>
    <col min="11259" max="11259" width="8.42578125" style="1093" bestFit="1" customWidth="1"/>
    <col min="11260" max="11260" width="11.42578125" style="1093" customWidth="1"/>
    <col min="11261" max="11261" width="7.85546875" style="1093" bestFit="1" customWidth="1"/>
    <col min="11262" max="11262" width="9.5703125" style="1093" customWidth="1"/>
    <col min="11263" max="11263" width="7.85546875" style="1093" bestFit="1" customWidth="1"/>
    <col min="11264" max="11264" width="12" style="1093" customWidth="1"/>
    <col min="11265" max="11265" width="13.42578125" style="1093" customWidth="1"/>
    <col min="11266" max="11266" width="9.5703125" style="1093" bestFit="1" customWidth="1"/>
    <col min="11267" max="11273" width="9.140625" style="1093" customWidth="1"/>
    <col min="11274" max="11477" width="9.140625" style="1093"/>
    <col min="11478" max="11478" width="16.7109375" style="1093" customWidth="1"/>
    <col min="11479" max="11479" width="52.5703125" style="1093" customWidth="1"/>
    <col min="11480" max="11480" width="11" style="1093" customWidth="1"/>
    <col min="11481" max="11481" width="13.42578125" style="1093" customWidth="1"/>
    <col min="11482" max="11482" width="11.28515625" style="1093" customWidth="1"/>
    <col min="11483" max="11483" width="10.28515625" style="1093" customWidth="1"/>
    <col min="11484" max="11484" width="13.85546875" style="1093" customWidth="1"/>
    <col min="11485" max="11486" width="7.85546875" style="1093" customWidth="1"/>
    <col min="11487" max="11487" width="10.85546875" style="1093" customWidth="1"/>
    <col min="11488" max="11488" width="13" style="1093" customWidth="1"/>
    <col min="11489" max="11489" width="11.42578125" style="1093" customWidth="1"/>
    <col min="11490" max="11490" width="10" style="1093" customWidth="1"/>
    <col min="11491" max="11491" width="7.85546875" style="1093" customWidth="1"/>
    <col min="11492" max="11492" width="10.140625" style="1093" customWidth="1"/>
    <col min="11493" max="11494" width="7.85546875" style="1093" customWidth="1"/>
    <col min="11495" max="11495" width="10.85546875" style="1093" customWidth="1"/>
    <col min="11496" max="11496" width="10.7109375" style="1093" customWidth="1"/>
    <col min="11497" max="11497" width="11" style="1093" customWidth="1"/>
    <col min="11498" max="11500" width="7.85546875" style="1093" customWidth="1"/>
    <col min="11501" max="11501" width="11.28515625" style="1093" customWidth="1"/>
    <col min="11502" max="11502" width="12.42578125" style="1093" customWidth="1"/>
    <col min="11503" max="11503" width="11" style="1093" customWidth="1"/>
    <col min="11504" max="11505" width="7.85546875" style="1093" customWidth="1"/>
    <col min="11506" max="11506" width="11" style="1093" customWidth="1"/>
    <col min="11507" max="11507" width="10.5703125" style="1093" customWidth="1"/>
    <col min="11508" max="11509" width="11" style="1093" customWidth="1"/>
    <col min="11510" max="11514" width="7.85546875" style="1093" bestFit="1" customWidth="1"/>
    <col min="11515" max="11515" width="8.42578125" style="1093" bestFit="1" customWidth="1"/>
    <col min="11516" max="11516" width="11.42578125" style="1093" customWidth="1"/>
    <col min="11517" max="11517" width="7.85546875" style="1093" bestFit="1" customWidth="1"/>
    <col min="11518" max="11518" width="9.5703125" style="1093" customWidth="1"/>
    <col min="11519" max="11519" width="7.85546875" style="1093" bestFit="1" customWidth="1"/>
    <col min="11520" max="11520" width="12" style="1093" customWidth="1"/>
    <col min="11521" max="11521" width="13.42578125" style="1093" customWidth="1"/>
    <col min="11522" max="11522" width="9.5703125" style="1093" bestFit="1" customWidth="1"/>
    <col min="11523" max="11529" width="9.140625" style="1093" customWidth="1"/>
    <col min="11530" max="11733" width="9.140625" style="1093"/>
    <col min="11734" max="11734" width="16.7109375" style="1093" customWidth="1"/>
    <col min="11735" max="11735" width="52.5703125" style="1093" customWidth="1"/>
    <col min="11736" max="11736" width="11" style="1093" customWidth="1"/>
    <col min="11737" max="11737" width="13.42578125" style="1093" customWidth="1"/>
    <col min="11738" max="11738" width="11.28515625" style="1093" customWidth="1"/>
    <col min="11739" max="11739" width="10.28515625" style="1093" customWidth="1"/>
    <col min="11740" max="11740" width="13.85546875" style="1093" customWidth="1"/>
    <col min="11741" max="11742" width="7.85546875" style="1093" customWidth="1"/>
    <col min="11743" max="11743" width="10.85546875" style="1093" customWidth="1"/>
    <col min="11744" max="11744" width="13" style="1093" customWidth="1"/>
    <col min="11745" max="11745" width="11.42578125" style="1093" customWidth="1"/>
    <col min="11746" max="11746" width="10" style="1093" customWidth="1"/>
    <col min="11747" max="11747" width="7.85546875" style="1093" customWidth="1"/>
    <col min="11748" max="11748" width="10.140625" style="1093" customWidth="1"/>
    <col min="11749" max="11750" width="7.85546875" style="1093" customWidth="1"/>
    <col min="11751" max="11751" width="10.85546875" style="1093" customWidth="1"/>
    <col min="11752" max="11752" width="10.7109375" style="1093" customWidth="1"/>
    <col min="11753" max="11753" width="11" style="1093" customWidth="1"/>
    <col min="11754" max="11756" width="7.85546875" style="1093" customWidth="1"/>
    <col min="11757" max="11757" width="11.28515625" style="1093" customWidth="1"/>
    <col min="11758" max="11758" width="12.42578125" style="1093" customWidth="1"/>
    <col min="11759" max="11759" width="11" style="1093" customWidth="1"/>
    <col min="11760" max="11761" width="7.85546875" style="1093" customWidth="1"/>
    <col min="11762" max="11762" width="11" style="1093" customWidth="1"/>
    <col min="11763" max="11763" width="10.5703125" style="1093" customWidth="1"/>
    <col min="11764" max="11765" width="11" style="1093" customWidth="1"/>
    <col min="11766" max="11770" width="7.85546875" style="1093" bestFit="1" customWidth="1"/>
    <col min="11771" max="11771" width="8.42578125" style="1093" bestFit="1" customWidth="1"/>
    <col min="11772" max="11772" width="11.42578125" style="1093" customWidth="1"/>
    <col min="11773" max="11773" width="7.85546875" style="1093" bestFit="1" customWidth="1"/>
    <col min="11774" max="11774" width="9.5703125" style="1093" customWidth="1"/>
    <col min="11775" max="11775" width="7.85546875" style="1093" bestFit="1" customWidth="1"/>
    <col min="11776" max="11776" width="12" style="1093" customWidth="1"/>
    <col min="11777" max="11777" width="13.42578125" style="1093" customWidth="1"/>
    <col min="11778" max="11778" width="9.5703125" style="1093" bestFit="1" customWidth="1"/>
    <col min="11779" max="11785" width="9.140625" style="1093" customWidth="1"/>
    <col min="11786" max="11989" width="9.140625" style="1093"/>
    <col min="11990" max="11990" width="16.7109375" style="1093" customWidth="1"/>
    <col min="11991" max="11991" width="52.5703125" style="1093" customWidth="1"/>
    <col min="11992" max="11992" width="11" style="1093" customWidth="1"/>
    <col min="11993" max="11993" width="13.42578125" style="1093" customWidth="1"/>
    <col min="11994" max="11994" width="11.28515625" style="1093" customWidth="1"/>
    <col min="11995" max="11995" width="10.28515625" style="1093" customWidth="1"/>
    <col min="11996" max="11996" width="13.85546875" style="1093" customWidth="1"/>
    <col min="11997" max="11998" width="7.85546875" style="1093" customWidth="1"/>
    <col min="11999" max="11999" width="10.85546875" style="1093" customWidth="1"/>
    <col min="12000" max="12000" width="13" style="1093" customWidth="1"/>
    <col min="12001" max="12001" width="11.42578125" style="1093" customWidth="1"/>
    <col min="12002" max="12002" width="10" style="1093" customWidth="1"/>
    <col min="12003" max="12003" width="7.85546875" style="1093" customWidth="1"/>
    <col min="12004" max="12004" width="10.140625" style="1093" customWidth="1"/>
    <col min="12005" max="12006" width="7.85546875" style="1093" customWidth="1"/>
    <col min="12007" max="12007" width="10.85546875" style="1093" customWidth="1"/>
    <col min="12008" max="12008" width="10.7109375" style="1093" customWidth="1"/>
    <col min="12009" max="12009" width="11" style="1093" customWidth="1"/>
    <col min="12010" max="12012" width="7.85546875" style="1093" customWidth="1"/>
    <col min="12013" max="12013" width="11.28515625" style="1093" customWidth="1"/>
    <col min="12014" max="12014" width="12.42578125" style="1093" customWidth="1"/>
    <col min="12015" max="12015" width="11" style="1093" customWidth="1"/>
    <col min="12016" max="12017" width="7.85546875" style="1093" customWidth="1"/>
    <col min="12018" max="12018" width="11" style="1093" customWidth="1"/>
    <col min="12019" max="12019" width="10.5703125" style="1093" customWidth="1"/>
    <col min="12020" max="12021" width="11" style="1093" customWidth="1"/>
    <col min="12022" max="12026" width="7.85546875" style="1093" bestFit="1" customWidth="1"/>
    <col min="12027" max="12027" width="8.42578125" style="1093" bestFit="1" customWidth="1"/>
    <col min="12028" max="12028" width="11.42578125" style="1093" customWidth="1"/>
    <col min="12029" max="12029" width="7.85546875" style="1093" bestFit="1" customWidth="1"/>
    <col min="12030" max="12030" width="9.5703125" style="1093" customWidth="1"/>
    <col min="12031" max="12031" width="7.85546875" style="1093" bestFit="1" customWidth="1"/>
    <col min="12032" max="12032" width="12" style="1093" customWidth="1"/>
    <col min="12033" max="12033" width="13.42578125" style="1093" customWidth="1"/>
    <col min="12034" max="12034" width="9.5703125" style="1093" bestFit="1" customWidth="1"/>
    <col min="12035" max="12041" width="9.140625" style="1093" customWidth="1"/>
    <col min="12042" max="12245" width="9.140625" style="1093"/>
    <col min="12246" max="12246" width="16.7109375" style="1093" customWidth="1"/>
    <col min="12247" max="12247" width="52.5703125" style="1093" customWidth="1"/>
    <col min="12248" max="12248" width="11" style="1093" customWidth="1"/>
    <col min="12249" max="12249" width="13.42578125" style="1093" customWidth="1"/>
    <col min="12250" max="12250" width="11.28515625" style="1093" customWidth="1"/>
    <col min="12251" max="12251" width="10.28515625" style="1093" customWidth="1"/>
    <col min="12252" max="12252" width="13.85546875" style="1093" customWidth="1"/>
    <col min="12253" max="12254" width="7.85546875" style="1093" customWidth="1"/>
    <col min="12255" max="12255" width="10.85546875" style="1093" customWidth="1"/>
    <col min="12256" max="12256" width="13" style="1093" customWidth="1"/>
    <col min="12257" max="12257" width="11.42578125" style="1093" customWidth="1"/>
    <col min="12258" max="12258" width="10" style="1093" customWidth="1"/>
    <col min="12259" max="12259" width="7.85546875" style="1093" customWidth="1"/>
    <col min="12260" max="12260" width="10.140625" style="1093" customWidth="1"/>
    <col min="12261" max="12262" width="7.85546875" style="1093" customWidth="1"/>
    <col min="12263" max="12263" width="10.85546875" style="1093" customWidth="1"/>
    <col min="12264" max="12264" width="10.7109375" style="1093" customWidth="1"/>
    <col min="12265" max="12265" width="11" style="1093" customWidth="1"/>
    <col min="12266" max="12268" width="7.85546875" style="1093" customWidth="1"/>
    <col min="12269" max="12269" width="11.28515625" style="1093" customWidth="1"/>
    <col min="12270" max="12270" width="12.42578125" style="1093" customWidth="1"/>
    <col min="12271" max="12271" width="11" style="1093" customWidth="1"/>
    <col min="12272" max="12273" width="7.85546875" style="1093" customWidth="1"/>
    <col min="12274" max="12274" width="11" style="1093" customWidth="1"/>
    <col min="12275" max="12275" width="10.5703125" style="1093" customWidth="1"/>
    <col min="12276" max="12277" width="11" style="1093" customWidth="1"/>
    <col min="12278" max="12282" width="7.85546875" style="1093" bestFit="1" customWidth="1"/>
    <col min="12283" max="12283" width="8.42578125" style="1093" bestFit="1" customWidth="1"/>
    <col min="12284" max="12284" width="11.42578125" style="1093" customWidth="1"/>
    <col min="12285" max="12285" width="7.85546875" style="1093" bestFit="1" customWidth="1"/>
    <col min="12286" max="12286" width="9.5703125" style="1093" customWidth="1"/>
    <col min="12287" max="12287" width="7.85546875" style="1093" bestFit="1" customWidth="1"/>
    <col min="12288" max="12288" width="12" style="1093" customWidth="1"/>
    <col min="12289" max="12289" width="13.42578125" style="1093" customWidth="1"/>
    <col min="12290" max="12290" width="9.5703125" style="1093" bestFit="1" customWidth="1"/>
    <col min="12291" max="12297" width="9.140625" style="1093" customWidth="1"/>
    <col min="12298" max="12501" width="9.140625" style="1093"/>
    <col min="12502" max="12502" width="16.7109375" style="1093" customWidth="1"/>
    <col min="12503" max="12503" width="52.5703125" style="1093" customWidth="1"/>
    <col min="12504" max="12504" width="11" style="1093" customWidth="1"/>
    <col min="12505" max="12505" width="13.42578125" style="1093" customWidth="1"/>
    <col min="12506" max="12506" width="11.28515625" style="1093" customWidth="1"/>
    <col min="12507" max="12507" width="10.28515625" style="1093" customWidth="1"/>
    <col min="12508" max="12508" width="13.85546875" style="1093" customWidth="1"/>
    <col min="12509" max="12510" width="7.85546875" style="1093" customWidth="1"/>
    <col min="12511" max="12511" width="10.85546875" style="1093" customWidth="1"/>
    <col min="12512" max="12512" width="13" style="1093" customWidth="1"/>
    <col min="12513" max="12513" width="11.42578125" style="1093" customWidth="1"/>
    <col min="12514" max="12514" width="10" style="1093" customWidth="1"/>
    <col min="12515" max="12515" width="7.85546875" style="1093" customWidth="1"/>
    <col min="12516" max="12516" width="10.140625" style="1093" customWidth="1"/>
    <col min="12517" max="12518" width="7.85546875" style="1093" customWidth="1"/>
    <col min="12519" max="12519" width="10.85546875" style="1093" customWidth="1"/>
    <col min="12520" max="12520" width="10.7109375" style="1093" customWidth="1"/>
    <col min="12521" max="12521" width="11" style="1093" customWidth="1"/>
    <col min="12522" max="12524" width="7.85546875" style="1093" customWidth="1"/>
    <col min="12525" max="12525" width="11.28515625" style="1093" customWidth="1"/>
    <col min="12526" max="12526" width="12.42578125" style="1093" customWidth="1"/>
    <col min="12527" max="12527" width="11" style="1093" customWidth="1"/>
    <col min="12528" max="12529" width="7.85546875" style="1093" customWidth="1"/>
    <col min="12530" max="12530" width="11" style="1093" customWidth="1"/>
    <col min="12531" max="12531" width="10.5703125" style="1093" customWidth="1"/>
    <col min="12532" max="12533" width="11" style="1093" customWidth="1"/>
    <col min="12534" max="12538" width="7.85546875" style="1093" bestFit="1" customWidth="1"/>
    <col min="12539" max="12539" width="8.42578125" style="1093" bestFit="1" customWidth="1"/>
    <col min="12540" max="12540" width="11.42578125" style="1093" customWidth="1"/>
    <col min="12541" max="12541" width="7.85546875" style="1093" bestFit="1" customWidth="1"/>
    <col min="12542" max="12542" width="9.5703125" style="1093" customWidth="1"/>
    <col min="12543" max="12543" width="7.85546875" style="1093" bestFit="1" customWidth="1"/>
    <col min="12544" max="12544" width="12" style="1093" customWidth="1"/>
    <col min="12545" max="12545" width="13.42578125" style="1093" customWidth="1"/>
    <col min="12546" max="12546" width="9.5703125" style="1093" bestFit="1" customWidth="1"/>
    <col min="12547" max="12553" width="9.140625" style="1093" customWidth="1"/>
    <col min="12554" max="12757" width="9.140625" style="1093"/>
    <col min="12758" max="12758" width="16.7109375" style="1093" customWidth="1"/>
    <col min="12759" max="12759" width="52.5703125" style="1093" customWidth="1"/>
    <col min="12760" max="12760" width="11" style="1093" customWidth="1"/>
    <col min="12761" max="12761" width="13.42578125" style="1093" customWidth="1"/>
    <col min="12762" max="12762" width="11.28515625" style="1093" customWidth="1"/>
    <col min="12763" max="12763" width="10.28515625" style="1093" customWidth="1"/>
    <col min="12764" max="12764" width="13.85546875" style="1093" customWidth="1"/>
    <col min="12765" max="12766" width="7.85546875" style="1093" customWidth="1"/>
    <col min="12767" max="12767" width="10.85546875" style="1093" customWidth="1"/>
    <col min="12768" max="12768" width="13" style="1093" customWidth="1"/>
    <col min="12769" max="12769" width="11.42578125" style="1093" customWidth="1"/>
    <col min="12770" max="12770" width="10" style="1093" customWidth="1"/>
    <col min="12771" max="12771" width="7.85546875" style="1093" customWidth="1"/>
    <col min="12772" max="12772" width="10.140625" style="1093" customWidth="1"/>
    <col min="12773" max="12774" width="7.85546875" style="1093" customWidth="1"/>
    <col min="12775" max="12775" width="10.85546875" style="1093" customWidth="1"/>
    <col min="12776" max="12776" width="10.7109375" style="1093" customWidth="1"/>
    <col min="12777" max="12777" width="11" style="1093" customWidth="1"/>
    <col min="12778" max="12780" width="7.85546875" style="1093" customWidth="1"/>
    <col min="12781" max="12781" width="11.28515625" style="1093" customWidth="1"/>
    <col min="12782" max="12782" width="12.42578125" style="1093" customWidth="1"/>
    <col min="12783" max="12783" width="11" style="1093" customWidth="1"/>
    <col min="12784" max="12785" width="7.85546875" style="1093" customWidth="1"/>
    <col min="12786" max="12786" width="11" style="1093" customWidth="1"/>
    <col min="12787" max="12787" width="10.5703125" style="1093" customWidth="1"/>
    <col min="12788" max="12789" width="11" style="1093" customWidth="1"/>
    <col min="12790" max="12794" width="7.85546875" style="1093" bestFit="1" customWidth="1"/>
    <col min="12795" max="12795" width="8.42578125" style="1093" bestFit="1" customWidth="1"/>
    <col min="12796" max="12796" width="11.42578125" style="1093" customWidth="1"/>
    <col min="12797" max="12797" width="7.85546875" style="1093" bestFit="1" customWidth="1"/>
    <col min="12798" max="12798" width="9.5703125" style="1093" customWidth="1"/>
    <col min="12799" max="12799" width="7.85546875" style="1093" bestFit="1" customWidth="1"/>
    <col min="12800" max="12800" width="12" style="1093" customWidth="1"/>
    <col min="12801" max="12801" width="13.42578125" style="1093" customWidth="1"/>
    <col min="12802" max="12802" width="9.5703125" style="1093" bestFit="1" customWidth="1"/>
    <col min="12803" max="12809" width="9.140625" style="1093" customWidth="1"/>
    <col min="12810" max="13013" width="9.140625" style="1093"/>
    <col min="13014" max="13014" width="16.7109375" style="1093" customWidth="1"/>
    <col min="13015" max="13015" width="52.5703125" style="1093" customWidth="1"/>
    <col min="13016" max="13016" width="11" style="1093" customWidth="1"/>
    <col min="13017" max="13017" width="13.42578125" style="1093" customWidth="1"/>
    <col min="13018" max="13018" width="11.28515625" style="1093" customWidth="1"/>
    <col min="13019" max="13019" width="10.28515625" style="1093" customWidth="1"/>
    <col min="13020" max="13020" width="13.85546875" style="1093" customWidth="1"/>
    <col min="13021" max="13022" width="7.85546875" style="1093" customWidth="1"/>
    <col min="13023" max="13023" width="10.85546875" style="1093" customWidth="1"/>
    <col min="13024" max="13024" width="13" style="1093" customWidth="1"/>
    <col min="13025" max="13025" width="11.42578125" style="1093" customWidth="1"/>
    <col min="13026" max="13026" width="10" style="1093" customWidth="1"/>
    <col min="13027" max="13027" width="7.85546875" style="1093" customWidth="1"/>
    <col min="13028" max="13028" width="10.140625" style="1093" customWidth="1"/>
    <col min="13029" max="13030" width="7.85546875" style="1093" customWidth="1"/>
    <col min="13031" max="13031" width="10.85546875" style="1093" customWidth="1"/>
    <col min="13032" max="13032" width="10.7109375" style="1093" customWidth="1"/>
    <col min="13033" max="13033" width="11" style="1093" customWidth="1"/>
    <col min="13034" max="13036" width="7.85546875" style="1093" customWidth="1"/>
    <col min="13037" max="13037" width="11.28515625" style="1093" customWidth="1"/>
    <col min="13038" max="13038" width="12.42578125" style="1093" customWidth="1"/>
    <col min="13039" max="13039" width="11" style="1093" customWidth="1"/>
    <col min="13040" max="13041" width="7.85546875" style="1093" customWidth="1"/>
    <col min="13042" max="13042" width="11" style="1093" customWidth="1"/>
    <col min="13043" max="13043" width="10.5703125" style="1093" customWidth="1"/>
    <col min="13044" max="13045" width="11" style="1093" customWidth="1"/>
    <col min="13046" max="13050" width="7.85546875" style="1093" bestFit="1" customWidth="1"/>
    <col min="13051" max="13051" width="8.42578125" style="1093" bestFit="1" customWidth="1"/>
    <col min="13052" max="13052" width="11.42578125" style="1093" customWidth="1"/>
    <col min="13053" max="13053" width="7.85546875" style="1093" bestFit="1" customWidth="1"/>
    <col min="13054" max="13054" width="9.5703125" style="1093" customWidth="1"/>
    <col min="13055" max="13055" width="7.85546875" style="1093" bestFit="1" customWidth="1"/>
    <col min="13056" max="13056" width="12" style="1093" customWidth="1"/>
    <col min="13057" max="13057" width="13.42578125" style="1093" customWidth="1"/>
    <col min="13058" max="13058" width="9.5703125" style="1093" bestFit="1" customWidth="1"/>
    <col min="13059" max="13065" width="9.140625" style="1093" customWidth="1"/>
    <col min="13066" max="13269" width="9.140625" style="1093"/>
    <col min="13270" max="13270" width="16.7109375" style="1093" customWidth="1"/>
    <col min="13271" max="13271" width="52.5703125" style="1093" customWidth="1"/>
    <col min="13272" max="13272" width="11" style="1093" customWidth="1"/>
    <col min="13273" max="13273" width="13.42578125" style="1093" customWidth="1"/>
    <col min="13274" max="13274" width="11.28515625" style="1093" customWidth="1"/>
    <col min="13275" max="13275" width="10.28515625" style="1093" customWidth="1"/>
    <col min="13276" max="13276" width="13.85546875" style="1093" customWidth="1"/>
    <col min="13277" max="13278" width="7.85546875" style="1093" customWidth="1"/>
    <col min="13279" max="13279" width="10.85546875" style="1093" customWidth="1"/>
    <col min="13280" max="13280" width="13" style="1093" customWidth="1"/>
    <col min="13281" max="13281" width="11.42578125" style="1093" customWidth="1"/>
    <col min="13282" max="13282" width="10" style="1093" customWidth="1"/>
    <col min="13283" max="13283" width="7.85546875" style="1093" customWidth="1"/>
    <col min="13284" max="13284" width="10.140625" style="1093" customWidth="1"/>
    <col min="13285" max="13286" width="7.85546875" style="1093" customWidth="1"/>
    <col min="13287" max="13287" width="10.85546875" style="1093" customWidth="1"/>
    <col min="13288" max="13288" width="10.7109375" style="1093" customWidth="1"/>
    <col min="13289" max="13289" width="11" style="1093" customWidth="1"/>
    <col min="13290" max="13292" width="7.85546875" style="1093" customWidth="1"/>
    <col min="13293" max="13293" width="11.28515625" style="1093" customWidth="1"/>
    <col min="13294" max="13294" width="12.42578125" style="1093" customWidth="1"/>
    <col min="13295" max="13295" width="11" style="1093" customWidth="1"/>
    <col min="13296" max="13297" width="7.85546875" style="1093" customWidth="1"/>
    <col min="13298" max="13298" width="11" style="1093" customWidth="1"/>
    <col min="13299" max="13299" width="10.5703125" style="1093" customWidth="1"/>
    <col min="13300" max="13301" width="11" style="1093" customWidth="1"/>
    <col min="13302" max="13306" width="7.85546875" style="1093" bestFit="1" customWidth="1"/>
    <col min="13307" max="13307" width="8.42578125" style="1093" bestFit="1" customWidth="1"/>
    <col min="13308" max="13308" width="11.42578125" style="1093" customWidth="1"/>
    <col min="13309" max="13309" width="7.85546875" style="1093" bestFit="1" customWidth="1"/>
    <col min="13310" max="13310" width="9.5703125" style="1093" customWidth="1"/>
    <col min="13311" max="13311" width="7.85546875" style="1093" bestFit="1" customWidth="1"/>
    <col min="13312" max="13312" width="12" style="1093" customWidth="1"/>
    <col min="13313" max="13313" width="13.42578125" style="1093" customWidth="1"/>
    <col min="13314" max="13314" width="9.5703125" style="1093" bestFit="1" customWidth="1"/>
    <col min="13315" max="13321" width="9.140625" style="1093" customWidth="1"/>
    <col min="13322" max="13525" width="9.140625" style="1093"/>
    <col min="13526" max="13526" width="16.7109375" style="1093" customWidth="1"/>
    <col min="13527" max="13527" width="52.5703125" style="1093" customWidth="1"/>
    <col min="13528" max="13528" width="11" style="1093" customWidth="1"/>
    <col min="13529" max="13529" width="13.42578125" style="1093" customWidth="1"/>
    <col min="13530" max="13530" width="11.28515625" style="1093" customWidth="1"/>
    <col min="13531" max="13531" width="10.28515625" style="1093" customWidth="1"/>
    <col min="13532" max="13532" width="13.85546875" style="1093" customWidth="1"/>
    <col min="13533" max="13534" width="7.85546875" style="1093" customWidth="1"/>
    <col min="13535" max="13535" width="10.85546875" style="1093" customWidth="1"/>
    <col min="13536" max="13536" width="13" style="1093" customWidth="1"/>
    <col min="13537" max="13537" width="11.42578125" style="1093" customWidth="1"/>
    <col min="13538" max="13538" width="10" style="1093" customWidth="1"/>
    <col min="13539" max="13539" width="7.85546875" style="1093" customWidth="1"/>
    <col min="13540" max="13540" width="10.140625" style="1093" customWidth="1"/>
    <col min="13541" max="13542" width="7.85546875" style="1093" customWidth="1"/>
    <col min="13543" max="13543" width="10.85546875" style="1093" customWidth="1"/>
    <col min="13544" max="13544" width="10.7109375" style="1093" customWidth="1"/>
    <col min="13545" max="13545" width="11" style="1093" customWidth="1"/>
    <col min="13546" max="13548" width="7.85546875" style="1093" customWidth="1"/>
    <col min="13549" max="13549" width="11.28515625" style="1093" customWidth="1"/>
    <col min="13550" max="13550" width="12.42578125" style="1093" customWidth="1"/>
    <col min="13551" max="13551" width="11" style="1093" customWidth="1"/>
    <col min="13552" max="13553" width="7.85546875" style="1093" customWidth="1"/>
    <col min="13554" max="13554" width="11" style="1093" customWidth="1"/>
    <col min="13555" max="13555" width="10.5703125" style="1093" customWidth="1"/>
    <col min="13556" max="13557" width="11" style="1093" customWidth="1"/>
    <col min="13558" max="13562" width="7.85546875" style="1093" bestFit="1" customWidth="1"/>
    <col min="13563" max="13563" width="8.42578125" style="1093" bestFit="1" customWidth="1"/>
    <col min="13564" max="13564" width="11.42578125" style="1093" customWidth="1"/>
    <col min="13565" max="13565" width="7.85546875" style="1093" bestFit="1" customWidth="1"/>
    <col min="13566" max="13566" width="9.5703125" style="1093" customWidth="1"/>
    <col min="13567" max="13567" width="7.85546875" style="1093" bestFit="1" customWidth="1"/>
    <col min="13568" max="13568" width="12" style="1093" customWidth="1"/>
    <col min="13569" max="13569" width="13.42578125" style="1093" customWidth="1"/>
    <col min="13570" max="13570" width="9.5703125" style="1093" bestFit="1" customWidth="1"/>
    <col min="13571" max="13577" width="9.140625" style="1093" customWidth="1"/>
    <col min="13578" max="13781" width="9.140625" style="1093"/>
    <col min="13782" max="13782" width="16.7109375" style="1093" customWidth="1"/>
    <col min="13783" max="13783" width="52.5703125" style="1093" customWidth="1"/>
    <col min="13784" max="13784" width="11" style="1093" customWidth="1"/>
    <col min="13785" max="13785" width="13.42578125" style="1093" customWidth="1"/>
    <col min="13786" max="13786" width="11.28515625" style="1093" customWidth="1"/>
    <col min="13787" max="13787" width="10.28515625" style="1093" customWidth="1"/>
    <col min="13788" max="13788" width="13.85546875" style="1093" customWidth="1"/>
    <col min="13789" max="13790" width="7.85546875" style="1093" customWidth="1"/>
    <col min="13791" max="13791" width="10.85546875" style="1093" customWidth="1"/>
    <col min="13792" max="13792" width="13" style="1093" customWidth="1"/>
    <col min="13793" max="13793" width="11.42578125" style="1093" customWidth="1"/>
    <col min="13794" max="13794" width="10" style="1093" customWidth="1"/>
    <col min="13795" max="13795" width="7.85546875" style="1093" customWidth="1"/>
    <col min="13796" max="13796" width="10.140625" style="1093" customWidth="1"/>
    <col min="13797" max="13798" width="7.85546875" style="1093" customWidth="1"/>
    <col min="13799" max="13799" width="10.85546875" style="1093" customWidth="1"/>
    <col min="13800" max="13800" width="10.7109375" style="1093" customWidth="1"/>
    <col min="13801" max="13801" width="11" style="1093" customWidth="1"/>
    <col min="13802" max="13804" width="7.85546875" style="1093" customWidth="1"/>
    <col min="13805" max="13805" width="11.28515625" style="1093" customWidth="1"/>
    <col min="13806" max="13806" width="12.42578125" style="1093" customWidth="1"/>
    <col min="13807" max="13807" width="11" style="1093" customWidth="1"/>
    <col min="13808" max="13809" width="7.85546875" style="1093" customWidth="1"/>
    <col min="13810" max="13810" width="11" style="1093" customWidth="1"/>
    <col min="13811" max="13811" width="10.5703125" style="1093" customWidth="1"/>
    <col min="13812" max="13813" width="11" style="1093" customWidth="1"/>
    <col min="13814" max="13818" width="7.85546875" style="1093" bestFit="1" customWidth="1"/>
    <col min="13819" max="13819" width="8.42578125" style="1093" bestFit="1" customWidth="1"/>
    <col min="13820" max="13820" width="11.42578125" style="1093" customWidth="1"/>
    <col min="13821" max="13821" width="7.85546875" style="1093" bestFit="1" customWidth="1"/>
    <col min="13822" max="13822" width="9.5703125" style="1093" customWidth="1"/>
    <col min="13823" max="13823" width="7.85546875" style="1093" bestFit="1" customWidth="1"/>
    <col min="13824" max="13824" width="12" style="1093" customWidth="1"/>
    <col min="13825" max="13825" width="13.42578125" style="1093" customWidth="1"/>
    <col min="13826" max="13826" width="9.5703125" style="1093" bestFit="1" customWidth="1"/>
    <col min="13827" max="13833" width="9.140625" style="1093" customWidth="1"/>
    <col min="13834" max="14037" width="9.140625" style="1093"/>
    <col min="14038" max="14038" width="16.7109375" style="1093" customWidth="1"/>
    <col min="14039" max="14039" width="52.5703125" style="1093" customWidth="1"/>
    <col min="14040" max="14040" width="11" style="1093" customWidth="1"/>
    <col min="14041" max="14041" width="13.42578125" style="1093" customWidth="1"/>
    <col min="14042" max="14042" width="11.28515625" style="1093" customWidth="1"/>
    <col min="14043" max="14043" width="10.28515625" style="1093" customWidth="1"/>
    <col min="14044" max="14044" width="13.85546875" style="1093" customWidth="1"/>
    <col min="14045" max="14046" width="7.85546875" style="1093" customWidth="1"/>
    <col min="14047" max="14047" width="10.85546875" style="1093" customWidth="1"/>
    <col min="14048" max="14048" width="13" style="1093" customWidth="1"/>
    <col min="14049" max="14049" width="11.42578125" style="1093" customWidth="1"/>
    <col min="14050" max="14050" width="10" style="1093" customWidth="1"/>
    <col min="14051" max="14051" width="7.85546875" style="1093" customWidth="1"/>
    <col min="14052" max="14052" width="10.140625" style="1093" customWidth="1"/>
    <col min="14053" max="14054" width="7.85546875" style="1093" customWidth="1"/>
    <col min="14055" max="14055" width="10.85546875" style="1093" customWidth="1"/>
    <col min="14056" max="14056" width="10.7109375" style="1093" customWidth="1"/>
    <col min="14057" max="14057" width="11" style="1093" customWidth="1"/>
    <col min="14058" max="14060" width="7.85546875" style="1093" customWidth="1"/>
    <col min="14061" max="14061" width="11.28515625" style="1093" customWidth="1"/>
    <col min="14062" max="14062" width="12.42578125" style="1093" customWidth="1"/>
    <col min="14063" max="14063" width="11" style="1093" customWidth="1"/>
    <col min="14064" max="14065" width="7.85546875" style="1093" customWidth="1"/>
    <col min="14066" max="14066" width="11" style="1093" customWidth="1"/>
    <col min="14067" max="14067" width="10.5703125" style="1093" customWidth="1"/>
    <col min="14068" max="14069" width="11" style="1093" customWidth="1"/>
    <col min="14070" max="14074" width="7.85546875" style="1093" bestFit="1" customWidth="1"/>
    <col min="14075" max="14075" width="8.42578125" style="1093" bestFit="1" customWidth="1"/>
    <col min="14076" max="14076" width="11.42578125" style="1093" customWidth="1"/>
    <col min="14077" max="14077" width="7.85546875" style="1093" bestFit="1" customWidth="1"/>
    <col min="14078" max="14078" width="9.5703125" style="1093" customWidth="1"/>
    <col min="14079" max="14079" width="7.85546875" style="1093" bestFit="1" customWidth="1"/>
    <col min="14080" max="14080" width="12" style="1093" customWidth="1"/>
    <col min="14081" max="14081" width="13.42578125" style="1093" customWidth="1"/>
    <col min="14082" max="14082" width="9.5703125" style="1093" bestFit="1" customWidth="1"/>
    <col min="14083" max="14089" width="9.140625" style="1093" customWidth="1"/>
    <col min="14090" max="14293" width="9.140625" style="1093"/>
    <col min="14294" max="14294" width="16.7109375" style="1093" customWidth="1"/>
    <col min="14295" max="14295" width="52.5703125" style="1093" customWidth="1"/>
    <col min="14296" max="14296" width="11" style="1093" customWidth="1"/>
    <col min="14297" max="14297" width="13.42578125" style="1093" customWidth="1"/>
    <col min="14298" max="14298" width="11.28515625" style="1093" customWidth="1"/>
    <col min="14299" max="14299" width="10.28515625" style="1093" customWidth="1"/>
    <col min="14300" max="14300" width="13.85546875" style="1093" customWidth="1"/>
    <col min="14301" max="14302" width="7.85546875" style="1093" customWidth="1"/>
    <col min="14303" max="14303" width="10.85546875" style="1093" customWidth="1"/>
    <col min="14304" max="14304" width="13" style="1093" customWidth="1"/>
    <col min="14305" max="14305" width="11.42578125" style="1093" customWidth="1"/>
    <col min="14306" max="14306" width="10" style="1093" customWidth="1"/>
    <col min="14307" max="14307" width="7.85546875" style="1093" customWidth="1"/>
    <col min="14308" max="14308" width="10.140625" style="1093" customWidth="1"/>
    <col min="14309" max="14310" width="7.85546875" style="1093" customWidth="1"/>
    <col min="14311" max="14311" width="10.85546875" style="1093" customWidth="1"/>
    <col min="14312" max="14312" width="10.7109375" style="1093" customWidth="1"/>
    <col min="14313" max="14313" width="11" style="1093" customWidth="1"/>
    <col min="14314" max="14316" width="7.85546875" style="1093" customWidth="1"/>
    <col min="14317" max="14317" width="11.28515625" style="1093" customWidth="1"/>
    <col min="14318" max="14318" width="12.42578125" style="1093" customWidth="1"/>
    <col min="14319" max="14319" width="11" style="1093" customWidth="1"/>
    <col min="14320" max="14321" width="7.85546875" style="1093" customWidth="1"/>
    <col min="14322" max="14322" width="11" style="1093" customWidth="1"/>
    <col min="14323" max="14323" width="10.5703125" style="1093" customWidth="1"/>
    <col min="14324" max="14325" width="11" style="1093" customWidth="1"/>
    <col min="14326" max="14330" width="7.85546875" style="1093" bestFit="1" customWidth="1"/>
    <col min="14331" max="14331" width="8.42578125" style="1093" bestFit="1" customWidth="1"/>
    <col min="14332" max="14332" width="11.42578125" style="1093" customWidth="1"/>
    <col min="14333" max="14333" width="7.85546875" style="1093" bestFit="1" customWidth="1"/>
    <col min="14334" max="14334" width="9.5703125" style="1093" customWidth="1"/>
    <col min="14335" max="14335" width="7.85546875" style="1093" bestFit="1" customWidth="1"/>
    <col min="14336" max="14336" width="12" style="1093" customWidth="1"/>
    <col min="14337" max="14337" width="13.42578125" style="1093" customWidth="1"/>
    <col min="14338" max="14338" width="9.5703125" style="1093" bestFit="1" customWidth="1"/>
    <col min="14339" max="14345" width="9.140625" style="1093" customWidth="1"/>
    <col min="14346" max="14549" width="9.140625" style="1093"/>
    <col min="14550" max="14550" width="16.7109375" style="1093" customWidth="1"/>
    <col min="14551" max="14551" width="52.5703125" style="1093" customWidth="1"/>
    <col min="14552" max="14552" width="11" style="1093" customWidth="1"/>
    <col min="14553" max="14553" width="13.42578125" style="1093" customWidth="1"/>
    <col min="14554" max="14554" width="11.28515625" style="1093" customWidth="1"/>
    <col min="14555" max="14555" width="10.28515625" style="1093" customWidth="1"/>
    <col min="14556" max="14556" width="13.85546875" style="1093" customWidth="1"/>
    <col min="14557" max="14558" width="7.85546875" style="1093" customWidth="1"/>
    <col min="14559" max="14559" width="10.85546875" style="1093" customWidth="1"/>
    <col min="14560" max="14560" width="13" style="1093" customWidth="1"/>
    <col min="14561" max="14561" width="11.42578125" style="1093" customWidth="1"/>
    <col min="14562" max="14562" width="10" style="1093" customWidth="1"/>
    <col min="14563" max="14563" width="7.85546875" style="1093" customWidth="1"/>
    <col min="14564" max="14564" width="10.140625" style="1093" customWidth="1"/>
    <col min="14565" max="14566" width="7.85546875" style="1093" customWidth="1"/>
    <col min="14567" max="14567" width="10.85546875" style="1093" customWidth="1"/>
    <col min="14568" max="14568" width="10.7109375" style="1093" customWidth="1"/>
    <col min="14569" max="14569" width="11" style="1093" customWidth="1"/>
    <col min="14570" max="14572" width="7.85546875" style="1093" customWidth="1"/>
    <col min="14573" max="14573" width="11.28515625" style="1093" customWidth="1"/>
    <col min="14574" max="14574" width="12.42578125" style="1093" customWidth="1"/>
    <col min="14575" max="14575" width="11" style="1093" customWidth="1"/>
    <col min="14576" max="14577" width="7.85546875" style="1093" customWidth="1"/>
    <col min="14578" max="14578" width="11" style="1093" customWidth="1"/>
    <col min="14579" max="14579" width="10.5703125" style="1093" customWidth="1"/>
    <col min="14580" max="14581" width="11" style="1093" customWidth="1"/>
    <col min="14582" max="14586" width="7.85546875" style="1093" bestFit="1" customWidth="1"/>
    <col min="14587" max="14587" width="8.42578125" style="1093" bestFit="1" customWidth="1"/>
    <col min="14588" max="14588" width="11.42578125" style="1093" customWidth="1"/>
    <col min="14589" max="14589" width="7.85546875" style="1093" bestFit="1" customWidth="1"/>
    <col min="14590" max="14590" width="9.5703125" style="1093" customWidth="1"/>
    <col min="14591" max="14591" width="7.85546875" style="1093" bestFit="1" customWidth="1"/>
    <col min="14592" max="14592" width="12" style="1093" customWidth="1"/>
    <col min="14593" max="14593" width="13.42578125" style="1093" customWidth="1"/>
    <col min="14594" max="14594" width="9.5703125" style="1093" bestFit="1" customWidth="1"/>
    <col min="14595" max="14601" width="9.140625" style="1093" customWidth="1"/>
    <col min="14602" max="14805" width="9.140625" style="1093"/>
    <col min="14806" max="14806" width="16.7109375" style="1093" customWidth="1"/>
    <col min="14807" max="14807" width="52.5703125" style="1093" customWidth="1"/>
    <col min="14808" max="14808" width="11" style="1093" customWidth="1"/>
    <col min="14809" max="14809" width="13.42578125" style="1093" customWidth="1"/>
    <col min="14810" max="14810" width="11.28515625" style="1093" customWidth="1"/>
    <col min="14811" max="14811" width="10.28515625" style="1093" customWidth="1"/>
    <col min="14812" max="14812" width="13.85546875" style="1093" customWidth="1"/>
    <col min="14813" max="14814" width="7.85546875" style="1093" customWidth="1"/>
    <col min="14815" max="14815" width="10.85546875" style="1093" customWidth="1"/>
    <col min="14816" max="14816" width="13" style="1093" customWidth="1"/>
    <col min="14817" max="14817" width="11.42578125" style="1093" customWidth="1"/>
    <col min="14818" max="14818" width="10" style="1093" customWidth="1"/>
    <col min="14819" max="14819" width="7.85546875" style="1093" customWidth="1"/>
    <col min="14820" max="14820" width="10.140625" style="1093" customWidth="1"/>
    <col min="14821" max="14822" width="7.85546875" style="1093" customWidth="1"/>
    <col min="14823" max="14823" width="10.85546875" style="1093" customWidth="1"/>
    <col min="14824" max="14824" width="10.7109375" style="1093" customWidth="1"/>
    <col min="14825" max="14825" width="11" style="1093" customWidth="1"/>
    <col min="14826" max="14828" width="7.85546875" style="1093" customWidth="1"/>
    <col min="14829" max="14829" width="11.28515625" style="1093" customWidth="1"/>
    <col min="14830" max="14830" width="12.42578125" style="1093" customWidth="1"/>
    <col min="14831" max="14831" width="11" style="1093" customWidth="1"/>
    <col min="14832" max="14833" width="7.85546875" style="1093" customWidth="1"/>
    <col min="14834" max="14834" width="11" style="1093" customWidth="1"/>
    <col min="14835" max="14835" width="10.5703125" style="1093" customWidth="1"/>
    <col min="14836" max="14837" width="11" style="1093" customWidth="1"/>
    <col min="14838" max="14842" width="7.85546875" style="1093" bestFit="1" customWidth="1"/>
    <col min="14843" max="14843" width="8.42578125" style="1093" bestFit="1" customWidth="1"/>
    <col min="14844" max="14844" width="11.42578125" style="1093" customWidth="1"/>
    <col min="14845" max="14845" width="7.85546875" style="1093" bestFit="1" customWidth="1"/>
    <col min="14846" max="14846" width="9.5703125" style="1093" customWidth="1"/>
    <col min="14847" max="14847" width="7.85546875" style="1093" bestFit="1" customWidth="1"/>
    <col min="14848" max="14848" width="12" style="1093" customWidth="1"/>
    <col min="14849" max="14849" width="13.42578125" style="1093" customWidth="1"/>
    <col min="14850" max="14850" width="9.5703125" style="1093" bestFit="1" customWidth="1"/>
    <col min="14851" max="14857" width="9.140625" style="1093" customWidth="1"/>
    <col min="14858" max="15061" width="9.140625" style="1093"/>
    <col min="15062" max="15062" width="16.7109375" style="1093" customWidth="1"/>
    <col min="15063" max="15063" width="52.5703125" style="1093" customWidth="1"/>
    <col min="15064" max="15064" width="11" style="1093" customWidth="1"/>
    <col min="15065" max="15065" width="13.42578125" style="1093" customWidth="1"/>
    <col min="15066" max="15066" width="11.28515625" style="1093" customWidth="1"/>
    <col min="15067" max="15067" width="10.28515625" style="1093" customWidth="1"/>
    <col min="15068" max="15068" width="13.85546875" style="1093" customWidth="1"/>
    <col min="15069" max="15070" width="7.85546875" style="1093" customWidth="1"/>
    <col min="15071" max="15071" width="10.85546875" style="1093" customWidth="1"/>
    <col min="15072" max="15072" width="13" style="1093" customWidth="1"/>
    <col min="15073" max="15073" width="11.42578125" style="1093" customWidth="1"/>
    <col min="15074" max="15074" width="10" style="1093" customWidth="1"/>
    <col min="15075" max="15075" width="7.85546875" style="1093" customWidth="1"/>
    <col min="15076" max="15076" width="10.140625" style="1093" customWidth="1"/>
    <col min="15077" max="15078" width="7.85546875" style="1093" customWidth="1"/>
    <col min="15079" max="15079" width="10.85546875" style="1093" customWidth="1"/>
    <col min="15080" max="15080" width="10.7109375" style="1093" customWidth="1"/>
    <col min="15081" max="15081" width="11" style="1093" customWidth="1"/>
    <col min="15082" max="15084" width="7.85546875" style="1093" customWidth="1"/>
    <col min="15085" max="15085" width="11.28515625" style="1093" customWidth="1"/>
    <col min="15086" max="15086" width="12.42578125" style="1093" customWidth="1"/>
    <col min="15087" max="15087" width="11" style="1093" customWidth="1"/>
    <col min="15088" max="15089" width="7.85546875" style="1093" customWidth="1"/>
    <col min="15090" max="15090" width="11" style="1093" customWidth="1"/>
    <col min="15091" max="15091" width="10.5703125" style="1093" customWidth="1"/>
    <col min="15092" max="15093" width="11" style="1093" customWidth="1"/>
    <col min="15094" max="15098" width="7.85546875" style="1093" bestFit="1" customWidth="1"/>
    <col min="15099" max="15099" width="8.42578125" style="1093" bestFit="1" customWidth="1"/>
    <col min="15100" max="15100" width="11.42578125" style="1093" customWidth="1"/>
    <col min="15101" max="15101" width="7.85546875" style="1093" bestFit="1" customWidth="1"/>
    <col min="15102" max="15102" width="9.5703125" style="1093" customWidth="1"/>
    <col min="15103" max="15103" width="7.85546875" style="1093" bestFit="1" customWidth="1"/>
    <col min="15104" max="15104" width="12" style="1093" customWidth="1"/>
    <col min="15105" max="15105" width="13.42578125" style="1093" customWidth="1"/>
    <col min="15106" max="15106" width="9.5703125" style="1093" bestFit="1" customWidth="1"/>
    <col min="15107" max="15113" width="9.140625" style="1093" customWidth="1"/>
    <col min="15114" max="15317" width="9.140625" style="1093"/>
    <col min="15318" max="15318" width="16.7109375" style="1093" customWidth="1"/>
    <col min="15319" max="15319" width="52.5703125" style="1093" customWidth="1"/>
    <col min="15320" max="15320" width="11" style="1093" customWidth="1"/>
    <col min="15321" max="15321" width="13.42578125" style="1093" customWidth="1"/>
    <col min="15322" max="15322" width="11.28515625" style="1093" customWidth="1"/>
    <col min="15323" max="15323" width="10.28515625" style="1093" customWidth="1"/>
    <col min="15324" max="15324" width="13.85546875" style="1093" customWidth="1"/>
    <col min="15325" max="15326" width="7.85546875" style="1093" customWidth="1"/>
    <col min="15327" max="15327" width="10.85546875" style="1093" customWidth="1"/>
    <col min="15328" max="15328" width="13" style="1093" customWidth="1"/>
    <col min="15329" max="15329" width="11.42578125" style="1093" customWidth="1"/>
    <col min="15330" max="15330" width="10" style="1093" customWidth="1"/>
    <col min="15331" max="15331" width="7.85546875" style="1093" customWidth="1"/>
    <col min="15332" max="15332" width="10.140625" style="1093" customWidth="1"/>
    <col min="15333" max="15334" width="7.85546875" style="1093" customWidth="1"/>
    <col min="15335" max="15335" width="10.85546875" style="1093" customWidth="1"/>
    <col min="15336" max="15336" width="10.7109375" style="1093" customWidth="1"/>
    <col min="15337" max="15337" width="11" style="1093" customWidth="1"/>
    <col min="15338" max="15340" width="7.85546875" style="1093" customWidth="1"/>
    <col min="15341" max="15341" width="11.28515625" style="1093" customWidth="1"/>
    <col min="15342" max="15342" width="12.42578125" style="1093" customWidth="1"/>
    <col min="15343" max="15343" width="11" style="1093" customWidth="1"/>
    <col min="15344" max="15345" width="7.85546875" style="1093" customWidth="1"/>
    <col min="15346" max="15346" width="11" style="1093" customWidth="1"/>
    <col min="15347" max="15347" width="10.5703125" style="1093" customWidth="1"/>
    <col min="15348" max="15349" width="11" style="1093" customWidth="1"/>
    <col min="15350" max="15354" width="7.85546875" style="1093" bestFit="1" customWidth="1"/>
    <col min="15355" max="15355" width="8.42578125" style="1093" bestFit="1" customWidth="1"/>
    <col min="15356" max="15356" width="11.42578125" style="1093" customWidth="1"/>
    <col min="15357" max="15357" width="7.85546875" style="1093" bestFit="1" customWidth="1"/>
    <col min="15358" max="15358" width="9.5703125" style="1093" customWidth="1"/>
    <col min="15359" max="15359" width="7.85546875" style="1093" bestFit="1" customWidth="1"/>
    <col min="15360" max="15360" width="12" style="1093" customWidth="1"/>
    <col min="15361" max="15361" width="13.42578125" style="1093" customWidth="1"/>
    <col min="15362" max="15362" width="9.5703125" style="1093" bestFit="1" customWidth="1"/>
    <col min="15363" max="15369" width="9.140625" style="1093" customWidth="1"/>
    <col min="15370" max="15573" width="9.140625" style="1093"/>
    <col min="15574" max="15574" width="16.7109375" style="1093" customWidth="1"/>
    <col min="15575" max="15575" width="52.5703125" style="1093" customWidth="1"/>
    <col min="15576" max="15576" width="11" style="1093" customWidth="1"/>
    <col min="15577" max="15577" width="13.42578125" style="1093" customWidth="1"/>
    <col min="15578" max="15578" width="11.28515625" style="1093" customWidth="1"/>
    <col min="15579" max="15579" width="10.28515625" style="1093" customWidth="1"/>
    <col min="15580" max="15580" width="13.85546875" style="1093" customWidth="1"/>
    <col min="15581" max="15582" width="7.85546875" style="1093" customWidth="1"/>
    <col min="15583" max="15583" width="10.85546875" style="1093" customWidth="1"/>
    <col min="15584" max="15584" width="13" style="1093" customWidth="1"/>
    <col min="15585" max="15585" width="11.42578125" style="1093" customWidth="1"/>
    <col min="15586" max="15586" width="10" style="1093" customWidth="1"/>
    <col min="15587" max="15587" width="7.85546875" style="1093" customWidth="1"/>
    <col min="15588" max="15588" width="10.140625" style="1093" customWidth="1"/>
    <col min="15589" max="15590" width="7.85546875" style="1093" customWidth="1"/>
    <col min="15591" max="15591" width="10.85546875" style="1093" customWidth="1"/>
    <col min="15592" max="15592" width="10.7109375" style="1093" customWidth="1"/>
    <col min="15593" max="15593" width="11" style="1093" customWidth="1"/>
    <col min="15594" max="15596" width="7.85546875" style="1093" customWidth="1"/>
    <col min="15597" max="15597" width="11.28515625" style="1093" customWidth="1"/>
    <col min="15598" max="15598" width="12.42578125" style="1093" customWidth="1"/>
    <col min="15599" max="15599" width="11" style="1093" customWidth="1"/>
    <col min="15600" max="15601" width="7.85546875" style="1093" customWidth="1"/>
    <col min="15602" max="15602" width="11" style="1093" customWidth="1"/>
    <col min="15603" max="15603" width="10.5703125" style="1093" customWidth="1"/>
    <col min="15604" max="15605" width="11" style="1093" customWidth="1"/>
    <col min="15606" max="15610" width="7.85546875" style="1093" bestFit="1" customWidth="1"/>
    <col min="15611" max="15611" width="8.42578125" style="1093" bestFit="1" customWidth="1"/>
    <col min="15612" max="15612" width="11.42578125" style="1093" customWidth="1"/>
    <col min="15613" max="15613" width="7.85546875" style="1093" bestFit="1" customWidth="1"/>
    <col min="15614" max="15614" width="9.5703125" style="1093" customWidth="1"/>
    <col min="15615" max="15615" width="7.85546875" style="1093" bestFit="1" customWidth="1"/>
    <col min="15616" max="15616" width="12" style="1093" customWidth="1"/>
    <col min="15617" max="15617" width="13.42578125" style="1093" customWidth="1"/>
    <col min="15618" max="15618" width="9.5703125" style="1093" bestFit="1" customWidth="1"/>
    <col min="15619" max="15625" width="9.140625" style="1093" customWidth="1"/>
    <col min="15626" max="15829" width="9.140625" style="1093"/>
    <col min="15830" max="15830" width="16.7109375" style="1093" customWidth="1"/>
    <col min="15831" max="15831" width="52.5703125" style="1093" customWidth="1"/>
    <col min="15832" max="15832" width="11" style="1093" customWidth="1"/>
    <col min="15833" max="15833" width="13.42578125" style="1093" customWidth="1"/>
    <col min="15834" max="15834" width="11.28515625" style="1093" customWidth="1"/>
    <col min="15835" max="15835" width="10.28515625" style="1093" customWidth="1"/>
    <col min="15836" max="15836" width="13.85546875" style="1093" customWidth="1"/>
    <col min="15837" max="15838" width="7.85546875" style="1093" customWidth="1"/>
    <col min="15839" max="15839" width="10.85546875" style="1093" customWidth="1"/>
    <col min="15840" max="15840" width="13" style="1093" customWidth="1"/>
    <col min="15841" max="15841" width="11.42578125" style="1093" customWidth="1"/>
    <col min="15842" max="15842" width="10" style="1093" customWidth="1"/>
    <col min="15843" max="15843" width="7.85546875" style="1093" customWidth="1"/>
    <col min="15844" max="15844" width="10.140625" style="1093" customWidth="1"/>
    <col min="15845" max="15846" width="7.85546875" style="1093" customWidth="1"/>
    <col min="15847" max="15847" width="10.85546875" style="1093" customWidth="1"/>
    <col min="15848" max="15848" width="10.7109375" style="1093" customWidth="1"/>
    <col min="15849" max="15849" width="11" style="1093" customWidth="1"/>
    <col min="15850" max="15852" width="7.85546875" style="1093" customWidth="1"/>
    <col min="15853" max="15853" width="11.28515625" style="1093" customWidth="1"/>
    <col min="15854" max="15854" width="12.42578125" style="1093" customWidth="1"/>
    <col min="15855" max="15855" width="11" style="1093" customWidth="1"/>
    <col min="15856" max="15857" width="7.85546875" style="1093" customWidth="1"/>
    <col min="15858" max="15858" width="11" style="1093" customWidth="1"/>
    <col min="15859" max="15859" width="10.5703125" style="1093" customWidth="1"/>
    <col min="15860" max="15861" width="11" style="1093" customWidth="1"/>
    <col min="15862" max="15866" width="7.85546875" style="1093" bestFit="1" customWidth="1"/>
    <col min="15867" max="15867" width="8.42578125" style="1093" bestFit="1" customWidth="1"/>
    <col min="15868" max="15868" width="11.42578125" style="1093" customWidth="1"/>
    <col min="15869" max="15869" width="7.85546875" style="1093" bestFit="1" customWidth="1"/>
    <col min="15870" max="15870" width="9.5703125" style="1093" customWidth="1"/>
    <col min="15871" max="15871" width="7.85546875" style="1093" bestFit="1" customWidth="1"/>
    <col min="15872" max="15872" width="12" style="1093" customWidth="1"/>
    <col min="15873" max="15873" width="13.42578125" style="1093" customWidth="1"/>
    <col min="15874" max="15874" width="9.5703125" style="1093" bestFit="1" customWidth="1"/>
    <col min="15875" max="15881" width="9.140625" style="1093" customWidth="1"/>
    <col min="15882" max="16085" width="9.140625" style="1093"/>
    <col min="16086" max="16086" width="16.7109375" style="1093" customWidth="1"/>
    <col min="16087" max="16087" width="52.5703125" style="1093" customWidth="1"/>
    <col min="16088" max="16088" width="11" style="1093" customWidth="1"/>
    <col min="16089" max="16089" width="13.42578125" style="1093" customWidth="1"/>
    <col min="16090" max="16090" width="11.28515625" style="1093" customWidth="1"/>
    <col min="16091" max="16091" width="10.28515625" style="1093" customWidth="1"/>
    <col min="16092" max="16092" width="13.85546875" style="1093" customWidth="1"/>
    <col min="16093" max="16094" width="7.85546875" style="1093" customWidth="1"/>
    <col min="16095" max="16095" width="10.85546875" style="1093" customWidth="1"/>
    <col min="16096" max="16096" width="13" style="1093" customWidth="1"/>
    <col min="16097" max="16097" width="11.42578125" style="1093" customWidth="1"/>
    <col min="16098" max="16098" width="10" style="1093" customWidth="1"/>
    <col min="16099" max="16099" width="7.85546875" style="1093" customWidth="1"/>
    <col min="16100" max="16100" width="10.140625" style="1093" customWidth="1"/>
    <col min="16101" max="16102" width="7.85546875" style="1093" customWidth="1"/>
    <col min="16103" max="16103" width="10.85546875" style="1093" customWidth="1"/>
    <col min="16104" max="16104" width="10.7109375" style="1093" customWidth="1"/>
    <col min="16105" max="16105" width="11" style="1093" customWidth="1"/>
    <col min="16106" max="16108" width="7.85546875" style="1093" customWidth="1"/>
    <col min="16109" max="16109" width="11.28515625" style="1093" customWidth="1"/>
    <col min="16110" max="16110" width="12.42578125" style="1093" customWidth="1"/>
    <col min="16111" max="16111" width="11" style="1093" customWidth="1"/>
    <col min="16112" max="16113" width="7.85546875" style="1093" customWidth="1"/>
    <col min="16114" max="16114" width="11" style="1093" customWidth="1"/>
    <col min="16115" max="16115" width="10.5703125" style="1093" customWidth="1"/>
    <col min="16116" max="16117" width="11" style="1093" customWidth="1"/>
    <col min="16118" max="16122" width="7.85546875" style="1093" bestFit="1" customWidth="1"/>
    <col min="16123" max="16123" width="8.42578125" style="1093" bestFit="1" customWidth="1"/>
    <col min="16124" max="16124" width="11.42578125" style="1093" customWidth="1"/>
    <col min="16125" max="16125" width="7.85546875" style="1093" bestFit="1" customWidth="1"/>
    <col min="16126" max="16126" width="9.5703125" style="1093" customWidth="1"/>
    <col min="16127" max="16127" width="7.85546875" style="1093" bestFit="1" customWidth="1"/>
    <col min="16128" max="16128" width="12" style="1093" customWidth="1"/>
    <col min="16129" max="16129" width="13.42578125" style="1093" customWidth="1"/>
    <col min="16130" max="16130" width="9.5703125" style="1093" bestFit="1" customWidth="1"/>
    <col min="16131" max="16137" width="9.140625" style="1093" customWidth="1"/>
    <col min="16138" max="16384" width="9.140625" style="1093"/>
  </cols>
  <sheetData>
    <row r="1" spans="1:7" s="1080" customFormat="1" ht="16.5" customHeight="1" thickBot="1">
      <c r="A1" s="1820" t="s">
        <v>1239</v>
      </c>
      <c r="B1" s="1820"/>
      <c r="C1" s="1820"/>
      <c r="D1" s="1820"/>
      <c r="E1" s="1193"/>
      <c r="F1" s="1193"/>
      <c r="G1" s="1193"/>
    </row>
    <row r="2" spans="1:7" s="1083" customFormat="1" ht="21" customHeight="1">
      <c r="A2" s="1081" t="s">
        <v>682</v>
      </c>
      <c r="B2" s="1082" t="s">
        <v>683</v>
      </c>
      <c r="C2" s="1860" t="s">
        <v>684</v>
      </c>
      <c r="D2" s="1861"/>
      <c r="E2" s="1195"/>
      <c r="F2" s="1195"/>
      <c r="G2" s="1195"/>
    </row>
    <row r="3" spans="1:7" s="1083" customFormat="1" ht="16.5" thickBot="1">
      <c r="A3" s="1084" t="s">
        <v>685</v>
      </c>
      <c r="B3" s="1085" t="s">
        <v>1236</v>
      </c>
      <c r="C3" s="1862"/>
      <c r="D3" s="1863"/>
      <c r="E3" s="1195"/>
      <c r="F3" s="1195"/>
      <c r="G3" s="1195"/>
    </row>
    <row r="4" spans="1:7" s="1088" customFormat="1" ht="15.95" customHeight="1" thickBot="1">
      <c r="A4" s="1086"/>
      <c r="B4" s="1087"/>
      <c r="C4" s="1825" t="s">
        <v>687</v>
      </c>
      <c r="D4" s="1826"/>
      <c r="E4" s="1197"/>
      <c r="F4" s="1197"/>
      <c r="G4" s="1197"/>
    </row>
    <row r="5" spans="1:7" ht="36.75" thickBot="1">
      <c r="A5" s="1522" t="s">
        <v>688</v>
      </c>
      <c r="B5" s="1090" t="s">
        <v>689</v>
      </c>
      <c r="C5" s="1091" t="s">
        <v>690</v>
      </c>
      <c r="D5" s="1092" t="s">
        <v>691</v>
      </c>
    </row>
    <row r="6" spans="1:7" s="1098" customFormat="1" ht="12.95" customHeight="1" thickBot="1">
      <c r="A6" s="1094">
        <v>1</v>
      </c>
      <c r="B6" s="1095">
        <v>2</v>
      </c>
      <c r="C6" s="1096">
        <v>3</v>
      </c>
      <c r="D6" s="1097">
        <v>4</v>
      </c>
      <c r="E6" s="1201"/>
      <c r="F6" s="1201"/>
      <c r="G6" s="1201"/>
    </row>
    <row r="7" spans="1:7" s="1204" customFormat="1" ht="15.95" customHeight="1" thickBot="1">
      <c r="A7" s="1864" t="s">
        <v>692</v>
      </c>
      <c r="B7" s="1865"/>
      <c r="C7" s="1865"/>
      <c r="D7" s="1866"/>
      <c r="E7" s="1201" t="s">
        <v>925</v>
      </c>
      <c r="F7" s="1201" t="s">
        <v>931</v>
      </c>
      <c r="G7" s="1201" t="s">
        <v>932</v>
      </c>
    </row>
    <row r="8" spans="1:7" s="1098" customFormat="1" ht="12" customHeight="1" thickBot="1">
      <c r="A8" s="1099" t="s">
        <v>693</v>
      </c>
      <c r="B8" s="1100" t="s">
        <v>694</v>
      </c>
      <c r="C8" s="1101">
        <f>+C9+C10+C11+C12+C13+C14</f>
        <v>42527800</v>
      </c>
      <c r="D8" s="1102">
        <f>+D9+D10+D11+D12+D13+D14</f>
        <v>0</v>
      </c>
      <c r="E8" s="1205"/>
      <c r="F8" s="1205"/>
      <c r="G8" s="1205"/>
    </row>
    <row r="9" spans="1:7" s="1107" customFormat="1" ht="12" customHeight="1">
      <c r="A9" s="1103" t="s">
        <v>695</v>
      </c>
      <c r="B9" s="1104" t="s">
        <v>696</v>
      </c>
      <c r="C9" s="1105">
        <f>SUM(F9:G9)</f>
        <v>37601800</v>
      </c>
      <c r="D9" s="1106"/>
      <c r="E9" s="1199"/>
      <c r="F9" s="1199">
        <v>37601800</v>
      </c>
      <c r="G9" s="1199"/>
    </row>
    <row r="10" spans="1:7" s="1111" customFormat="1" ht="12" customHeight="1">
      <c r="A10" s="1108" t="s">
        <v>697</v>
      </c>
      <c r="B10" s="1109" t="s">
        <v>698</v>
      </c>
      <c r="C10" s="1105">
        <f>SUM(G10:G10)</f>
        <v>0</v>
      </c>
      <c r="D10" s="1110"/>
      <c r="E10" s="1199"/>
      <c r="F10" s="1199"/>
      <c r="G10" s="1199"/>
    </row>
    <row r="11" spans="1:7" s="1111" customFormat="1" ht="12" customHeight="1">
      <c r="A11" s="1108" t="s">
        <v>699</v>
      </c>
      <c r="B11" s="1109" t="s">
        <v>700</v>
      </c>
      <c r="C11" s="1105">
        <f>SUM(G11:G11)</f>
        <v>0</v>
      </c>
      <c r="D11" s="1110"/>
      <c r="E11" s="1199"/>
      <c r="F11" s="1199"/>
      <c r="G11" s="1199"/>
    </row>
    <row r="12" spans="1:7" s="1111" customFormat="1" ht="12" customHeight="1">
      <c r="A12" s="1108" t="s">
        <v>701</v>
      </c>
      <c r="B12" s="1109" t="s">
        <v>702</v>
      </c>
      <c r="C12" s="1105">
        <f>SUM(G12:G12)</f>
        <v>0</v>
      </c>
      <c r="D12" s="1110"/>
      <c r="E12" s="1199"/>
      <c r="F12" s="1199"/>
      <c r="G12" s="1199"/>
    </row>
    <row r="13" spans="1:7" s="1111" customFormat="1" ht="12" customHeight="1">
      <c r="A13" s="1108" t="s">
        <v>703</v>
      </c>
      <c r="B13" s="1109" t="s">
        <v>704</v>
      </c>
      <c r="C13" s="1105">
        <f>SUM(F13:G13)</f>
        <v>4926000</v>
      </c>
      <c r="D13" s="1110"/>
      <c r="E13" s="1199"/>
      <c r="F13" s="1199">
        <v>4926000</v>
      </c>
      <c r="G13" s="1199"/>
    </row>
    <row r="14" spans="1:7" s="1107" customFormat="1" ht="12" customHeight="1" thickBot="1">
      <c r="A14" s="1112" t="s">
        <v>705</v>
      </c>
      <c r="B14" s="1113" t="s">
        <v>706</v>
      </c>
      <c r="C14" s="1105">
        <f>SUM(G14:G14)</f>
        <v>0</v>
      </c>
      <c r="D14" s="1110"/>
      <c r="E14" s="1199"/>
      <c r="F14" s="1199"/>
      <c r="G14" s="1199"/>
    </row>
    <row r="15" spans="1:7" s="1107" customFormat="1" ht="21.75" customHeight="1" thickBot="1">
      <c r="A15" s="1099" t="s">
        <v>707</v>
      </c>
      <c r="B15" s="1114" t="s">
        <v>708</v>
      </c>
      <c r="C15" s="1101">
        <f>+C16+C17+C18+C19+C20</f>
        <v>0</v>
      </c>
      <c r="D15" s="1102">
        <f>+D16+D17+D18+D19+D20</f>
        <v>0</v>
      </c>
      <c r="E15" s="1199"/>
      <c r="F15" s="1199"/>
      <c r="G15" s="1199"/>
    </row>
    <row r="16" spans="1:7" s="1107" customFormat="1" ht="12" customHeight="1">
      <c r="A16" s="1103" t="s">
        <v>709</v>
      </c>
      <c r="B16" s="1104" t="s">
        <v>710</v>
      </c>
      <c r="C16" s="1207">
        <f t="shared" ref="C16:C21" si="0">SUM(G16:G16)</f>
        <v>0</v>
      </c>
      <c r="D16" s="1115"/>
      <c r="E16" s="1199"/>
      <c r="F16" s="1199"/>
      <c r="G16" s="1199"/>
    </row>
    <row r="17" spans="1:7" s="1107" customFormat="1" ht="12" customHeight="1">
      <c r="A17" s="1108" t="s">
        <v>711</v>
      </c>
      <c r="B17" s="1109" t="s">
        <v>712</v>
      </c>
      <c r="C17" s="1207">
        <f t="shared" si="0"/>
        <v>0</v>
      </c>
      <c r="D17" s="1116"/>
      <c r="E17" s="1199"/>
      <c r="F17" s="1199"/>
      <c r="G17" s="1199"/>
    </row>
    <row r="18" spans="1:7" s="1107" customFormat="1" ht="12" customHeight="1">
      <c r="A18" s="1108" t="s">
        <v>713</v>
      </c>
      <c r="B18" s="1109" t="s">
        <v>714</v>
      </c>
      <c r="C18" s="1207">
        <f t="shared" si="0"/>
        <v>0</v>
      </c>
      <c r="D18" s="1116"/>
      <c r="E18" s="1199"/>
      <c r="F18" s="1199"/>
      <c r="G18" s="1199"/>
    </row>
    <row r="19" spans="1:7" s="1107" customFormat="1" ht="12" customHeight="1">
      <c r="A19" s="1108" t="s">
        <v>715</v>
      </c>
      <c r="B19" s="1109" t="s">
        <v>716</v>
      </c>
      <c r="C19" s="1207">
        <f t="shared" si="0"/>
        <v>0</v>
      </c>
      <c r="D19" s="1116"/>
      <c r="E19" s="1199"/>
      <c r="F19" s="1199"/>
      <c r="G19" s="1199"/>
    </row>
    <row r="20" spans="1:7" s="1107" customFormat="1" ht="12" customHeight="1">
      <c r="A20" s="1108" t="s">
        <v>717</v>
      </c>
      <c r="B20" s="1109" t="s">
        <v>718</v>
      </c>
      <c r="C20" s="1207">
        <f t="shared" si="0"/>
        <v>0</v>
      </c>
      <c r="D20" s="1110"/>
      <c r="E20" s="1199"/>
      <c r="F20" s="1199"/>
      <c r="G20" s="1199"/>
    </row>
    <row r="21" spans="1:7" s="1111" customFormat="1" ht="12" customHeight="1" thickBot="1">
      <c r="A21" s="1112" t="s">
        <v>719</v>
      </c>
      <c r="B21" s="1113" t="s">
        <v>720</v>
      </c>
      <c r="C21" s="1207">
        <f t="shared" si="0"/>
        <v>0</v>
      </c>
      <c r="D21" s="1117"/>
      <c r="E21" s="1199"/>
      <c r="F21" s="1199"/>
      <c r="G21" s="1199"/>
    </row>
    <row r="22" spans="1:7" s="1111" customFormat="1" ht="23.25" customHeight="1" thickBot="1">
      <c r="A22" s="1099" t="s">
        <v>721</v>
      </c>
      <c r="B22" s="1100" t="s">
        <v>722</v>
      </c>
      <c r="C22" s="1101">
        <f>+C23+C24+C25+C26+C27</f>
        <v>0</v>
      </c>
      <c r="D22" s="1102">
        <f>+D23+D24+D25+D26+D27</f>
        <v>0</v>
      </c>
      <c r="E22" s="1199"/>
      <c r="F22" s="1199"/>
      <c r="G22" s="1199"/>
    </row>
    <row r="23" spans="1:7" s="1111" customFormat="1" ht="12" customHeight="1">
      <c r="A23" s="1103" t="s">
        <v>723</v>
      </c>
      <c r="B23" s="1104" t="s">
        <v>724</v>
      </c>
      <c r="C23" s="1207">
        <f t="shared" ref="C23:C28" si="1">SUM(G23:G23)</f>
        <v>0</v>
      </c>
      <c r="D23" s="1115"/>
      <c r="E23" s="1199"/>
      <c r="F23" s="1199"/>
      <c r="G23" s="1199"/>
    </row>
    <row r="24" spans="1:7" s="1107" customFormat="1" ht="12" customHeight="1">
      <c r="A24" s="1108" t="s">
        <v>725</v>
      </c>
      <c r="B24" s="1109" t="s">
        <v>726</v>
      </c>
      <c r="C24" s="1207">
        <f t="shared" si="1"/>
        <v>0</v>
      </c>
      <c r="D24" s="1116"/>
      <c r="E24" s="1199"/>
      <c r="F24" s="1199"/>
      <c r="G24" s="1199"/>
    </row>
    <row r="25" spans="1:7" s="1111" customFormat="1" ht="12" customHeight="1">
      <c r="A25" s="1108" t="s">
        <v>727</v>
      </c>
      <c r="B25" s="1109" t="s">
        <v>728</v>
      </c>
      <c r="C25" s="1207">
        <f t="shared" si="1"/>
        <v>0</v>
      </c>
      <c r="D25" s="1116"/>
      <c r="E25" s="1199"/>
      <c r="F25" s="1199"/>
      <c r="G25" s="1199"/>
    </row>
    <row r="26" spans="1:7" s="1111" customFormat="1" ht="12" customHeight="1">
      <c r="A26" s="1108" t="s">
        <v>729</v>
      </c>
      <c r="B26" s="1109" t="s">
        <v>730</v>
      </c>
      <c r="C26" s="1207">
        <f t="shared" si="1"/>
        <v>0</v>
      </c>
      <c r="D26" s="1116"/>
      <c r="E26" s="1199"/>
      <c r="F26" s="1199"/>
      <c r="G26" s="1199"/>
    </row>
    <row r="27" spans="1:7" s="1111" customFormat="1" ht="12" customHeight="1">
      <c r="A27" s="1108" t="s">
        <v>731</v>
      </c>
      <c r="B27" s="1109" t="s">
        <v>732</v>
      </c>
      <c r="C27" s="1207">
        <f t="shared" si="1"/>
        <v>0</v>
      </c>
      <c r="D27" s="1110"/>
      <c r="E27" s="1199"/>
      <c r="F27" s="1199"/>
      <c r="G27" s="1199"/>
    </row>
    <row r="28" spans="1:7" s="1111" customFormat="1" ht="12" customHeight="1" thickBot="1">
      <c r="A28" s="1112" t="s">
        <v>733</v>
      </c>
      <c r="B28" s="1113" t="s">
        <v>734</v>
      </c>
      <c r="C28" s="1207">
        <f t="shared" si="1"/>
        <v>0</v>
      </c>
      <c r="D28" s="1117"/>
      <c r="E28" s="1199"/>
      <c r="F28" s="1199"/>
      <c r="G28" s="1199"/>
    </row>
    <row r="29" spans="1:7" s="1111" customFormat="1" ht="12" customHeight="1" thickBot="1">
      <c r="A29" s="1099" t="s">
        <v>735</v>
      </c>
      <c r="B29" s="1100" t="s">
        <v>963</v>
      </c>
      <c r="C29" s="1118">
        <f>+C30+C36</f>
        <v>0</v>
      </c>
      <c r="D29" s="1119">
        <f>+D30+D34+D35+D36</f>
        <v>0</v>
      </c>
      <c r="E29" s="1199"/>
      <c r="F29" s="1199"/>
      <c r="G29" s="1199"/>
    </row>
    <row r="30" spans="1:7" s="1111" customFormat="1" ht="12" customHeight="1">
      <c r="A30" s="1103" t="s">
        <v>737</v>
      </c>
      <c r="B30" s="1104" t="s">
        <v>738</v>
      </c>
      <c r="C30" s="1120">
        <f>C32+C33+C34+C35+C31</f>
        <v>0</v>
      </c>
      <c r="D30" s="1121">
        <f>D32+D33</f>
        <v>0</v>
      </c>
      <c r="E30" s="1199"/>
      <c r="F30" s="1199"/>
      <c r="G30" s="1199"/>
    </row>
    <row r="31" spans="1:7" s="1111" customFormat="1" ht="12" customHeight="1">
      <c r="A31" s="1108" t="s">
        <v>739</v>
      </c>
      <c r="B31" s="1122" t="s">
        <v>740</v>
      </c>
      <c r="C31" s="1208">
        <f t="shared" ref="C31:C36" si="2">SUM(G31:G31)</f>
        <v>0</v>
      </c>
      <c r="D31" s="1121"/>
      <c r="E31" s="1199"/>
      <c r="F31" s="1199"/>
      <c r="G31" s="1199"/>
    </row>
    <row r="32" spans="1:7" s="1111" customFormat="1" ht="12" customHeight="1">
      <c r="A32" s="1108" t="s">
        <v>741</v>
      </c>
      <c r="B32" s="1109" t="s">
        <v>742</v>
      </c>
      <c r="C32" s="1208">
        <f t="shared" si="2"/>
        <v>0</v>
      </c>
      <c r="D32" s="1110"/>
      <c r="E32" s="1199"/>
      <c r="F32" s="1199"/>
      <c r="G32" s="1199"/>
    </row>
    <row r="33" spans="1:7" s="1111" customFormat="1" ht="12" customHeight="1">
      <c r="A33" s="1108" t="s">
        <v>743</v>
      </c>
      <c r="B33" s="1122" t="s">
        <v>744</v>
      </c>
      <c r="C33" s="1208">
        <f t="shared" si="2"/>
        <v>0</v>
      </c>
      <c r="D33" s="1110"/>
      <c r="E33" s="1199"/>
      <c r="F33" s="1199"/>
      <c r="G33" s="1199"/>
    </row>
    <row r="34" spans="1:7" s="1111" customFormat="1" ht="12" customHeight="1">
      <c r="A34" s="1108" t="s">
        <v>745</v>
      </c>
      <c r="B34" s="1122" t="s">
        <v>746</v>
      </c>
      <c r="C34" s="1208">
        <f t="shared" si="2"/>
        <v>0</v>
      </c>
      <c r="D34" s="1110"/>
      <c r="E34" s="1199"/>
      <c r="F34" s="1199"/>
      <c r="G34" s="1199"/>
    </row>
    <row r="35" spans="1:7" s="1111" customFormat="1" ht="12" customHeight="1">
      <c r="A35" s="1108" t="s">
        <v>747</v>
      </c>
      <c r="B35" s="1122" t="s">
        <v>748</v>
      </c>
      <c r="C35" s="1208">
        <f t="shared" si="2"/>
        <v>0</v>
      </c>
      <c r="D35" s="1110"/>
      <c r="E35" s="1199"/>
      <c r="F35" s="1199"/>
      <c r="G35" s="1199"/>
    </row>
    <row r="36" spans="1:7" s="1111" customFormat="1" ht="12" customHeight="1" thickBot="1">
      <c r="A36" s="1112" t="s">
        <v>749</v>
      </c>
      <c r="B36" s="1113" t="s">
        <v>280</v>
      </c>
      <c r="C36" s="1208">
        <f t="shared" si="2"/>
        <v>0</v>
      </c>
      <c r="D36" s="1123"/>
      <c r="E36" s="1199"/>
      <c r="F36" s="1199"/>
      <c r="G36" s="1199"/>
    </row>
    <row r="37" spans="1:7" s="1111" customFormat="1" ht="12" customHeight="1" thickBot="1">
      <c r="A37" s="1099" t="s">
        <v>750</v>
      </c>
      <c r="B37" s="1100" t="s">
        <v>751</v>
      </c>
      <c r="C37" s="1101">
        <f>SUM(C38:C47)</f>
        <v>25994745</v>
      </c>
      <c r="D37" s="1102">
        <f>SUM(D38:D47)</f>
        <v>0</v>
      </c>
      <c r="E37" s="1199"/>
      <c r="F37" s="1199"/>
      <c r="G37" s="1199"/>
    </row>
    <row r="38" spans="1:7" s="1111" customFormat="1" ht="12" customHeight="1">
      <c r="A38" s="1103" t="s">
        <v>752</v>
      </c>
      <c r="B38" s="1104" t="s">
        <v>753</v>
      </c>
      <c r="C38" s="1209">
        <f t="shared" ref="C38:C46" si="3">SUM(G38:G38)</f>
        <v>0</v>
      </c>
      <c r="D38" s="1116"/>
      <c r="E38" s="1199"/>
      <c r="F38" s="1199"/>
      <c r="G38" s="1199"/>
    </row>
    <row r="39" spans="1:7" s="1111" customFormat="1" ht="12" customHeight="1">
      <c r="A39" s="1108" t="s">
        <v>754</v>
      </c>
      <c r="B39" s="1109" t="s">
        <v>755</v>
      </c>
      <c r="C39" s="1209">
        <f t="shared" si="3"/>
        <v>0</v>
      </c>
      <c r="D39" s="1116"/>
      <c r="E39" s="1199"/>
      <c r="F39" s="1199"/>
      <c r="G39" s="1199"/>
    </row>
    <row r="40" spans="1:7" s="1111" customFormat="1" ht="12" customHeight="1">
      <c r="A40" s="1108" t="s">
        <v>756</v>
      </c>
      <c r="B40" s="1109" t="s">
        <v>757</v>
      </c>
      <c r="C40" s="1209">
        <f t="shared" si="3"/>
        <v>0</v>
      </c>
      <c r="D40" s="1116"/>
      <c r="E40" s="1199"/>
      <c r="F40" s="1199"/>
      <c r="G40" s="1199"/>
    </row>
    <row r="41" spans="1:7" s="1111" customFormat="1" ht="12" customHeight="1">
      <c r="A41" s="1108" t="s">
        <v>758</v>
      </c>
      <c r="B41" s="1109" t="s">
        <v>759</v>
      </c>
      <c r="C41" s="1209">
        <f t="shared" si="3"/>
        <v>0</v>
      </c>
      <c r="D41" s="1116"/>
      <c r="E41" s="1199"/>
      <c r="F41" s="1199"/>
      <c r="G41" s="1199"/>
    </row>
    <row r="42" spans="1:7" s="1111" customFormat="1" ht="12" customHeight="1">
      <c r="A42" s="1108" t="s">
        <v>760</v>
      </c>
      <c r="B42" s="1109" t="s">
        <v>761</v>
      </c>
      <c r="C42" s="1209">
        <f t="shared" si="3"/>
        <v>0</v>
      </c>
      <c r="D42" s="1116"/>
      <c r="E42" s="1199"/>
      <c r="F42" s="1199"/>
      <c r="G42" s="1199"/>
    </row>
    <row r="43" spans="1:7" s="1111" customFormat="1" ht="12" customHeight="1">
      <c r="A43" s="1108" t="s">
        <v>762</v>
      </c>
      <c r="B43" s="1109" t="s">
        <v>763</v>
      </c>
      <c r="C43" s="1209">
        <f t="shared" si="3"/>
        <v>0</v>
      </c>
      <c r="D43" s="1116"/>
      <c r="E43" s="1199"/>
      <c r="F43" s="1199"/>
      <c r="G43" s="1199"/>
    </row>
    <row r="44" spans="1:7" s="1111" customFormat="1" ht="12" customHeight="1">
      <c r="A44" s="1108" t="s">
        <v>764</v>
      </c>
      <c r="B44" s="1109" t="s">
        <v>765</v>
      </c>
      <c r="C44" s="1209">
        <f t="shared" si="3"/>
        <v>0</v>
      </c>
      <c r="D44" s="1116"/>
      <c r="E44" s="1199"/>
      <c r="F44" s="1199"/>
      <c r="G44" s="1199"/>
    </row>
    <row r="45" spans="1:7" s="1111" customFormat="1" ht="12" customHeight="1">
      <c r="A45" s="1108" t="s">
        <v>766</v>
      </c>
      <c r="B45" s="1109" t="s">
        <v>767</v>
      </c>
      <c r="C45" s="1209">
        <f t="shared" si="3"/>
        <v>0</v>
      </c>
      <c r="D45" s="1116"/>
      <c r="E45" s="1199"/>
      <c r="F45" s="1199"/>
      <c r="G45" s="1199"/>
    </row>
    <row r="46" spans="1:7" s="1111" customFormat="1" ht="12" customHeight="1">
      <c r="A46" s="1108" t="s">
        <v>768</v>
      </c>
      <c r="B46" s="1109" t="s">
        <v>769</v>
      </c>
      <c r="C46" s="1209">
        <f t="shared" si="3"/>
        <v>0</v>
      </c>
      <c r="D46" s="1124"/>
      <c r="E46" s="1199"/>
      <c r="F46" s="1199"/>
      <c r="G46" s="1199"/>
    </row>
    <row r="47" spans="1:7" s="1111" customFormat="1" ht="12" customHeight="1" thickBot="1">
      <c r="A47" s="1112" t="s">
        <v>770</v>
      </c>
      <c r="B47" s="1113" t="s">
        <v>771</v>
      </c>
      <c r="C47" s="1209">
        <f>SUM(E47:G47)</f>
        <v>25994745</v>
      </c>
      <c r="D47" s="1125"/>
      <c r="E47" s="1199">
        <v>25994745</v>
      </c>
      <c r="F47" s="1199"/>
      <c r="G47" s="1199"/>
    </row>
    <row r="48" spans="1:7" s="1111" customFormat="1" ht="12" customHeight="1" thickBot="1">
      <c r="A48" s="1099" t="s">
        <v>772</v>
      </c>
      <c r="B48" s="1100" t="s">
        <v>773</v>
      </c>
      <c r="C48" s="1101">
        <f>SUM(C49:C53)</f>
        <v>0</v>
      </c>
      <c r="D48" s="1102">
        <f>SUM(D49:D53)</f>
        <v>0</v>
      </c>
      <c r="E48" s="1199"/>
      <c r="F48" s="1199"/>
      <c r="G48" s="1199"/>
    </row>
    <row r="49" spans="1:7" s="1111" customFormat="1" ht="12" customHeight="1">
      <c r="A49" s="1103" t="s">
        <v>774</v>
      </c>
      <c r="B49" s="1104" t="s">
        <v>775</v>
      </c>
      <c r="C49" s="1210">
        <f>SUM(G49:G49)</f>
        <v>0</v>
      </c>
      <c r="D49" s="1126"/>
      <c r="E49" s="1199"/>
      <c r="F49" s="1199"/>
      <c r="G49" s="1199"/>
    </row>
    <row r="50" spans="1:7" s="1111" customFormat="1" ht="12" customHeight="1">
      <c r="A50" s="1108" t="s">
        <v>776</v>
      </c>
      <c r="B50" s="1109" t="s">
        <v>655</v>
      </c>
      <c r="C50" s="1210">
        <f>SUM(G50:G50)</f>
        <v>0</v>
      </c>
      <c r="D50" s="1124"/>
      <c r="E50" s="1199"/>
      <c r="F50" s="1199"/>
      <c r="G50" s="1199"/>
    </row>
    <row r="51" spans="1:7" s="1111" customFormat="1" ht="12" customHeight="1">
      <c r="A51" s="1108" t="s">
        <v>777</v>
      </c>
      <c r="B51" s="1109" t="s">
        <v>778</v>
      </c>
      <c r="C51" s="1210">
        <f>SUM(G51:G51)</f>
        <v>0</v>
      </c>
      <c r="D51" s="1124"/>
      <c r="E51" s="1199"/>
      <c r="F51" s="1199"/>
      <c r="G51" s="1199"/>
    </row>
    <row r="52" spans="1:7" s="1111" customFormat="1" ht="12" customHeight="1">
      <c r="A52" s="1108" t="s">
        <v>779</v>
      </c>
      <c r="B52" s="1109" t="s">
        <v>780</v>
      </c>
      <c r="C52" s="1210">
        <f>SUM(G52:G52)</f>
        <v>0</v>
      </c>
      <c r="D52" s="1124"/>
      <c r="E52" s="1199"/>
      <c r="F52" s="1199"/>
      <c r="G52" s="1199"/>
    </row>
    <row r="53" spans="1:7" s="1111" customFormat="1" ht="12" customHeight="1" thickBot="1">
      <c r="A53" s="1112" t="s">
        <v>781</v>
      </c>
      <c r="B53" s="1113" t="s">
        <v>782</v>
      </c>
      <c r="C53" s="1210">
        <f>SUM(G53:G53)</f>
        <v>0</v>
      </c>
      <c r="D53" s="1125"/>
      <c r="E53" s="1199"/>
      <c r="F53" s="1199"/>
      <c r="G53" s="1199"/>
    </row>
    <row r="54" spans="1:7" s="1111" customFormat="1" ht="12" customHeight="1" thickBot="1">
      <c r="A54" s="1099" t="s">
        <v>783</v>
      </c>
      <c r="B54" s="1100" t="s">
        <v>784</v>
      </c>
      <c r="C54" s="1101">
        <f>SUM(C55:C57)</f>
        <v>0</v>
      </c>
      <c r="D54" s="1102">
        <f>SUM(D55:D57)</f>
        <v>0</v>
      </c>
      <c r="E54" s="1199"/>
      <c r="F54" s="1199"/>
      <c r="G54" s="1199"/>
    </row>
    <row r="55" spans="1:7" s="1111" customFormat="1" ht="12" customHeight="1">
      <c r="A55" s="1103" t="s">
        <v>785</v>
      </c>
      <c r="B55" s="1104" t="s">
        <v>786</v>
      </c>
      <c r="C55" s="1207">
        <f>SUM(G55:G55)</f>
        <v>0</v>
      </c>
      <c r="D55" s="1115"/>
      <c r="E55" s="1199"/>
      <c r="F55" s="1199"/>
      <c r="G55" s="1199"/>
    </row>
    <row r="56" spans="1:7" s="1111" customFormat="1" ht="12" customHeight="1">
      <c r="A56" s="1108" t="s">
        <v>787</v>
      </c>
      <c r="B56" s="1109" t="s">
        <v>788</v>
      </c>
      <c r="C56" s="1207">
        <f>SUM(G56:G56)</f>
        <v>0</v>
      </c>
      <c r="D56" s="1116"/>
      <c r="E56" s="1199"/>
      <c r="F56" s="1199"/>
      <c r="G56" s="1199"/>
    </row>
    <row r="57" spans="1:7" s="1111" customFormat="1" ht="12" customHeight="1">
      <c r="A57" s="1108" t="s">
        <v>789</v>
      </c>
      <c r="B57" s="1109" t="s">
        <v>790</v>
      </c>
      <c r="C57" s="1207">
        <f>SUM(G57:G57)</f>
        <v>0</v>
      </c>
      <c r="D57" s="1110"/>
      <c r="E57" s="1199"/>
      <c r="F57" s="1199"/>
      <c r="G57" s="1199"/>
    </row>
    <row r="58" spans="1:7" s="1111" customFormat="1" ht="12" customHeight="1" thickBot="1">
      <c r="A58" s="1112" t="s">
        <v>791</v>
      </c>
      <c r="B58" s="1113" t="s">
        <v>792</v>
      </c>
      <c r="C58" s="1207">
        <f>SUM(G58:G58)</f>
        <v>0</v>
      </c>
      <c r="D58" s="1123"/>
      <c r="E58" s="1199"/>
      <c r="F58" s="1199"/>
      <c r="G58" s="1199"/>
    </row>
    <row r="59" spans="1:7" s="1111" customFormat="1" ht="12" customHeight="1" thickBot="1">
      <c r="A59" s="1099" t="s">
        <v>793</v>
      </c>
      <c r="B59" s="1114" t="s">
        <v>794</v>
      </c>
      <c r="C59" s="1101">
        <f>SUM(C60:C62)</f>
        <v>0</v>
      </c>
      <c r="D59" s="1127">
        <f>SUM(D60:D62)</f>
        <v>0</v>
      </c>
      <c r="E59" s="1199"/>
      <c r="F59" s="1199"/>
      <c r="G59" s="1199"/>
    </row>
    <row r="60" spans="1:7" s="1111" customFormat="1" ht="12" customHeight="1">
      <c r="A60" s="1103" t="s">
        <v>795</v>
      </c>
      <c r="B60" s="1104" t="s">
        <v>796</v>
      </c>
      <c r="C60" s="1211">
        <f>SUM(G60:G60)</f>
        <v>0</v>
      </c>
      <c r="D60" s="1110"/>
      <c r="E60" s="1199"/>
      <c r="F60" s="1199"/>
      <c r="G60" s="1199"/>
    </row>
    <row r="61" spans="1:7" s="1111" customFormat="1" ht="12" customHeight="1">
      <c r="A61" s="1108" t="s">
        <v>797</v>
      </c>
      <c r="B61" s="1109" t="s">
        <v>798</v>
      </c>
      <c r="C61" s="1211">
        <f>SUM(G61:G61)</f>
        <v>0</v>
      </c>
      <c r="D61" s="1116"/>
      <c r="E61" s="1199"/>
      <c r="F61" s="1199"/>
      <c r="G61" s="1199"/>
    </row>
    <row r="62" spans="1:7" s="1111" customFormat="1" ht="12" customHeight="1">
      <c r="A62" s="1108" t="s">
        <v>799</v>
      </c>
      <c r="B62" s="1109" t="s">
        <v>800</v>
      </c>
      <c r="C62" s="1211">
        <f>SUM(G62:G62)</f>
        <v>0</v>
      </c>
      <c r="D62" s="1116"/>
      <c r="E62" s="1199"/>
      <c r="F62" s="1199"/>
      <c r="G62" s="1199"/>
    </row>
    <row r="63" spans="1:7" s="1111" customFormat="1" ht="12" customHeight="1" thickBot="1">
      <c r="A63" s="1112" t="s">
        <v>801</v>
      </c>
      <c r="B63" s="1113" t="s">
        <v>802</v>
      </c>
      <c r="C63" s="1211">
        <f>SUM(G63:G63)</f>
        <v>0</v>
      </c>
      <c r="D63" s="1124"/>
      <c r="E63" s="1199"/>
      <c r="F63" s="1199"/>
      <c r="G63" s="1199"/>
    </row>
    <row r="64" spans="1:7" s="1111" customFormat="1" ht="12" customHeight="1" thickBot="1">
      <c r="A64" s="1099" t="s">
        <v>803</v>
      </c>
      <c r="B64" s="1100" t="s">
        <v>804</v>
      </c>
      <c r="C64" s="1118">
        <f>+C8+C15+C22+C29+C37+C48+C54+C59</f>
        <v>68522545</v>
      </c>
      <c r="D64" s="1119">
        <f>+D8+D15+D22+D29+D37+D48+D54+D59</f>
        <v>0</v>
      </c>
      <c r="E64" s="1199"/>
      <c r="F64" s="1199"/>
      <c r="G64" s="1199"/>
    </row>
    <row r="65" spans="1:7" s="1111" customFormat="1" ht="12" customHeight="1" thickBot="1">
      <c r="A65" s="1128" t="s">
        <v>805</v>
      </c>
      <c r="B65" s="1114" t="s">
        <v>806</v>
      </c>
      <c r="C65" s="1101">
        <f>SUM(C66:C68)</f>
        <v>0</v>
      </c>
      <c r="D65" s="1102">
        <f>SUM(D66:D68)</f>
        <v>0</v>
      </c>
      <c r="E65" s="1199"/>
      <c r="F65" s="1199"/>
      <c r="G65" s="1199"/>
    </row>
    <row r="66" spans="1:7" s="1111" customFormat="1" ht="12" customHeight="1">
      <c r="A66" s="1103" t="s">
        <v>807</v>
      </c>
      <c r="B66" s="1104" t="s">
        <v>808</v>
      </c>
      <c r="C66" s="1211">
        <f>SUM(G66:G66)</f>
        <v>0</v>
      </c>
      <c r="D66" s="1124"/>
      <c r="E66" s="1199"/>
      <c r="F66" s="1199"/>
      <c r="G66" s="1199"/>
    </row>
    <row r="67" spans="1:7" s="1111" customFormat="1" ht="12" customHeight="1">
      <c r="A67" s="1108" t="s">
        <v>809</v>
      </c>
      <c r="B67" s="1109" t="s">
        <v>810</v>
      </c>
      <c r="C67" s="1211">
        <f>SUM(G67:G67)</f>
        <v>0</v>
      </c>
      <c r="D67" s="1124"/>
      <c r="E67" s="1199"/>
      <c r="F67" s="1199"/>
      <c r="G67" s="1199"/>
    </row>
    <row r="68" spans="1:7" s="1111" customFormat="1" ht="12" customHeight="1" thickBot="1">
      <c r="A68" s="1112" t="s">
        <v>811</v>
      </c>
      <c r="B68" s="1129" t="s">
        <v>812</v>
      </c>
      <c r="C68" s="1211">
        <f>SUM(G68:G68)</f>
        <v>0</v>
      </c>
      <c r="D68" s="1124"/>
      <c r="E68" s="1199"/>
      <c r="F68" s="1199"/>
      <c r="G68" s="1199"/>
    </row>
    <row r="69" spans="1:7" s="1111" customFormat="1" ht="12" customHeight="1" thickBot="1">
      <c r="A69" s="1128" t="s">
        <v>813</v>
      </c>
      <c r="B69" s="1114" t="s">
        <v>814</v>
      </c>
      <c r="C69" s="1101">
        <f>SUM(C70:C73)</f>
        <v>0</v>
      </c>
      <c r="D69" s="1102">
        <f>SUM(D70:D73)</f>
        <v>0</v>
      </c>
      <c r="E69" s="1199"/>
      <c r="F69" s="1199"/>
      <c r="G69" s="1199"/>
    </row>
    <row r="70" spans="1:7" s="1111" customFormat="1" ht="12" customHeight="1">
      <c r="A70" s="1103" t="s">
        <v>815</v>
      </c>
      <c r="B70" s="1104" t="s">
        <v>816</v>
      </c>
      <c r="C70" s="1211">
        <f>SUM(G70:G70)</f>
        <v>0</v>
      </c>
      <c r="D70" s="1124"/>
      <c r="E70" s="1199"/>
      <c r="F70" s="1199"/>
      <c r="G70" s="1199"/>
    </row>
    <row r="71" spans="1:7" s="1111" customFormat="1" ht="12" customHeight="1">
      <c r="A71" s="1108" t="s">
        <v>817</v>
      </c>
      <c r="B71" s="1109" t="s">
        <v>818</v>
      </c>
      <c r="C71" s="1211">
        <f>SUM(G71:G71)</f>
        <v>0</v>
      </c>
      <c r="D71" s="1124"/>
      <c r="E71" s="1199"/>
      <c r="F71" s="1199"/>
      <c r="G71" s="1199"/>
    </row>
    <row r="72" spans="1:7" s="1111" customFormat="1" ht="12" customHeight="1">
      <c r="A72" s="1108" t="s">
        <v>819</v>
      </c>
      <c r="B72" s="1109" t="s">
        <v>820</v>
      </c>
      <c r="C72" s="1211">
        <f>SUM(G72:G72)</f>
        <v>0</v>
      </c>
      <c r="D72" s="1124"/>
      <c r="E72" s="1199"/>
      <c r="F72" s="1199"/>
      <c r="G72" s="1199"/>
    </row>
    <row r="73" spans="1:7" s="1111" customFormat="1" ht="12" customHeight="1" thickBot="1">
      <c r="A73" s="1130" t="s">
        <v>821</v>
      </c>
      <c r="B73" s="1131" t="s">
        <v>822</v>
      </c>
      <c r="C73" s="1211">
        <f>SUM(G73:G73)</f>
        <v>0</v>
      </c>
      <c r="D73" s="1132"/>
      <c r="E73" s="1199"/>
      <c r="F73" s="1199"/>
      <c r="G73" s="1199"/>
    </row>
    <row r="74" spans="1:7" s="1111" customFormat="1" ht="12" customHeight="1" thickBot="1">
      <c r="A74" s="1128" t="s">
        <v>823</v>
      </c>
      <c r="B74" s="1114" t="s">
        <v>824</v>
      </c>
      <c r="C74" s="1101">
        <f>SUM(C75:C76)</f>
        <v>0</v>
      </c>
      <c r="D74" s="1102">
        <f>SUM(D75:D76)</f>
        <v>0</v>
      </c>
      <c r="E74" s="1199"/>
      <c r="F74" s="1199"/>
      <c r="G74" s="1199"/>
    </row>
    <row r="75" spans="1:7" s="1111" customFormat="1" ht="12" customHeight="1">
      <c r="A75" s="1103" t="s">
        <v>825</v>
      </c>
      <c r="B75" s="1104" t="s">
        <v>826</v>
      </c>
      <c r="C75" s="1211">
        <f>SUM(G75:G75)</f>
        <v>0</v>
      </c>
      <c r="D75" s="1124"/>
      <c r="E75" s="1199"/>
      <c r="F75" s="1199"/>
      <c r="G75" s="1199"/>
    </row>
    <row r="76" spans="1:7" s="1111" customFormat="1" ht="12" customHeight="1" thickBot="1">
      <c r="A76" s="1112" t="s">
        <v>827</v>
      </c>
      <c r="B76" s="1113" t="s">
        <v>828</v>
      </c>
      <c r="C76" s="1211">
        <f>SUM(G76:G76)</f>
        <v>0</v>
      </c>
      <c r="D76" s="1124"/>
      <c r="E76" s="1199"/>
      <c r="F76" s="1199"/>
      <c r="G76" s="1199"/>
    </row>
    <row r="77" spans="1:7" s="1107" customFormat="1" ht="12" customHeight="1" thickBot="1">
      <c r="A77" s="1128" t="s">
        <v>829</v>
      </c>
      <c r="B77" s="1114" t="s">
        <v>830</v>
      </c>
      <c r="C77" s="1101">
        <f>SUM(C78:C80)</f>
        <v>0</v>
      </c>
      <c r="D77" s="1102">
        <f>SUM(D78:D80)</f>
        <v>0</v>
      </c>
      <c r="E77" s="1199"/>
      <c r="F77" s="1199"/>
      <c r="G77" s="1199"/>
    </row>
    <row r="78" spans="1:7" s="1111" customFormat="1" ht="12" customHeight="1">
      <c r="A78" s="1103" t="s">
        <v>831</v>
      </c>
      <c r="B78" s="1104" t="s">
        <v>832</v>
      </c>
      <c r="C78" s="1211">
        <f>SUM(G78:G78)</f>
        <v>0</v>
      </c>
      <c r="D78" s="1124"/>
      <c r="E78" s="1199"/>
      <c r="F78" s="1199"/>
      <c r="G78" s="1199"/>
    </row>
    <row r="79" spans="1:7" s="1111" customFormat="1" ht="12" customHeight="1">
      <c r="A79" s="1108" t="s">
        <v>833</v>
      </c>
      <c r="B79" s="1109" t="s">
        <v>834</v>
      </c>
      <c r="C79" s="1211">
        <f>SUM(G79:G79)</f>
        <v>0</v>
      </c>
      <c r="D79" s="1124"/>
      <c r="E79" s="1199"/>
      <c r="F79" s="1199"/>
      <c r="G79" s="1199"/>
    </row>
    <row r="80" spans="1:7" s="1111" customFormat="1" ht="12" customHeight="1" thickBot="1">
      <c r="A80" s="1112" t="s">
        <v>835</v>
      </c>
      <c r="B80" s="1113" t="s">
        <v>836</v>
      </c>
      <c r="C80" s="1211">
        <f>SUM(G80:G80)</f>
        <v>0</v>
      </c>
      <c r="D80" s="1124"/>
      <c r="E80" s="1199"/>
      <c r="F80" s="1199"/>
      <c r="G80" s="1199"/>
    </row>
    <row r="81" spans="1:10" s="1111" customFormat="1" ht="12" customHeight="1" thickBot="1">
      <c r="A81" s="1128" t="s">
        <v>837</v>
      </c>
      <c r="B81" s="1114" t="s">
        <v>838</v>
      </c>
      <c r="C81" s="1101">
        <f>SUM(C82:C85)</f>
        <v>0</v>
      </c>
      <c r="D81" s="1102">
        <f>SUM(D82:D85)</f>
        <v>0</v>
      </c>
      <c r="E81" s="1199"/>
      <c r="F81" s="1199"/>
      <c r="G81" s="1199"/>
    </row>
    <row r="82" spans="1:10" s="1111" customFormat="1" ht="12" customHeight="1">
      <c r="A82" s="1133" t="s">
        <v>839</v>
      </c>
      <c r="B82" s="1104" t="s">
        <v>840</v>
      </c>
      <c r="C82" s="1211">
        <f>SUM(G82:G82)</f>
        <v>0</v>
      </c>
      <c r="D82" s="1124"/>
      <c r="E82" s="1199"/>
      <c r="F82" s="1199"/>
      <c r="G82" s="1199"/>
    </row>
    <row r="83" spans="1:10" s="1111" customFormat="1" ht="12" customHeight="1">
      <c r="A83" s="1134" t="s">
        <v>841</v>
      </c>
      <c r="B83" s="1109" t="s">
        <v>842</v>
      </c>
      <c r="C83" s="1211">
        <f>SUM(G83:G83)</f>
        <v>0</v>
      </c>
      <c r="D83" s="1124"/>
      <c r="E83" s="1199"/>
      <c r="F83" s="1199"/>
      <c r="G83" s="1199"/>
    </row>
    <row r="84" spans="1:10" s="1111" customFormat="1" ht="12" customHeight="1">
      <c r="A84" s="1134" t="s">
        <v>843</v>
      </c>
      <c r="B84" s="1109" t="s">
        <v>844</v>
      </c>
      <c r="C84" s="1211">
        <f>SUM(G84:G84)</f>
        <v>0</v>
      </c>
      <c r="D84" s="1124"/>
      <c r="E84" s="1199"/>
      <c r="F84" s="1199"/>
      <c r="G84" s="1199"/>
    </row>
    <row r="85" spans="1:10" s="1107" customFormat="1" ht="12" customHeight="1" thickBot="1">
      <c r="A85" s="1135" t="s">
        <v>845</v>
      </c>
      <c r="B85" s="1113" t="s">
        <v>846</v>
      </c>
      <c r="C85" s="1211">
        <f>SUM(G85:G85)</f>
        <v>0</v>
      </c>
      <c r="D85" s="1124"/>
      <c r="E85" s="1199"/>
      <c r="F85" s="1199"/>
      <c r="G85" s="1199"/>
    </row>
    <row r="86" spans="1:10" s="1107" customFormat="1" ht="12" customHeight="1" thickBot="1">
      <c r="A86" s="1128" t="s">
        <v>847</v>
      </c>
      <c r="B86" s="1114" t="s">
        <v>848</v>
      </c>
      <c r="C86" s="1136"/>
      <c r="D86" s="1137"/>
      <c r="E86" s="1199"/>
      <c r="F86" s="1199"/>
      <c r="G86" s="1199"/>
    </row>
    <row r="87" spans="1:10" s="1107" customFormat="1" ht="12" customHeight="1" thickBot="1">
      <c r="A87" s="1128" t="s">
        <v>849</v>
      </c>
      <c r="B87" s="1138" t="s">
        <v>850</v>
      </c>
      <c r="C87" s="1118">
        <f>+C65+C69+C74+C77+C81+C86</f>
        <v>0</v>
      </c>
      <c r="D87" s="1119">
        <f>+D65+D69+D74+D77+D81+D86</f>
        <v>0</v>
      </c>
      <c r="E87" s="1199"/>
      <c r="F87" s="1199"/>
      <c r="G87" s="1199"/>
    </row>
    <row r="88" spans="1:10" s="1107" customFormat="1" ht="12" customHeight="1" thickBot="1">
      <c r="A88" s="1139" t="s">
        <v>851</v>
      </c>
      <c r="B88" s="1140" t="s">
        <v>852</v>
      </c>
      <c r="C88" s="1118">
        <f>+C64+C87</f>
        <v>68522545</v>
      </c>
      <c r="D88" s="1119"/>
      <c r="E88" s="1212">
        <f>SUM(E8:E87)</f>
        <v>25994745</v>
      </c>
      <c r="F88" s="1212">
        <f>SUM(F8:F87)</f>
        <v>42527800</v>
      </c>
      <c r="G88" s="1212">
        <f>SUM(G8:G87)</f>
        <v>0</v>
      </c>
      <c r="H88" s="1212"/>
      <c r="I88" s="1212"/>
      <c r="J88" s="1212"/>
    </row>
    <row r="89" spans="1:10" s="1111" customFormat="1" ht="15" customHeight="1">
      <c r="A89" s="1141"/>
      <c r="B89" s="1142"/>
      <c r="C89" s="1143"/>
      <c r="D89" s="1143"/>
      <c r="E89" s="1213"/>
      <c r="F89" s="1213"/>
      <c r="G89" s="1213"/>
    </row>
    <row r="90" spans="1:10" ht="13.5" thickBot="1">
      <c r="A90" s="1144"/>
      <c r="B90" s="1145"/>
      <c r="C90" s="1146"/>
      <c r="D90" s="1146"/>
    </row>
    <row r="91" spans="1:10" s="1098" customFormat="1" ht="16.5" customHeight="1" thickBot="1">
      <c r="A91" s="1827" t="s">
        <v>853</v>
      </c>
      <c r="B91" s="1828"/>
      <c r="C91" s="1828"/>
      <c r="D91" s="1829"/>
      <c r="E91" s="1201"/>
      <c r="F91" s="1201"/>
      <c r="G91" s="1201"/>
    </row>
    <row r="92" spans="1:10" s="1151" customFormat="1" ht="12" customHeight="1" thickBot="1">
      <c r="A92" s="1147" t="s">
        <v>693</v>
      </c>
      <c r="B92" s="1148" t="s">
        <v>854</v>
      </c>
      <c r="C92" s="1149">
        <f>SUM(C93:C97)</f>
        <v>0</v>
      </c>
      <c r="D92" s="1150">
        <f>SUM(D93:D97)</f>
        <v>0</v>
      </c>
      <c r="E92" s="1199"/>
      <c r="F92" s="1199"/>
      <c r="G92" s="1199"/>
    </row>
    <row r="93" spans="1:10" ht="12" customHeight="1">
      <c r="A93" s="1152" t="s">
        <v>695</v>
      </c>
      <c r="B93" s="1153" t="s">
        <v>855</v>
      </c>
      <c r="C93" s="1154">
        <f>SUM(G93:G93)</f>
        <v>0</v>
      </c>
      <c r="D93" s="1155"/>
    </row>
    <row r="94" spans="1:10" ht="12" customHeight="1">
      <c r="A94" s="1108" t="s">
        <v>697</v>
      </c>
      <c r="B94" s="1156" t="s">
        <v>30</v>
      </c>
      <c r="C94" s="1174">
        <f>SUM(G94:G94)</f>
        <v>0</v>
      </c>
      <c r="D94" s="1116"/>
    </row>
    <row r="95" spans="1:10" ht="12" customHeight="1">
      <c r="A95" s="1108" t="s">
        <v>699</v>
      </c>
      <c r="B95" s="1156" t="s">
        <v>856</v>
      </c>
      <c r="C95" s="1157">
        <f>SUM(G95:G95)</f>
        <v>0</v>
      </c>
      <c r="D95" s="1117"/>
    </row>
    <row r="96" spans="1:10" ht="12" customHeight="1">
      <c r="A96" s="1108" t="s">
        <v>701</v>
      </c>
      <c r="B96" s="1158" t="s">
        <v>244</v>
      </c>
      <c r="C96" s="1157">
        <f>SUM(G96:G96)</f>
        <v>0</v>
      </c>
      <c r="D96" s="1117"/>
    </row>
    <row r="97" spans="1:4" ht="12" customHeight="1">
      <c r="A97" s="1108" t="s">
        <v>857</v>
      </c>
      <c r="B97" s="1159" t="s">
        <v>63</v>
      </c>
      <c r="C97" s="1215">
        <f>SUM(C98:C107)</f>
        <v>0</v>
      </c>
      <c r="D97" s="1117">
        <f>SUM(D98:D107)</f>
        <v>0</v>
      </c>
    </row>
    <row r="98" spans="1:4" ht="12" customHeight="1">
      <c r="A98" s="1108" t="s">
        <v>705</v>
      </c>
      <c r="B98" s="1156" t="s">
        <v>858</v>
      </c>
      <c r="C98" s="1216">
        <f t="shared" ref="C98:C107" si="4">SUM(G98:G98)</f>
        <v>0</v>
      </c>
      <c r="D98" s="1117"/>
    </row>
    <row r="99" spans="1:4" ht="12" customHeight="1">
      <c r="A99" s="1108" t="s">
        <v>859</v>
      </c>
      <c r="B99" s="1160" t="s">
        <v>860</v>
      </c>
      <c r="C99" s="1216">
        <f t="shared" si="4"/>
        <v>0</v>
      </c>
      <c r="D99" s="1117"/>
    </row>
    <row r="100" spans="1:4" ht="12" customHeight="1">
      <c r="A100" s="1108" t="s">
        <v>861</v>
      </c>
      <c r="B100" s="1161" t="s">
        <v>862</v>
      </c>
      <c r="C100" s="1216">
        <f t="shared" si="4"/>
        <v>0</v>
      </c>
      <c r="D100" s="1117"/>
    </row>
    <row r="101" spans="1:4" ht="20.25" customHeight="1">
      <c r="A101" s="1108" t="s">
        <v>863</v>
      </c>
      <c r="B101" s="1161" t="s">
        <v>864</v>
      </c>
      <c r="C101" s="1216">
        <f t="shared" si="4"/>
        <v>0</v>
      </c>
      <c r="D101" s="1117"/>
    </row>
    <row r="102" spans="1:4" ht="12" customHeight="1">
      <c r="A102" s="1108" t="s">
        <v>865</v>
      </c>
      <c r="B102" s="1160" t="s">
        <v>866</v>
      </c>
      <c r="C102" s="1216">
        <f t="shared" si="4"/>
        <v>0</v>
      </c>
      <c r="D102" s="1117"/>
    </row>
    <row r="103" spans="1:4" ht="12" customHeight="1">
      <c r="A103" s="1108" t="s">
        <v>867</v>
      </c>
      <c r="B103" s="1160" t="s">
        <v>868</v>
      </c>
      <c r="C103" s="1216">
        <f t="shared" si="4"/>
        <v>0</v>
      </c>
      <c r="D103" s="1117"/>
    </row>
    <row r="104" spans="1:4" ht="12" customHeight="1">
      <c r="A104" s="1108" t="s">
        <v>869</v>
      </c>
      <c r="B104" s="1161" t="s">
        <v>870</v>
      </c>
      <c r="C104" s="1216">
        <f t="shared" si="4"/>
        <v>0</v>
      </c>
      <c r="D104" s="1117"/>
    </row>
    <row r="105" spans="1:4" ht="12" customHeight="1">
      <c r="A105" s="1162" t="s">
        <v>871</v>
      </c>
      <c r="B105" s="1163" t="s">
        <v>872</v>
      </c>
      <c r="C105" s="1216">
        <f t="shared" si="4"/>
        <v>0</v>
      </c>
      <c r="D105" s="1117"/>
    </row>
    <row r="106" spans="1:4" ht="12" customHeight="1">
      <c r="A106" s="1108" t="s">
        <v>873</v>
      </c>
      <c r="B106" s="1163" t="s">
        <v>874</v>
      </c>
      <c r="C106" s="1216">
        <f t="shared" si="4"/>
        <v>0</v>
      </c>
      <c r="D106" s="1117"/>
    </row>
    <row r="107" spans="1:4" ht="12" customHeight="1" thickBot="1">
      <c r="A107" s="1130" t="s">
        <v>875</v>
      </c>
      <c r="B107" s="1164" t="s">
        <v>876</v>
      </c>
      <c r="C107" s="1216">
        <f t="shared" si="4"/>
        <v>0</v>
      </c>
      <c r="D107" s="1166"/>
    </row>
    <row r="108" spans="1:4" ht="12" customHeight="1" thickBot="1">
      <c r="A108" s="1099" t="s">
        <v>707</v>
      </c>
      <c r="B108" s="1167" t="s">
        <v>877</v>
      </c>
      <c r="C108" s="1101">
        <f>+C109+C111+C113</f>
        <v>0</v>
      </c>
      <c r="D108" s="1102">
        <f>+D109+D111+D113</f>
        <v>0</v>
      </c>
    </row>
    <row r="109" spans="1:4" ht="12" customHeight="1">
      <c r="A109" s="1103" t="s">
        <v>709</v>
      </c>
      <c r="B109" s="1156" t="s">
        <v>72</v>
      </c>
      <c r="C109" s="1207">
        <f>SUM(G109:G109)</f>
        <v>0</v>
      </c>
      <c r="D109" s="1115"/>
    </row>
    <row r="110" spans="1:4" ht="12" customHeight="1">
      <c r="A110" s="1103" t="s">
        <v>711</v>
      </c>
      <c r="B110" s="1168" t="s">
        <v>878</v>
      </c>
      <c r="C110" s="1207">
        <f>SUM(G110:G110)</f>
        <v>0</v>
      </c>
      <c r="D110" s="1115"/>
    </row>
    <row r="111" spans="1:4" ht="12" customHeight="1">
      <c r="A111" s="1103" t="s">
        <v>713</v>
      </c>
      <c r="B111" s="1168" t="s">
        <v>172</v>
      </c>
      <c r="C111" s="1207">
        <f>SUM(G111:G111)</f>
        <v>0</v>
      </c>
      <c r="D111" s="1116"/>
    </row>
    <row r="112" spans="1:4" ht="12" customHeight="1">
      <c r="A112" s="1103" t="s">
        <v>715</v>
      </c>
      <c r="B112" s="1168" t="s">
        <v>879</v>
      </c>
      <c r="C112" s="1207">
        <f>SUM(G112:G112)</f>
        <v>0</v>
      </c>
      <c r="D112" s="1116"/>
    </row>
    <row r="113" spans="1:7" ht="12" customHeight="1">
      <c r="A113" s="1103" t="s">
        <v>717</v>
      </c>
      <c r="B113" s="1169" t="s">
        <v>880</v>
      </c>
      <c r="C113" s="1217">
        <f>SUM(C114:C121)</f>
        <v>0</v>
      </c>
      <c r="D113" s="1116">
        <f>SUM(D114:D121)</f>
        <v>0</v>
      </c>
    </row>
    <row r="114" spans="1:7" ht="12" customHeight="1">
      <c r="A114" s="1103" t="s">
        <v>719</v>
      </c>
      <c r="B114" s="1170" t="s">
        <v>881</v>
      </c>
      <c r="C114" s="1217">
        <f t="shared" ref="C114:C121" si="5">SUM(G114:G114)</f>
        <v>0</v>
      </c>
      <c r="D114" s="1116"/>
    </row>
    <row r="115" spans="1:7" ht="12" customHeight="1">
      <c r="A115" s="1103" t="s">
        <v>882</v>
      </c>
      <c r="B115" s="1171" t="s">
        <v>883</v>
      </c>
      <c r="C115" s="1217">
        <f t="shared" si="5"/>
        <v>0</v>
      </c>
      <c r="D115" s="1116"/>
    </row>
    <row r="116" spans="1:7" ht="12" customHeight="1">
      <c r="A116" s="1103" t="s">
        <v>884</v>
      </c>
      <c r="B116" s="1161" t="s">
        <v>864</v>
      </c>
      <c r="C116" s="1217">
        <f t="shared" si="5"/>
        <v>0</v>
      </c>
      <c r="D116" s="1116"/>
    </row>
    <row r="117" spans="1:7" ht="12" customHeight="1">
      <c r="A117" s="1103" t="s">
        <v>885</v>
      </c>
      <c r="B117" s="1161" t="s">
        <v>886</v>
      </c>
      <c r="C117" s="1217">
        <f t="shared" si="5"/>
        <v>0</v>
      </c>
      <c r="D117" s="1116"/>
    </row>
    <row r="118" spans="1:7" ht="12" customHeight="1">
      <c r="A118" s="1103" t="s">
        <v>887</v>
      </c>
      <c r="B118" s="1161" t="s">
        <v>888</v>
      </c>
      <c r="C118" s="1217">
        <f t="shared" si="5"/>
        <v>0</v>
      </c>
      <c r="D118" s="1116"/>
    </row>
    <row r="119" spans="1:7" ht="12" customHeight="1">
      <c r="A119" s="1103" t="s">
        <v>889</v>
      </c>
      <c r="B119" s="1161" t="s">
        <v>870</v>
      </c>
      <c r="C119" s="1217">
        <f t="shared" si="5"/>
        <v>0</v>
      </c>
      <c r="D119" s="1116"/>
    </row>
    <row r="120" spans="1:7" ht="12" customHeight="1">
      <c r="A120" s="1103" t="s">
        <v>890</v>
      </c>
      <c r="B120" s="1161" t="s">
        <v>891</v>
      </c>
      <c r="C120" s="1217">
        <f t="shared" si="5"/>
        <v>0</v>
      </c>
      <c r="D120" s="1116"/>
    </row>
    <row r="121" spans="1:7" ht="12" customHeight="1" thickBot="1">
      <c r="A121" s="1162" t="s">
        <v>892</v>
      </c>
      <c r="B121" s="1161" t="s">
        <v>893</v>
      </c>
      <c r="C121" s="1217">
        <f t="shared" si="5"/>
        <v>0</v>
      </c>
      <c r="D121" s="1117"/>
    </row>
    <row r="122" spans="1:7" ht="12" customHeight="1" thickBot="1">
      <c r="A122" s="1099" t="s">
        <v>721</v>
      </c>
      <c r="B122" s="1172" t="s">
        <v>894</v>
      </c>
      <c r="C122" s="1101">
        <f>+C123+C124</f>
        <v>0</v>
      </c>
      <c r="D122" s="1102">
        <f>+D123+D124</f>
        <v>0</v>
      </c>
    </row>
    <row r="123" spans="1:7" ht="12" customHeight="1">
      <c r="A123" s="1103" t="s">
        <v>723</v>
      </c>
      <c r="B123" s="1173" t="s">
        <v>895</v>
      </c>
      <c r="C123" s="1207">
        <f>SUM(G123:G123)</f>
        <v>0</v>
      </c>
      <c r="D123" s="1115"/>
    </row>
    <row r="124" spans="1:7" ht="12" customHeight="1" thickBot="1">
      <c r="A124" s="1112" t="s">
        <v>725</v>
      </c>
      <c r="B124" s="1168" t="s">
        <v>896</v>
      </c>
      <c r="C124" s="1207">
        <f>SUM(G124:G124)</f>
        <v>0</v>
      </c>
      <c r="D124" s="1117"/>
    </row>
    <row r="125" spans="1:7" ht="12" customHeight="1" thickBot="1">
      <c r="A125" s="1099" t="s">
        <v>897</v>
      </c>
      <c r="B125" s="1172" t="s">
        <v>898</v>
      </c>
      <c r="C125" s="1101">
        <f>+C92+C108+C122</f>
        <v>0</v>
      </c>
      <c r="D125" s="1102">
        <f>+D92+D108+D122</f>
        <v>0</v>
      </c>
    </row>
    <row r="126" spans="1:7" ht="12" customHeight="1" thickBot="1">
      <c r="A126" s="1099" t="s">
        <v>750</v>
      </c>
      <c r="B126" s="1172" t="s">
        <v>899</v>
      </c>
      <c r="C126" s="1101">
        <f>+C127+C128+C129</f>
        <v>0</v>
      </c>
      <c r="D126" s="1102">
        <f>+D127+D128+D129</f>
        <v>0</v>
      </c>
    </row>
    <row r="127" spans="1:7" s="1151" customFormat="1" ht="12" customHeight="1">
      <c r="A127" s="1103" t="s">
        <v>752</v>
      </c>
      <c r="B127" s="1173" t="s">
        <v>900</v>
      </c>
      <c r="C127" s="1217">
        <f>SUM(G127:G127)</f>
        <v>0</v>
      </c>
      <c r="D127" s="1116"/>
      <c r="E127" s="1199"/>
      <c r="F127" s="1199"/>
      <c r="G127" s="1199"/>
    </row>
    <row r="128" spans="1:7" ht="12" customHeight="1">
      <c r="A128" s="1103" t="s">
        <v>754</v>
      </c>
      <c r="B128" s="1173" t="s">
        <v>901</v>
      </c>
      <c r="C128" s="1217">
        <f>SUM(G128:G128)</f>
        <v>0</v>
      </c>
      <c r="D128" s="1116"/>
    </row>
    <row r="129" spans="1:7" ht="12" customHeight="1" thickBot="1">
      <c r="A129" s="1162" t="s">
        <v>756</v>
      </c>
      <c r="B129" s="1175" t="s">
        <v>902</v>
      </c>
      <c r="C129" s="1217">
        <f>SUM(G129:G129)</f>
        <v>0</v>
      </c>
      <c r="D129" s="1116"/>
    </row>
    <row r="130" spans="1:7" ht="12" customHeight="1" thickBot="1">
      <c r="A130" s="1099" t="s">
        <v>772</v>
      </c>
      <c r="B130" s="1172" t="s">
        <v>903</v>
      </c>
      <c r="C130" s="1101">
        <f>+C131+C132+C133+C134</f>
        <v>0</v>
      </c>
      <c r="D130" s="1102">
        <f>+D131+D132+D133+D134</f>
        <v>0</v>
      </c>
    </row>
    <row r="131" spans="1:7" ht="12" customHeight="1">
      <c r="A131" s="1103" t="s">
        <v>774</v>
      </c>
      <c r="B131" s="1173" t="s">
        <v>904</v>
      </c>
      <c r="C131" s="1217">
        <f>SUM(G131:G131)</f>
        <v>0</v>
      </c>
      <c r="D131" s="1116"/>
    </row>
    <row r="132" spans="1:7" ht="12" customHeight="1">
      <c r="A132" s="1103" t="s">
        <v>776</v>
      </c>
      <c r="B132" s="1173" t="s">
        <v>905</v>
      </c>
      <c r="C132" s="1217">
        <f>SUM(G132:G132)</f>
        <v>0</v>
      </c>
      <c r="D132" s="1116"/>
    </row>
    <row r="133" spans="1:7" ht="12" customHeight="1">
      <c r="A133" s="1103" t="s">
        <v>777</v>
      </c>
      <c r="B133" s="1173" t="s">
        <v>906</v>
      </c>
      <c r="C133" s="1217">
        <f>SUM(G133:G133)</f>
        <v>0</v>
      </c>
      <c r="D133" s="1116"/>
    </row>
    <row r="134" spans="1:7" s="1151" customFormat="1" ht="12" customHeight="1" thickBot="1">
      <c r="A134" s="1162" t="s">
        <v>779</v>
      </c>
      <c r="B134" s="1175" t="s">
        <v>907</v>
      </c>
      <c r="C134" s="1217">
        <f>SUM(G134:G134)</f>
        <v>0</v>
      </c>
      <c r="D134" s="1116"/>
      <c r="E134" s="1199"/>
      <c r="F134" s="1199"/>
      <c r="G134" s="1199"/>
    </row>
    <row r="135" spans="1:7" ht="12" customHeight="1" thickBot="1">
      <c r="A135" s="1099" t="s">
        <v>908</v>
      </c>
      <c r="B135" s="1172" t="s">
        <v>909</v>
      </c>
      <c r="C135" s="1118">
        <f>+C136+C137+C138+C139</f>
        <v>68522545</v>
      </c>
      <c r="D135" s="1119">
        <f>+D136+D137+D138+D139</f>
        <v>0</v>
      </c>
    </row>
    <row r="136" spans="1:7">
      <c r="A136" s="1103" t="s">
        <v>785</v>
      </c>
      <c r="B136" s="1173" t="s">
        <v>910</v>
      </c>
      <c r="C136" s="1217">
        <f>SUM(G136:G136)</f>
        <v>68522545</v>
      </c>
      <c r="D136" s="1116"/>
      <c r="G136" s="1199">
        <v>68522545</v>
      </c>
    </row>
    <row r="137" spans="1:7" ht="12" customHeight="1">
      <c r="A137" s="1103" t="s">
        <v>787</v>
      </c>
      <c r="B137" s="1173" t="s">
        <v>911</v>
      </c>
      <c r="C137" s="1217">
        <f>SUM(G137:G137)</f>
        <v>0</v>
      </c>
      <c r="D137" s="1116"/>
    </row>
    <row r="138" spans="1:7" s="1151" customFormat="1" ht="12" customHeight="1">
      <c r="A138" s="1103" t="s">
        <v>789</v>
      </c>
      <c r="B138" s="1173" t="s">
        <v>912</v>
      </c>
      <c r="C138" s="1217">
        <f>SUM(G138:G138)</f>
        <v>0</v>
      </c>
      <c r="D138" s="1116"/>
      <c r="E138" s="1199"/>
      <c r="F138" s="1199"/>
      <c r="G138" s="1199"/>
    </row>
    <row r="139" spans="1:7" s="1151" customFormat="1" ht="12" customHeight="1" thickBot="1">
      <c r="A139" s="1162" t="s">
        <v>791</v>
      </c>
      <c r="B139" s="1175" t="s">
        <v>913</v>
      </c>
      <c r="C139" s="1217">
        <f>SUM(G139:G139)</f>
        <v>0</v>
      </c>
      <c r="D139" s="1116"/>
      <c r="E139" s="1199"/>
      <c r="F139" s="1199"/>
      <c r="G139" s="1199"/>
    </row>
    <row r="140" spans="1:7" s="1151" customFormat="1" ht="12" customHeight="1" thickBot="1">
      <c r="A140" s="1099" t="s">
        <v>793</v>
      </c>
      <c r="B140" s="1172" t="s">
        <v>914</v>
      </c>
      <c r="C140" s="1178">
        <f>+C141+C142+C143+C144</f>
        <v>0</v>
      </c>
      <c r="D140" s="1179">
        <f>+D141+D142+D143+D144</f>
        <v>0</v>
      </c>
      <c r="E140" s="1199"/>
      <c r="F140" s="1199"/>
      <c r="G140" s="1199"/>
    </row>
    <row r="141" spans="1:7" s="1151" customFormat="1" ht="12" customHeight="1">
      <c r="A141" s="1103" t="s">
        <v>795</v>
      </c>
      <c r="B141" s="1173" t="s">
        <v>915</v>
      </c>
      <c r="C141" s="1217">
        <f>SUM(G141:G141)</f>
        <v>0</v>
      </c>
      <c r="D141" s="1116"/>
      <c r="E141" s="1199"/>
      <c r="F141" s="1199"/>
      <c r="G141" s="1199"/>
    </row>
    <row r="142" spans="1:7" s="1151" customFormat="1" ht="12" customHeight="1">
      <c r="A142" s="1103" t="s">
        <v>797</v>
      </c>
      <c r="B142" s="1173" t="s">
        <v>916</v>
      </c>
      <c r="C142" s="1217">
        <f>SUM(G142:G142)</f>
        <v>0</v>
      </c>
      <c r="D142" s="1116"/>
      <c r="E142" s="1199"/>
      <c r="F142" s="1199"/>
      <c r="G142" s="1199"/>
    </row>
    <row r="143" spans="1:7" s="1151" customFormat="1" ht="12" customHeight="1">
      <c r="A143" s="1103" t="s">
        <v>799</v>
      </c>
      <c r="B143" s="1173" t="s">
        <v>917</v>
      </c>
      <c r="C143" s="1217">
        <f>SUM(G143:G143)</f>
        <v>0</v>
      </c>
      <c r="D143" s="1116"/>
      <c r="E143" s="1199"/>
      <c r="F143" s="1199"/>
      <c r="G143" s="1199"/>
    </row>
    <row r="144" spans="1:7" ht="12.75" customHeight="1" thickBot="1">
      <c r="A144" s="1103" t="s">
        <v>801</v>
      </c>
      <c r="B144" s="1173" t="s">
        <v>918</v>
      </c>
      <c r="C144" s="1217">
        <f>SUM(G144:G144)</f>
        <v>0</v>
      </c>
      <c r="D144" s="1116"/>
    </row>
    <row r="145" spans="1:10" ht="12" customHeight="1" thickBot="1">
      <c r="A145" s="1099" t="s">
        <v>803</v>
      </c>
      <c r="B145" s="1172" t="s">
        <v>919</v>
      </c>
      <c r="C145" s="1180">
        <f>+C126+C130+C135+C140</f>
        <v>68522545</v>
      </c>
      <c r="D145" s="1181">
        <f>+D126+D130+D135+D140</f>
        <v>0</v>
      </c>
    </row>
    <row r="146" spans="1:10" s="1219" customFormat="1" ht="15" customHeight="1" thickBot="1">
      <c r="A146" s="1182" t="s">
        <v>920</v>
      </c>
      <c r="B146" s="1183" t="s">
        <v>921</v>
      </c>
      <c r="C146" s="1180">
        <f>+C125+C145</f>
        <v>68522545</v>
      </c>
      <c r="D146" s="1181"/>
      <c r="E146" s="1218">
        <f>SUM(E93:E145)</f>
        <v>0</v>
      </c>
      <c r="F146" s="1218">
        <f>SUM(F93:F145)</f>
        <v>0</v>
      </c>
      <c r="G146" s="1218">
        <f>SUM(G93:G145)</f>
        <v>68522545</v>
      </c>
      <c r="H146" s="1218"/>
      <c r="I146" s="1218"/>
      <c r="J146" s="1218"/>
    </row>
    <row r="147" spans="1:10" ht="13.5" thickBot="1"/>
    <row r="148" spans="1:10" ht="15" customHeight="1" thickBot="1">
      <c r="A148" s="1220" t="s">
        <v>964</v>
      </c>
      <c r="B148" s="1221"/>
      <c r="C148" s="1222">
        <v>0</v>
      </c>
      <c r="D148" s="1223"/>
    </row>
    <row r="149" spans="1:10" ht="14.25" customHeight="1" thickBot="1">
      <c r="A149" s="1220" t="s">
        <v>965</v>
      </c>
      <c r="B149" s="1221"/>
      <c r="C149" s="1222">
        <v>0</v>
      </c>
      <c r="D149" s="1223"/>
    </row>
    <row r="150" spans="1:10">
      <c r="A150" s="1224"/>
    </row>
  </sheetData>
  <sheetProtection password="DCF7" sheet="1" objects="1" scenarios="1" selectLockedCells="1" selectUnlockedCells="1"/>
  <mergeCells count="5">
    <mergeCell ref="A1:D1"/>
    <mergeCell ref="C2:D3"/>
    <mergeCell ref="C4:D4"/>
    <mergeCell ref="A7:D7"/>
    <mergeCell ref="A91:D9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2" manualBreakCount="2">
    <brk id="69" max="3" man="1"/>
    <brk id="8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C000"/>
  </sheetPr>
  <dimension ref="A1:O151"/>
  <sheetViews>
    <sheetView view="pageBreakPreview" zoomScaleNormal="100" zoomScaleSheetLayoutView="100" workbookViewId="0">
      <selection activeCell="C4" sqref="C4:D4"/>
    </sheetView>
  </sheetViews>
  <sheetFormatPr defaultRowHeight="12.75"/>
  <cols>
    <col min="1" max="1" width="16.7109375" style="1190" customWidth="1"/>
    <col min="2" max="2" width="52.5703125" style="1191" customWidth="1"/>
    <col min="3" max="3" width="11" style="1192" customWidth="1"/>
    <col min="4" max="4" width="13.42578125" style="1192" customWidth="1"/>
    <col min="5" max="5" width="11.28515625" style="1199" hidden="1" customWidth="1"/>
    <col min="6" max="6" width="13.85546875" style="1199" hidden="1" customWidth="1"/>
    <col min="7" max="7" width="11" style="1200" hidden="1" customWidth="1"/>
    <col min="8" max="8" width="7.85546875" style="1200" hidden="1" customWidth="1"/>
    <col min="9" max="10" width="11" style="1200" hidden="1" customWidth="1"/>
    <col min="11" max="11" width="11" style="1744" hidden="1" customWidth="1"/>
    <col min="12" max="12" width="9.140625" style="1735" hidden="1" customWidth="1"/>
    <col min="13" max="15" width="9.140625" style="1093" customWidth="1"/>
    <col min="16" max="218" width="9.140625" style="1093"/>
    <col min="219" max="219" width="16.7109375" style="1093" customWidth="1"/>
    <col min="220" max="220" width="52.5703125" style="1093" customWidth="1"/>
    <col min="221" max="221" width="11" style="1093" customWidth="1"/>
    <col min="222" max="222" width="13.42578125" style="1093" customWidth="1"/>
    <col min="223" max="223" width="11.28515625" style="1093" customWidth="1"/>
    <col min="224" max="224" width="10.28515625" style="1093" customWidth="1"/>
    <col min="225" max="225" width="13.85546875" style="1093" customWidth="1"/>
    <col min="226" max="227" width="7.85546875" style="1093" customWidth="1"/>
    <col min="228" max="228" width="10.85546875" style="1093" customWidth="1"/>
    <col min="229" max="229" width="13" style="1093" customWidth="1"/>
    <col min="230" max="230" width="11.42578125" style="1093" customWidth="1"/>
    <col min="231" max="231" width="10" style="1093" customWidth="1"/>
    <col min="232" max="232" width="7.85546875" style="1093" customWidth="1"/>
    <col min="233" max="233" width="10.140625" style="1093" customWidth="1"/>
    <col min="234" max="235" width="7.85546875" style="1093" customWidth="1"/>
    <col min="236" max="236" width="10.85546875" style="1093" customWidth="1"/>
    <col min="237" max="237" width="10.7109375" style="1093" customWidth="1"/>
    <col min="238" max="238" width="11" style="1093" customWidth="1"/>
    <col min="239" max="241" width="7.85546875" style="1093" customWidth="1"/>
    <col min="242" max="242" width="11.28515625" style="1093" customWidth="1"/>
    <col min="243" max="243" width="12.42578125" style="1093" customWidth="1"/>
    <col min="244" max="244" width="11" style="1093" customWidth="1"/>
    <col min="245" max="246" width="7.85546875" style="1093" customWidth="1"/>
    <col min="247" max="247" width="11" style="1093" customWidth="1"/>
    <col min="248" max="248" width="10.5703125" style="1093" customWidth="1"/>
    <col min="249" max="250" width="11" style="1093" customWidth="1"/>
    <col min="251" max="255" width="7.85546875" style="1093" bestFit="1" customWidth="1"/>
    <col min="256" max="256" width="8.42578125" style="1093" bestFit="1" customWidth="1"/>
    <col min="257" max="257" width="11.42578125" style="1093" customWidth="1"/>
    <col min="258" max="258" width="7.85546875" style="1093" bestFit="1" customWidth="1"/>
    <col min="259" max="259" width="9.5703125" style="1093" customWidth="1"/>
    <col min="260" max="260" width="7.85546875" style="1093" bestFit="1" customWidth="1"/>
    <col min="261" max="261" width="12" style="1093" customWidth="1"/>
    <col min="262" max="262" width="13.42578125" style="1093" customWidth="1"/>
    <col min="263" max="263" width="9.5703125" style="1093" bestFit="1" customWidth="1"/>
    <col min="264" max="270" width="9.140625" style="1093" customWidth="1"/>
    <col min="271" max="474" width="9.140625" style="1093"/>
    <col min="475" max="475" width="16.7109375" style="1093" customWidth="1"/>
    <col min="476" max="476" width="52.5703125" style="1093" customWidth="1"/>
    <col min="477" max="477" width="11" style="1093" customWidth="1"/>
    <col min="478" max="478" width="13.42578125" style="1093" customWidth="1"/>
    <col min="479" max="479" width="11.28515625" style="1093" customWidth="1"/>
    <col min="480" max="480" width="10.28515625" style="1093" customWidth="1"/>
    <col min="481" max="481" width="13.85546875" style="1093" customWidth="1"/>
    <col min="482" max="483" width="7.85546875" style="1093" customWidth="1"/>
    <col min="484" max="484" width="10.85546875" style="1093" customWidth="1"/>
    <col min="485" max="485" width="13" style="1093" customWidth="1"/>
    <col min="486" max="486" width="11.42578125" style="1093" customWidth="1"/>
    <col min="487" max="487" width="10" style="1093" customWidth="1"/>
    <col min="488" max="488" width="7.85546875" style="1093" customWidth="1"/>
    <col min="489" max="489" width="10.140625" style="1093" customWidth="1"/>
    <col min="490" max="491" width="7.85546875" style="1093" customWidth="1"/>
    <col min="492" max="492" width="10.85546875" style="1093" customWidth="1"/>
    <col min="493" max="493" width="10.7109375" style="1093" customWidth="1"/>
    <col min="494" max="494" width="11" style="1093" customWidth="1"/>
    <col min="495" max="497" width="7.85546875" style="1093" customWidth="1"/>
    <col min="498" max="498" width="11.28515625" style="1093" customWidth="1"/>
    <col min="499" max="499" width="12.42578125" style="1093" customWidth="1"/>
    <col min="500" max="500" width="11" style="1093" customWidth="1"/>
    <col min="501" max="502" width="7.85546875" style="1093" customWidth="1"/>
    <col min="503" max="503" width="11" style="1093" customWidth="1"/>
    <col min="504" max="504" width="10.5703125" style="1093" customWidth="1"/>
    <col min="505" max="506" width="11" style="1093" customWidth="1"/>
    <col min="507" max="511" width="7.85546875" style="1093" bestFit="1" customWidth="1"/>
    <col min="512" max="512" width="8.42578125" style="1093" bestFit="1" customWidth="1"/>
    <col min="513" max="513" width="11.42578125" style="1093" customWidth="1"/>
    <col min="514" max="514" width="7.85546875" style="1093" bestFit="1" customWidth="1"/>
    <col min="515" max="515" width="9.5703125" style="1093" customWidth="1"/>
    <col min="516" max="516" width="7.85546875" style="1093" bestFit="1" customWidth="1"/>
    <col min="517" max="517" width="12" style="1093" customWidth="1"/>
    <col min="518" max="518" width="13.42578125" style="1093" customWidth="1"/>
    <col min="519" max="519" width="9.5703125" style="1093" bestFit="1" customWidth="1"/>
    <col min="520" max="526" width="9.140625" style="1093" customWidth="1"/>
    <col min="527" max="730" width="9.140625" style="1093"/>
    <col min="731" max="731" width="16.7109375" style="1093" customWidth="1"/>
    <col min="732" max="732" width="52.5703125" style="1093" customWidth="1"/>
    <col min="733" max="733" width="11" style="1093" customWidth="1"/>
    <col min="734" max="734" width="13.42578125" style="1093" customWidth="1"/>
    <col min="735" max="735" width="11.28515625" style="1093" customWidth="1"/>
    <col min="736" max="736" width="10.28515625" style="1093" customWidth="1"/>
    <col min="737" max="737" width="13.85546875" style="1093" customWidth="1"/>
    <col min="738" max="739" width="7.85546875" style="1093" customWidth="1"/>
    <col min="740" max="740" width="10.85546875" style="1093" customWidth="1"/>
    <col min="741" max="741" width="13" style="1093" customWidth="1"/>
    <col min="742" max="742" width="11.42578125" style="1093" customWidth="1"/>
    <col min="743" max="743" width="10" style="1093" customWidth="1"/>
    <col min="744" max="744" width="7.85546875" style="1093" customWidth="1"/>
    <col min="745" max="745" width="10.140625" style="1093" customWidth="1"/>
    <col min="746" max="747" width="7.85546875" style="1093" customWidth="1"/>
    <col min="748" max="748" width="10.85546875" style="1093" customWidth="1"/>
    <col min="749" max="749" width="10.7109375" style="1093" customWidth="1"/>
    <col min="750" max="750" width="11" style="1093" customWidth="1"/>
    <col min="751" max="753" width="7.85546875" style="1093" customWidth="1"/>
    <col min="754" max="754" width="11.28515625" style="1093" customWidth="1"/>
    <col min="755" max="755" width="12.42578125" style="1093" customWidth="1"/>
    <col min="756" max="756" width="11" style="1093" customWidth="1"/>
    <col min="757" max="758" width="7.85546875" style="1093" customWidth="1"/>
    <col min="759" max="759" width="11" style="1093" customWidth="1"/>
    <col min="760" max="760" width="10.5703125" style="1093" customWidth="1"/>
    <col min="761" max="762" width="11" style="1093" customWidth="1"/>
    <col min="763" max="767" width="7.85546875" style="1093" bestFit="1" customWidth="1"/>
    <col min="768" max="768" width="8.42578125" style="1093" bestFit="1" customWidth="1"/>
    <col min="769" max="769" width="11.42578125" style="1093" customWidth="1"/>
    <col min="770" max="770" width="7.85546875" style="1093" bestFit="1" customWidth="1"/>
    <col min="771" max="771" width="9.5703125" style="1093" customWidth="1"/>
    <col min="772" max="772" width="7.85546875" style="1093" bestFit="1" customWidth="1"/>
    <col min="773" max="773" width="12" style="1093" customWidth="1"/>
    <col min="774" max="774" width="13.42578125" style="1093" customWidth="1"/>
    <col min="775" max="775" width="9.5703125" style="1093" bestFit="1" customWidth="1"/>
    <col min="776" max="782" width="9.140625" style="1093" customWidth="1"/>
    <col min="783" max="986" width="9.140625" style="1093"/>
    <col min="987" max="987" width="16.7109375" style="1093" customWidth="1"/>
    <col min="988" max="988" width="52.5703125" style="1093" customWidth="1"/>
    <col min="989" max="989" width="11" style="1093" customWidth="1"/>
    <col min="990" max="990" width="13.42578125" style="1093" customWidth="1"/>
    <col min="991" max="991" width="11.28515625" style="1093" customWidth="1"/>
    <col min="992" max="992" width="10.28515625" style="1093" customWidth="1"/>
    <col min="993" max="993" width="13.85546875" style="1093" customWidth="1"/>
    <col min="994" max="995" width="7.85546875" style="1093" customWidth="1"/>
    <col min="996" max="996" width="10.85546875" style="1093" customWidth="1"/>
    <col min="997" max="997" width="13" style="1093" customWidth="1"/>
    <col min="998" max="998" width="11.42578125" style="1093" customWidth="1"/>
    <col min="999" max="999" width="10" style="1093" customWidth="1"/>
    <col min="1000" max="1000" width="7.85546875" style="1093" customWidth="1"/>
    <col min="1001" max="1001" width="10.140625" style="1093" customWidth="1"/>
    <col min="1002" max="1003" width="7.85546875" style="1093" customWidth="1"/>
    <col min="1004" max="1004" width="10.85546875" style="1093" customWidth="1"/>
    <col min="1005" max="1005" width="10.7109375" style="1093" customWidth="1"/>
    <col min="1006" max="1006" width="11" style="1093" customWidth="1"/>
    <col min="1007" max="1009" width="7.85546875" style="1093" customWidth="1"/>
    <col min="1010" max="1010" width="11.28515625" style="1093" customWidth="1"/>
    <col min="1011" max="1011" width="12.42578125" style="1093" customWidth="1"/>
    <col min="1012" max="1012" width="11" style="1093" customWidth="1"/>
    <col min="1013" max="1014" width="7.85546875" style="1093" customWidth="1"/>
    <col min="1015" max="1015" width="11" style="1093" customWidth="1"/>
    <col min="1016" max="1016" width="10.5703125" style="1093" customWidth="1"/>
    <col min="1017" max="1018" width="11" style="1093" customWidth="1"/>
    <col min="1019" max="1023" width="7.85546875" style="1093" bestFit="1" customWidth="1"/>
    <col min="1024" max="1024" width="8.42578125" style="1093" bestFit="1" customWidth="1"/>
    <col min="1025" max="1025" width="11.42578125" style="1093" customWidth="1"/>
    <col min="1026" max="1026" width="7.85546875" style="1093" bestFit="1" customWidth="1"/>
    <col min="1027" max="1027" width="9.5703125" style="1093" customWidth="1"/>
    <col min="1028" max="1028" width="7.85546875" style="1093" bestFit="1" customWidth="1"/>
    <col min="1029" max="1029" width="12" style="1093" customWidth="1"/>
    <col min="1030" max="1030" width="13.42578125" style="1093" customWidth="1"/>
    <col min="1031" max="1031" width="9.5703125" style="1093" bestFit="1" customWidth="1"/>
    <col min="1032" max="1038" width="9.140625" style="1093" customWidth="1"/>
    <col min="1039" max="1242" width="9.140625" style="1093"/>
    <col min="1243" max="1243" width="16.7109375" style="1093" customWidth="1"/>
    <col min="1244" max="1244" width="52.5703125" style="1093" customWidth="1"/>
    <col min="1245" max="1245" width="11" style="1093" customWidth="1"/>
    <col min="1246" max="1246" width="13.42578125" style="1093" customWidth="1"/>
    <col min="1247" max="1247" width="11.28515625" style="1093" customWidth="1"/>
    <col min="1248" max="1248" width="10.28515625" style="1093" customWidth="1"/>
    <col min="1249" max="1249" width="13.85546875" style="1093" customWidth="1"/>
    <col min="1250" max="1251" width="7.85546875" style="1093" customWidth="1"/>
    <col min="1252" max="1252" width="10.85546875" style="1093" customWidth="1"/>
    <col min="1253" max="1253" width="13" style="1093" customWidth="1"/>
    <col min="1254" max="1254" width="11.42578125" style="1093" customWidth="1"/>
    <col min="1255" max="1255" width="10" style="1093" customWidth="1"/>
    <col min="1256" max="1256" width="7.85546875" style="1093" customWidth="1"/>
    <col min="1257" max="1257" width="10.140625" style="1093" customWidth="1"/>
    <col min="1258" max="1259" width="7.85546875" style="1093" customWidth="1"/>
    <col min="1260" max="1260" width="10.85546875" style="1093" customWidth="1"/>
    <col min="1261" max="1261" width="10.7109375" style="1093" customWidth="1"/>
    <col min="1262" max="1262" width="11" style="1093" customWidth="1"/>
    <col min="1263" max="1265" width="7.85546875" style="1093" customWidth="1"/>
    <col min="1266" max="1266" width="11.28515625" style="1093" customWidth="1"/>
    <col min="1267" max="1267" width="12.42578125" style="1093" customWidth="1"/>
    <col min="1268" max="1268" width="11" style="1093" customWidth="1"/>
    <col min="1269" max="1270" width="7.85546875" style="1093" customWidth="1"/>
    <col min="1271" max="1271" width="11" style="1093" customWidth="1"/>
    <col min="1272" max="1272" width="10.5703125" style="1093" customWidth="1"/>
    <col min="1273" max="1274" width="11" style="1093" customWidth="1"/>
    <col min="1275" max="1279" width="7.85546875" style="1093" bestFit="1" customWidth="1"/>
    <col min="1280" max="1280" width="8.42578125" style="1093" bestFit="1" customWidth="1"/>
    <col min="1281" max="1281" width="11.42578125" style="1093" customWidth="1"/>
    <col min="1282" max="1282" width="7.85546875" style="1093" bestFit="1" customWidth="1"/>
    <col min="1283" max="1283" width="9.5703125" style="1093" customWidth="1"/>
    <col min="1284" max="1284" width="7.85546875" style="1093" bestFit="1" customWidth="1"/>
    <col min="1285" max="1285" width="12" style="1093" customWidth="1"/>
    <col min="1286" max="1286" width="13.42578125" style="1093" customWidth="1"/>
    <col min="1287" max="1287" width="9.5703125" style="1093" bestFit="1" customWidth="1"/>
    <col min="1288" max="1294" width="9.140625" style="1093" customWidth="1"/>
    <col min="1295" max="1498" width="9.140625" style="1093"/>
    <col min="1499" max="1499" width="16.7109375" style="1093" customWidth="1"/>
    <col min="1500" max="1500" width="52.5703125" style="1093" customWidth="1"/>
    <col min="1501" max="1501" width="11" style="1093" customWidth="1"/>
    <col min="1502" max="1502" width="13.42578125" style="1093" customWidth="1"/>
    <col min="1503" max="1503" width="11.28515625" style="1093" customWidth="1"/>
    <col min="1504" max="1504" width="10.28515625" style="1093" customWidth="1"/>
    <col min="1505" max="1505" width="13.85546875" style="1093" customWidth="1"/>
    <col min="1506" max="1507" width="7.85546875" style="1093" customWidth="1"/>
    <col min="1508" max="1508" width="10.85546875" style="1093" customWidth="1"/>
    <col min="1509" max="1509" width="13" style="1093" customWidth="1"/>
    <col min="1510" max="1510" width="11.42578125" style="1093" customWidth="1"/>
    <col min="1511" max="1511" width="10" style="1093" customWidth="1"/>
    <col min="1512" max="1512" width="7.85546875" style="1093" customWidth="1"/>
    <col min="1513" max="1513" width="10.140625" style="1093" customWidth="1"/>
    <col min="1514" max="1515" width="7.85546875" style="1093" customWidth="1"/>
    <col min="1516" max="1516" width="10.85546875" style="1093" customWidth="1"/>
    <col min="1517" max="1517" width="10.7109375" style="1093" customWidth="1"/>
    <col min="1518" max="1518" width="11" style="1093" customWidth="1"/>
    <col min="1519" max="1521" width="7.85546875" style="1093" customWidth="1"/>
    <col min="1522" max="1522" width="11.28515625" style="1093" customWidth="1"/>
    <col min="1523" max="1523" width="12.42578125" style="1093" customWidth="1"/>
    <col min="1524" max="1524" width="11" style="1093" customWidth="1"/>
    <col min="1525" max="1526" width="7.85546875" style="1093" customWidth="1"/>
    <col min="1527" max="1527" width="11" style="1093" customWidth="1"/>
    <col min="1528" max="1528" width="10.5703125" style="1093" customWidth="1"/>
    <col min="1529" max="1530" width="11" style="1093" customWidth="1"/>
    <col min="1531" max="1535" width="7.85546875" style="1093" bestFit="1" customWidth="1"/>
    <col min="1536" max="1536" width="8.42578125" style="1093" bestFit="1" customWidth="1"/>
    <col min="1537" max="1537" width="11.42578125" style="1093" customWidth="1"/>
    <col min="1538" max="1538" width="7.85546875" style="1093" bestFit="1" customWidth="1"/>
    <col min="1539" max="1539" width="9.5703125" style="1093" customWidth="1"/>
    <col min="1540" max="1540" width="7.85546875" style="1093" bestFit="1" customWidth="1"/>
    <col min="1541" max="1541" width="12" style="1093" customWidth="1"/>
    <col min="1542" max="1542" width="13.42578125" style="1093" customWidth="1"/>
    <col min="1543" max="1543" width="9.5703125" style="1093" bestFit="1" customWidth="1"/>
    <col min="1544" max="1550" width="9.140625" style="1093" customWidth="1"/>
    <col min="1551" max="1754" width="9.140625" style="1093"/>
    <col min="1755" max="1755" width="16.7109375" style="1093" customWidth="1"/>
    <col min="1756" max="1756" width="52.5703125" style="1093" customWidth="1"/>
    <col min="1757" max="1757" width="11" style="1093" customWidth="1"/>
    <col min="1758" max="1758" width="13.42578125" style="1093" customWidth="1"/>
    <col min="1759" max="1759" width="11.28515625" style="1093" customWidth="1"/>
    <col min="1760" max="1760" width="10.28515625" style="1093" customWidth="1"/>
    <col min="1761" max="1761" width="13.85546875" style="1093" customWidth="1"/>
    <col min="1762" max="1763" width="7.85546875" style="1093" customWidth="1"/>
    <col min="1764" max="1764" width="10.85546875" style="1093" customWidth="1"/>
    <col min="1765" max="1765" width="13" style="1093" customWidth="1"/>
    <col min="1766" max="1766" width="11.42578125" style="1093" customWidth="1"/>
    <col min="1767" max="1767" width="10" style="1093" customWidth="1"/>
    <col min="1768" max="1768" width="7.85546875" style="1093" customWidth="1"/>
    <col min="1769" max="1769" width="10.140625" style="1093" customWidth="1"/>
    <col min="1770" max="1771" width="7.85546875" style="1093" customWidth="1"/>
    <col min="1772" max="1772" width="10.85546875" style="1093" customWidth="1"/>
    <col min="1773" max="1773" width="10.7109375" style="1093" customWidth="1"/>
    <col min="1774" max="1774" width="11" style="1093" customWidth="1"/>
    <col min="1775" max="1777" width="7.85546875" style="1093" customWidth="1"/>
    <col min="1778" max="1778" width="11.28515625" style="1093" customWidth="1"/>
    <col min="1779" max="1779" width="12.42578125" style="1093" customWidth="1"/>
    <col min="1780" max="1780" width="11" style="1093" customWidth="1"/>
    <col min="1781" max="1782" width="7.85546875" style="1093" customWidth="1"/>
    <col min="1783" max="1783" width="11" style="1093" customWidth="1"/>
    <col min="1784" max="1784" width="10.5703125" style="1093" customWidth="1"/>
    <col min="1785" max="1786" width="11" style="1093" customWidth="1"/>
    <col min="1787" max="1791" width="7.85546875" style="1093" bestFit="1" customWidth="1"/>
    <col min="1792" max="1792" width="8.42578125" style="1093" bestFit="1" customWidth="1"/>
    <col min="1793" max="1793" width="11.42578125" style="1093" customWidth="1"/>
    <col min="1794" max="1794" width="7.85546875" style="1093" bestFit="1" customWidth="1"/>
    <col min="1795" max="1795" width="9.5703125" style="1093" customWidth="1"/>
    <col min="1796" max="1796" width="7.85546875" style="1093" bestFit="1" customWidth="1"/>
    <col min="1797" max="1797" width="12" style="1093" customWidth="1"/>
    <col min="1798" max="1798" width="13.42578125" style="1093" customWidth="1"/>
    <col min="1799" max="1799" width="9.5703125" style="1093" bestFit="1" customWidth="1"/>
    <col min="1800" max="1806" width="9.140625" style="1093" customWidth="1"/>
    <col min="1807" max="2010" width="9.140625" style="1093"/>
    <col min="2011" max="2011" width="16.7109375" style="1093" customWidth="1"/>
    <col min="2012" max="2012" width="52.5703125" style="1093" customWidth="1"/>
    <col min="2013" max="2013" width="11" style="1093" customWidth="1"/>
    <col min="2014" max="2014" width="13.42578125" style="1093" customWidth="1"/>
    <col min="2015" max="2015" width="11.28515625" style="1093" customWidth="1"/>
    <col min="2016" max="2016" width="10.28515625" style="1093" customWidth="1"/>
    <col min="2017" max="2017" width="13.85546875" style="1093" customWidth="1"/>
    <col min="2018" max="2019" width="7.85546875" style="1093" customWidth="1"/>
    <col min="2020" max="2020" width="10.85546875" style="1093" customWidth="1"/>
    <col min="2021" max="2021" width="13" style="1093" customWidth="1"/>
    <col min="2022" max="2022" width="11.42578125" style="1093" customWidth="1"/>
    <col min="2023" max="2023" width="10" style="1093" customWidth="1"/>
    <col min="2024" max="2024" width="7.85546875" style="1093" customWidth="1"/>
    <col min="2025" max="2025" width="10.140625" style="1093" customWidth="1"/>
    <col min="2026" max="2027" width="7.85546875" style="1093" customWidth="1"/>
    <col min="2028" max="2028" width="10.85546875" style="1093" customWidth="1"/>
    <col min="2029" max="2029" width="10.7109375" style="1093" customWidth="1"/>
    <col min="2030" max="2030" width="11" style="1093" customWidth="1"/>
    <col min="2031" max="2033" width="7.85546875" style="1093" customWidth="1"/>
    <col min="2034" max="2034" width="11.28515625" style="1093" customWidth="1"/>
    <col min="2035" max="2035" width="12.42578125" style="1093" customWidth="1"/>
    <col min="2036" max="2036" width="11" style="1093" customWidth="1"/>
    <col min="2037" max="2038" width="7.85546875" style="1093" customWidth="1"/>
    <col min="2039" max="2039" width="11" style="1093" customWidth="1"/>
    <col min="2040" max="2040" width="10.5703125" style="1093" customWidth="1"/>
    <col min="2041" max="2042" width="11" style="1093" customWidth="1"/>
    <col min="2043" max="2047" width="7.85546875" style="1093" bestFit="1" customWidth="1"/>
    <col min="2048" max="2048" width="8.42578125" style="1093" bestFit="1" customWidth="1"/>
    <col min="2049" max="2049" width="11.42578125" style="1093" customWidth="1"/>
    <col min="2050" max="2050" width="7.85546875" style="1093" bestFit="1" customWidth="1"/>
    <col min="2051" max="2051" width="9.5703125" style="1093" customWidth="1"/>
    <col min="2052" max="2052" width="7.85546875" style="1093" bestFit="1" customWidth="1"/>
    <col min="2053" max="2053" width="12" style="1093" customWidth="1"/>
    <col min="2054" max="2054" width="13.42578125" style="1093" customWidth="1"/>
    <col min="2055" max="2055" width="9.5703125" style="1093" bestFit="1" customWidth="1"/>
    <col min="2056" max="2062" width="9.140625" style="1093" customWidth="1"/>
    <col min="2063" max="2266" width="9.140625" style="1093"/>
    <col min="2267" max="2267" width="16.7109375" style="1093" customWidth="1"/>
    <col min="2268" max="2268" width="52.5703125" style="1093" customWidth="1"/>
    <col min="2269" max="2269" width="11" style="1093" customWidth="1"/>
    <col min="2270" max="2270" width="13.42578125" style="1093" customWidth="1"/>
    <col min="2271" max="2271" width="11.28515625" style="1093" customWidth="1"/>
    <col min="2272" max="2272" width="10.28515625" style="1093" customWidth="1"/>
    <col min="2273" max="2273" width="13.85546875" style="1093" customWidth="1"/>
    <col min="2274" max="2275" width="7.85546875" style="1093" customWidth="1"/>
    <col min="2276" max="2276" width="10.85546875" style="1093" customWidth="1"/>
    <col min="2277" max="2277" width="13" style="1093" customWidth="1"/>
    <col min="2278" max="2278" width="11.42578125" style="1093" customWidth="1"/>
    <col min="2279" max="2279" width="10" style="1093" customWidth="1"/>
    <col min="2280" max="2280" width="7.85546875" style="1093" customWidth="1"/>
    <col min="2281" max="2281" width="10.140625" style="1093" customWidth="1"/>
    <col min="2282" max="2283" width="7.85546875" style="1093" customWidth="1"/>
    <col min="2284" max="2284" width="10.85546875" style="1093" customWidth="1"/>
    <col min="2285" max="2285" width="10.7109375" style="1093" customWidth="1"/>
    <col min="2286" max="2286" width="11" style="1093" customWidth="1"/>
    <col min="2287" max="2289" width="7.85546875" style="1093" customWidth="1"/>
    <col min="2290" max="2290" width="11.28515625" style="1093" customWidth="1"/>
    <col min="2291" max="2291" width="12.42578125" style="1093" customWidth="1"/>
    <col min="2292" max="2292" width="11" style="1093" customWidth="1"/>
    <col min="2293" max="2294" width="7.85546875" style="1093" customWidth="1"/>
    <col min="2295" max="2295" width="11" style="1093" customWidth="1"/>
    <col min="2296" max="2296" width="10.5703125" style="1093" customWidth="1"/>
    <col min="2297" max="2298" width="11" style="1093" customWidth="1"/>
    <col min="2299" max="2303" width="7.85546875" style="1093" bestFit="1" customWidth="1"/>
    <col min="2304" max="2304" width="8.42578125" style="1093" bestFit="1" customWidth="1"/>
    <col min="2305" max="2305" width="11.42578125" style="1093" customWidth="1"/>
    <col min="2306" max="2306" width="7.85546875" style="1093" bestFit="1" customWidth="1"/>
    <col min="2307" max="2307" width="9.5703125" style="1093" customWidth="1"/>
    <col min="2308" max="2308" width="7.85546875" style="1093" bestFit="1" customWidth="1"/>
    <col min="2309" max="2309" width="12" style="1093" customWidth="1"/>
    <col min="2310" max="2310" width="13.42578125" style="1093" customWidth="1"/>
    <col min="2311" max="2311" width="9.5703125" style="1093" bestFit="1" customWidth="1"/>
    <col min="2312" max="2318" width="9.140625" style="1093" customWidth="1"/>
    <col min="2319" max="2522" width="9.140625" style="1093"/>
    <col min="2523" max="2523" width="16.7109375" style="1093" customWidth="1"/>
    <col min="2524" max="2524" width="52.5703125" style="1093" customWidth="1"/>
    <col min="2525" max="2525" width="11" style="1093" customWidth="1"/>
    <col min="2526" max="2526" width="13.42578125" style="1093" customWidth="1"/>
    <col min="2527" max="2527" width="11.28515625" style="1093" customWidth="1"/>
    <col min="2528" max="2528" width="10.28515625" style="1093" customWidth="1"/>
    <col min="2529" max="2529" width="13.85546875" style="1093" customWidth="1"/>
    <col min="2530" max="2531" width="7.85546875" style="1093" customWidth="1"/>
    <col min="2532" max="2532" width="10.85546875" style="1093" customWidth="1"/>
    <col min="2533" max="2533" width="13" style="1093" customWidth="1"/>
    <col min="2534" max="2534" width="11.42578125" style="1093" customWidth="1"/>
    <col min="2535" max="2535" width="10" style="1093" customWidth="1"/>
    <col min="2536" max="2536" width="7.85546875" style="1093" customWidth="1"/>
    <col min="2537" max="2537" width="10.140625" style="1093" customWidth="1"/>
    <col min="2538" max="2539" width="7.85546875" style="1093" customWidth="1"/>
    <col min="2540" max="2540" width="10.85546875" style="1093" customWidth="1"/>
    <col min="2541" max="2541" width="10.7109375" style="1093" customWidth="1"/>
    <col min="2542" max="2542" width="11" style="1093" customWidth="1"/>
    <col min="2543" max="2545" width="7.85546875" style="1093" customWidth="1"/>
    <col min="2546" max="2546" width="11.28515625" style="1093" customWidth="1"/>
    <col min="2547" max="2547" width="12.42578125" style="1093" customWidth="1"/>
    <col min="2548" max="2548" width="11" style="1093" customWidth="1"/>
    <col min="2549" max="2550" width="7.85546875" style="1093" customWidth="1"/>
    <col min="2551" max="2551" width="11" style="1093" customWidth="1"/>
    <col min="2552" max="2552" width="10.5703125" style="1093" customWidth="1"/>
    <col min="2553" max="2554" width="11" style="1093" customWidth="1"/>
    <col min="2555" max="2559" width="7.85546875" style="1093" bestFit="1" customWidth="1"/>
    <col min="2560" max="2560" width="8.42578125" style="1093" bestFit="1" customWidth="1"/>
    <col min="2561" max="2561" width="11.42578125" style="1093" customWidth="1"/>
    <col min="2562" max="2562" width="7.85546875" style="1093" bestFit="1" customWidth="1"/>
    <col min="2563" max="2563" width="9.5703125" style="1093" customWidth="1"/>
    <col min="2564" max="2564" width="7.85546875" style="1093" bestFit="1" customWidth="1"/>
    <col min="2565" max="2565" width="12" style="1093" customWidth="1"/>
    <col min="2566" max="2566" width="13.42578125" style="1093" customWidth="1"/>
    <col min="2567" max="2567" width="9.5703125" style="1093" bestFit="1" customWidth="1"/>
    <col min="2568" max="2574" width="9.140625" style="1093" customWidth="1"/>
    <col min="2575" max="2778" width="9.140625" style="1093"/>
    <col min="2779" max="2779" width="16.7109375" style="1093" customWidth="1"/>
    <col min="2780" max="2780" width="52.5703125" style="1093" customWidth="1"/>
    <col min="2781" max="2781" width="11" style="1093" customWidth="1"/>
    <col min="2782" max="2782" width="13.42578125" style="1093" customWidth="1"/>
    <col min="2783" max="2783" width="11.28515625" style="1093" customWidth="1"/>
    <col min="2784" max="2784" width="10.28515625" style="1093" customWidth="1"/>
    <col min="2785" max="2785" width="13.85546875" style="1093" customWidth="1"/>
    <col min="2786" max="2787" width="7.85546875" style="1093" customWidth="1"/>
    <col min="2788" max="2788" width="10.85546875" style="1093" customWidth="1"/>
    <col min="2789" max="2789" width="13" style="1093" customWidth="1"/>
    <col min="2790" max="2790" width="11.42578125" style="1093" customWidth="1"/>
    <col min="2791" max="2791" width="10" style="1093" customWidth="1"/>
    <col min="2792" max="2792" width="7.85546875" style="1093" customWidth="1"/>
    <col min="2793" max="2793" width="10.140625" style="1093" customWidth="1"/>
    <col min="2794" max="2795" width="7.85546875" style="1093" customWidth="1"/>
    <col min="2796" max="2796" width="10.85546875" style="1093" customWidth="1"/>
    <col min="2797" max="2797" width="10.7109375" style="1093" customWidth="1"/>
    <col min="2798" max="2798" width="11" style="1093" customWidth="1"/>
    <col min="2799" max="2801" width="7.85546875" style="1093" customWidth="1"/>
    <col min="2802" max="2802" width="11.28515625" style="1093" customWidth="1"/>
    <col min="2803" max="2803" width="12.42578125" style="1093" customWidth="1"/>
    <col min="2804" max="2804" width="11" style="1093" customWidth="1"/>
    <col min="2805" max="2806" width="7.85546875" style="1093" customWidth="1"/>
    <col min="2807" max="2807" width="11" style="1093" customWidth="1"/>
    <col min="2808" max="2808" width="10.5703125" style="1093" customWidth="1"/>
    <col min="2809" max="2810" width="11" style="1093" customWidth="1"/>
    <col min="2811" max="2815" width="7.85546875" style="1093" bestFit="1" customWidth="1"/>
    <col min="2816" max="2816" width="8.42578125" style="1093" bestFit="1" customWidth="1"/>
    <col min="2817" max="2817" width="11.42578125" style="1093" customWidth="1"/>
    <col min="2818" max="2818" width="7.85546875" style="1093" bestFit="1" customWidth="1"/>
    <col min="2819" max="2819" width="9.5703125" style="1093" customWidth="1"/>
    <col min="2820" max="2820" width="7.85546875" style="1093" bestFit="1" customWidth="1"/>
    <col min="2821" max="2821" width="12" style="1093" customWidth="1"/>
    <col min="2822" max="2822" width="13.42578125" style="1093" customWidth="1"/>
    <col min="2823" max="2823" width="9.5703125" style="1093" bestFit="1" customWidth="1"/>
    <col min="2824" max="2830" width="9.140625" style="1093" customWidth="1"/>
    <col min="2831" max="3034" width="9.140625" style="1093"/>
    <col min="3035" max="3035" width="16.7109375" style="1093" customWidth="1"/>
    <col min="3036" max="3036" width="52.5703125" style="1093" customWidth="1"/>
    <col min="3037" max="3037" width="11" style="1093" customWidth="1"/>
    <col min="3038" max="3038" width="13.42578125" style="1093" customWidth="1"/>
    <col min="3039" max="3039" width="11.28515625" style="1093" customWidth="1"/>
    <col min="3040" max="3040" width="10.28515625" style="1093" customWidth="1"/>
    <col min="3041" max="3041" width="13.85546875" style="1093" customWidth="1"/>
    <col min="3042" max="3043" width="7.85546875" style="1093" customWidth="1"/>
    <col min="3044" max="3044" width="10.85546875" style="1093" customWidth="1"/>
    <col min="3045" max="3045" width="13" style="1093" customWidth="1"/>
    <col min="3046" max="3046" width="11.42578125" style="1093" customWidth="1"/>
    <col min="3047" max="3047" width="10" style="1093" customWidth="1"/>
    <col min="3048" max="3048" width="7.85546875" style="1093" customWidth="1"/>
    <col min="3049" max="3049" width="10.140625" style="1093" customWidth="1"/>
    <col min="3050" max="3051" width="7.85546875" style="1093" customWidth="1"/>
    <col min="3052" max="3052" width="10.85546875" style="1093" customWidth="1"/>
    <col min="3053" max="3053" width="10.7109375" style="1093" customWidth="1"/>
    <col min="3054" max="3054" width="11" style="1093" customWidth="1"/>
    <col min="3055" max="3057" width="7.85546875" style="1093" customWidth="1"/>
    <col min="3058" max="3058" width="11.28515625" style="1093" customWidth="1"/>
    <col min="3059" max="3059" width="12.42578125" style="1093" customWidth="1"/>
    <col min="3060" max="3060" width="11" style="1093" customWidth="1"/>
    <col min="3061" max="3062" width="7.85546875" style="1093" customWidth="1"/>
    <col min="3063" max="3063" width="11" style="1093" customWidth="1"/>
    <col min="3064" max="3064" width="10.5703125" style="1093" customWidth="1"/>
    <col min="3065" max="3066" width="11" style="1093" customWidth="1"/>
    <col min="3067" max="3071" width="7.85546875" style="1093" bestFit="1" customWidth="1"/>
    <col min="3072" max="3072" width="8.42578125" style="1093" bestFit="1" customWidth="1"/>
    <col min="3073" max="3073" width="11.42578125" style="1093" customWidth="1"/>
    <col min="3074" max="3074" width="7.85546875" style="1093" bestFit="1" customWidth="1"/>
    <col min="3075" max="3075" width="9.5703125" style="1093" customWidth="1"/>
    <col min="3076" max="3076" width="7.85546875" style="1093" bestFit="1" customWidth="1"/>
    <col min="3077" max="3077" width="12" style="1093" customWidth="1"/>
    <col min="3078" max="3078" width="13.42578125" style="1093" customWidth="1"/>
    <col min="3079" max="3079" width="9.5703125" style="1093" bestFit="1" customWidth="1"/>
    <col min="3080" max="3086" width="9.140625" style="1093" customWidth="1"/>
    <col min="3087" max="3290" width="9.140625" style="1093"/>
    <col min="3291" max="3291" width="16.7109375" style="1093" customWidth="1"/>
    <col min="3292" max="3292" width="52.5703125" style="1093" customWidth="1"/>
    <col min="3293" max="3293" width="11" style="1093" customWidth="1"/>
    <col min="3294" max="3294" width="13.42578125" style="1093" customWidth="1"/>
    <col min="3295" max="3295" width="11.28515625" style="1093" customWidth="1"/>
    <col min="3296" max="3296" width="10.28515625" style="1093" customWidth="1"/>
    <col min="3297" max="3297" width="13.85546875" style="1093" customWidth="1"/>
    <col min="3298" max="3299" width="7.85546875" style="1093" customWidth="1"/>
    <col min="3300" max="3300" width="10.85546875" style="1093" customWidth="1"/>
    <col min="3301" max="3301" width="13" style="1093" customWidth="1"/>
    <col min="3302" max="3302" width="11.42578125" style="1093" customWidth="1"/>
    <col min="3303" max="3303" width="10" style="1093" customWidth="1"/>
    <col min="3304" max="3304" width="7.85546875" style="1093" customWidth="1"/>
    <col min="3305" max="3305" width="10.140625" style="1093" customWidth="1"/>
    <col min="3306" max="3307" width="7.85546875" style="1093" customWidth="1"/>
    <col min="3308" max="3308" width="10.85546875" style="1093" customWidth="1"/>
    <col min="3309" max="3309" width="10.7109375" style="1093" customWidth="1"/>
    <col min="3310" max="3310" width="11" style="1093" customWidth="1"/>
    <col min="3311" max="3313" width="7.85546875" style="1093" customWidth="1"/>
    <col min="3314" max="3314" width="11.28515625" style="1093" customWidth="1"/>
    <col min="3315" max="3315" width="12.42578125" style="1093" customWidth="1"/>
    <col min="3316" max="3316" width="11" style="1093" customWidth="1"/>
    <col min="3317" max="3318" width="7.85546875" style="1093" customWidth="1"/>
    <col min="3319" max="3319" width="11" style="1093" customWidth="1"/>
    <col min="3320" max="3320" width="10.5703125" style="1093" customWidth="1"/>
    <col min="3321" max="3322" width="11" style="1093" customWidth="1"/>
    <col min="3323" max="3327" width="7.85546875" style="1093" bestFit="1" customWidth="1"/>
    <col min="3328" max="3328" width="8.42578125" style="1093" bestFit="1" customWidth="1"/>
    <col min="3329" max="3329" width="11.42578125" style="1093" customWidth="1"/>
    <col min="3330" max="3330" width="7.85546875" style="1093" bestFit="1" customWidth="1"/>
    <col min="3331" max="3331" width="9.5703125" style="1093" customWidth="1"/>
    <col min="3332" max="3332" width="7.85546875" style="1093" bestFit="1" customWidth="1"/>
    <col min="3333" max="3333" width="12" style="1093" customWidth="1"/>
    <col min="3334" max="3334" width="13.42578125" style="1093" customWidth="1"/>
    <col min="3335" max="3335" width="9.5703125" style="1093" bestFit="1" customWidth="1"/>
    <col min="3336" max="3342" width="9.140625" style="1093" customWidth="1"/>
    <col min="3343" max="3546" width="9.140625" style="1093"/>
    <col min="3547" max="3547" width="16.7109375" style="1093" customWidth="1"/>
    <col min="3548" max="3548" width="52.5703125" style="1093" customWidth="1"/>
    <col min="3549" max="3549" width="11" style="1093" customWidth="1"/>
    <col min="3550" max="3550" width="13.42578125" style="1093" customWidth="1"/>
    <col min="3551" max="3551" width="11.28515625" style="1093" customWidth="1"/>
    <col min="3552" max="3552" width="10.28515625" style="1093" customWidth="1"/>
    <col min="3553" max="3553" width="13.85546875" style="1093" customWidth="1"/>
    <col min="3554" max="3555" width="7.85546875" style="1093" customWidth="1"/>
    <col min="3556" max="3556" width="10.85546875" style="1093" customWidth="1"/>
    <col min="3557" max="3557" width="13" style="1093" customWidth="1"/>
    <col min="3558" max="3558" width="11.42578125" style="1093" customWidth="1"/>
    <col min="3559" max="3559" width="10" style="1093" customWidth="1"/>
    <col min="3560" max="3560" width="7.85546875" style="1093" customWidth="1"/>
    <col min="3561" max="3561" width="10.140625" style="1093" customWidth="1"/>
    <col min="3562" max="3563" width="7.85546875" style="1093" customWidth="1"/>
    <col min="3564" max="3564" width="10.85546875" style="1093" customWidth="1"/>
    <col min="3565" max="3565" width="10.7109375" style="1093" customWidth="1"/>
    <col min="3566" max="3566" width="11" style="1093" customWidth="1"/>
    <col min="3567" max="3569" width="7.85546875" style="1093" customWidth="1"/>
    <col min="3570" max="3570" width="11.28515625" style="1093" customWidth="1"/>
    <col min="3571" max="3571" width="12.42578125" style="1093" customWidth="1"/>
    <col min="3572" max="3572" width="11" style="1093" customWidth="1"/>
    <col min="3573" max="3574" width="7.85546875" style="1093" customWidth="1"/>
    <col min="3575" max="3575" width="11" style="1093" customWidth="1"/>
    <col min="3576" max="3576" width="10.5703125" style="1093" customWidth="1"/>
    <col min="3577" max="3578" width="11" style="1093" customWidth="1"/>
    <col min="3579" max="3583" width="7.85546875" style="1093" bestFit="1" customWidth="1"/>
    <col min="3584" max="3584" width="8.42578125" style="1093" bestFit="1" customWidth="1"/>
    <col min="3585" max="3585" width="11.42578125" style="1093" customWidth="1"/>
    <col min="3586" max="3586" width="7.85546875" style="1093" bestFit="1" customWidth="1"/>
    <col min="3587" max="3587" width="9.5703125" style="1093" customWidth="1"/>
    <col min="3588" max="3588" width="7.85546875" style="1093" bestFit="1" customWidth="1"/>
    <col min="3589" max="3589" width="12" style="1093" customWidth="1"/>
    <col min="3590" max="3590" width="13.42578125" style="1093" customWidth="1"/>
    <col min="3591" max="3591" width="9.5703125" style="1093" bestFit="1" customWidth="1"/>
    <col min="3592" max="3598" width="9.140625" style="1093" customWidth="1"/>
    <col min="3599" max="3802" width="9.140625" style="1093"/>
    <col min="3803" max="3803" width="16.7109375" style="1093" customWidth="1"/>
    <col min="3804" max="3804" width="52.5703125" style="1093" customWidth="1"/>
    <col min="3805" max="3805" width="11" style="1093" customWidth="1"/>
    <col min="3806" max="3806" width="13.42578125" style="1093" customWidth="1"/>
    <col min="3807" max="3807" width="11.28515625" style="1093" customWidth="1"/>
    <col min="3808" max="3808" width="10.28515625" style="1093" customWidth="1"/>
    <col min="3809" max="3809" width="13.85546875" style="1093" customWidth="1"/>
    <col min="3810" max="3811" width="7.85546875" style="1093" customWidth="1"/>
    <col min="3812" max="3812" width="10.85546875" style="1093" customWidth="1"/>
    <col min="3813" max="3813" width="13" style="1093" customWidth="1"/>
    <col min="3814" max="3814" width="11.42578125" style="1093" customWidth="1"/>
    <col min="3815" max="3815" width="10" style="1093" customWidth="1"/>
    <col min="3816" max="3816" width="7.85546875" style="1093" customWidth="1"/>
    <col min="3817" max="3817" width="10.140625" style="1093" customWidth="1"/>
    <col min="3818" max="3819" width="7.85546875" style="1093" customWidth="1"/>
    <col min="3820" max="3820" width="10.85546875" style="1093" customWidth="1"/>
    <col min="3821" max="3821" width="10.7109375" style="1093" customWidth="1"/>
    <col min="3822" max="3822" width="11" style="1093" customWidth="1"/>
    <col min="3823" max="3825" width="7.85546875" style="1093" customWidth="1"/>
    <col min="3826" max="3826" width="11.28515625" style="1093" customWidth="1"/>
    <col min="3827" max="3827" width="12.42578125" style="1093" customWidth="1"/>
    <col min="3828" max="3828" width="11" style="1093" customWidth="1"/>
    <col min="3829" max="3830" width="7.85546875" style="1093" customWidth="1"/>
    <col min="3831" max="3831" width="11" style="1093" customWidth="1"/>
    <col min="3832" max="3832" width="10.5703125" style="1093" customWidth="1"/>
    <col min="3833" max="3834" width="11" style="1093" customWidth="1"/>
    <col min="3835" max="3839" width="7.85546875" style="1093" bestFit="1" customWidth="1"/>
    <col min="3840" max="3840" width="8.42578125" style="1093" bestFit="1" customWidth="1"/>
    <col min="3841" max="3841" width="11.42578125" style="1093" customWidth="1"/>
    <col min="3842" max="3842" width="7.85546875" style="1093" bestFit="1" customWidth="1"/>
    <col min="3843" max="3843" width="9.5703125" style="1093" customWidth="1"/>
    <col min="3844" max="3844" width="7.85546875" style="1093" bestFit="1" customWidth="1"/>
    <col min="3845" max="3845" width="12" style="1093" customWidth="1"/>
    <col min="3846" max="3846" width="13.42578125" style="1093" customWidth="1"/>
    <col min="3847" max="3847" width="9.5703125" style="1093" bestFit="1" customWidth="1"/>
    <col min="3848" max="3854" width="9.140625" style="1093" customWidth="1"/>
    <col min="3855" max="4058" width="9.140625" style="1093"/>
    <col min="4059" max="4059" width="16.7109375" style="1093" customWidth="1"/>
    <col min="4060" max="4060" width="52.5703125" style="1093" customWidth="1"/>
    <col min="4061" max="4061" width="11" style="1093" customWidth="1"/>
    <col min="4062" max="4062" width="13.42578125" style="1093" customWidth="1"/>
    <col min="4063" max="4063" width="11.28515625" style="1093" customWidth="1"/>
    <col min="4064" max="4064" width="10.28515625" style="1093" customWidth="1"/>
    <col min="4065" max="4065" width="13.85546875" style="1093" customWidth="1"/>
    <col min="4066" max="4067" width="7.85546875" style="1093" customWidth="1"/>
    <col min="4068" max="4068" width="10.85546875" style="1093" customWidth="1"/>
    <col min="4069" max="4069" width="13" style="1093" customWidth="1"/>
    <col min="4070" max="4070" width="11.42578125" style="1093" customWidth="1"/>
    <col min="4071" max="4071" width="10" style="1093" customWidth="1"/>
    <col min="4072" max="4072" width="7.85546875" style="1093" customWidth="1"/>
    <col min="4073" max="4073" width="10.140625" style="1093" customWidth="1"/>
    <col min="4074" max="4075" width="7.85546875" style="1093" customWidth="1"/>
    <col min="4076" max="4076" width="10.85546875" style="1093" customWidth="1"/>
    <col min="4077" max="4077" width="10.7109375" style="1093" customWidth="1"/>
    <col min="4078" max="4078" width="11" style="1093" customWidth="1"/>
    <col min="4079" max="4081" width="7.85546875" style="1093" customWidth="1"/>
    <col min="4082" max="4082" width="11.28515625" style="1093" customWidth="1"/>
    <col min="4083" max="4083" width="12.42578125" style="1093" customWidth="1"/>
    <col min="4084" max="4084" width="11" style="1093" customWidth="1"/>
    <col min="4085" max="4086" width="7.85546875" style="1093" customWidth="1"/>
    <col min="4087" max="4087" width="11" style="1093" customWidth="1"/>
    <col min="4088" max="4088" width="10.5703125" style="1093" customWidth="1"/>
    <col min="4089" max="4090" width="11" style="1093" customWidth="1"/>
    <col min="4091" max="4095" width="7.85546875" style="1093" bestFit="1" customWidth="1"/>
    <col min="4096" max="4096" width="8.42578125" style="1093" bestFit="1" customWidth="1"/>
    <col min="4097" max="4097" width="11.42578125" style="1093" customWidth="1"/>
    <col min="4098" max="4098" width="7.85546875" style="1093" bestFit="1" customWidth="1"/>
    <col min="4099" max="4099" width="9.5703125" style="1093" customWidth="1"/>
    <col min="4100" max="4100" width="7.85546875" style="1093" bestFit="1" customWidth="1"/>
    <col min="4101" max="4101" width="12" style="1093" customWidth="1"/>
    <col min="4102" max="4102" width="13.42578125" style="1093" customWidth="1"/>
    <col min="4103" max="4103" width="9.5703125" style="1093" bestFit="1" customWidth="1"/>
    <col min="4104" max="4110" width="9.140625" style="1093" customWidth="1"/>
    <col min="4111" max="4314" width="9.140625" style="1093"/>
    <col min="4315" max="4315" width="16.7109375" style="1093" customWidth="1"/>
    <col min="4316" max="4316" width="52.5703125" style="1093" customWidth="1"/>
    <col min="4317" max="4317" width="11" style="1093" customWidth="1"/>
    <col min="4318" max="4318" width="13.42578125" style="1093" customWidth="1"/>
    <col min="4319" max="4319" width="11.28515625" style="1093" customWidth="1"/>
    <col min="4320" max="4320" width="10.28515625" style="1093" customWidth="1"/>
    <col min="4321" max="4321" width="13.85546875" style="1093" customWidth="1"/>
    <col min="4322" max="4323" width="7.85546875" style="1093" customWidth="1"/>
    <col min="4324" max="4324" width="10.85546875" style="1093" customWidth="1"/>
    <col min="4325" max="4325" width="13" style="1093" customWidth="1"/>
    <col min="4326" max="4326" width="11.42578125" style="1093" customWidth="1"/>
    <col min="4327" max="4327" width="10" style="1093" customWidth="1"/>
    <col min="4328" max="4328" width="7.85546875" style="1093" customWidth="1"/>
    <col min="4329" max="4329" width="10.140625" style="1093" customWidth="1"/>
    <col min="4330" max="4331" width="7.85546875" style="1093" customWidth="1"/>
    <col min="4332" max="4332" width="10.85546875" style="1093" customWidth="1"/>
    <col min="4333" max="4333" width="10.7109375" style="1093" customWidth="1"/>
    <col min="4334" max="4334" width="11" style="1093" customWidth="1"/>
    <col min="4335" max="4337" width="7.85546875" style="1093" customWidth="1"/>
    <col min="4338" max="4338" width="11.28515625" style="1093" customWidth="1"/>
    <col min="4339" max="4339" width="12.42578125" style="1093" customWidth="1"/>
    <col min="4340" max="4340" width="11" style="1093" customWidth="1"/>
    <col min="4341" max="4342" width="7.85546875" style="1093" customWidth="1"/>
    <col min="4343" max="4343" width="11" style="1093" customWidth="1"/>
    <col min="4344" max="4344" width="10.5703125" style="1093" customWidth="1"/>
    <col min="4345" max="4346" width="11" style="1093" customWidth="1"/>
    <col min="4347" max="4351" width="7.85546875" style="1093" bestFit="1" customWidth="1"/>
    <col min="4352" max="4352" width="8.42578125" style="1093" bestFit="1" customWidth="1"/>
    <col min="4353" max="4353" width="11.42578125" style="1093" customWidth="1"/>
    <col min="4354" max="4354" width="7.85546875" style="1093" bestFit="1" customWidth="1"/>
    <col min="4355" max="4355" width="9.5703125" style="1093" customWidth="1"/>
    <col min="4356" max="4356" width="7.85546875" style="1093" bestFit="1" customWidth="1"/>
    <col min="4357" max="4357" width="12" style="1093" customWidth="1"/>
    <col min="4358" max="4358" width="13.42578125" style="1093" customWidth="1"/>
    <col min="4359" max="4359" width="9.5703125" style="1093" bestFit="1" customWidth="1"/>
    <col min="4360" max="4366" width="9.140625" style="1093" customWidth="1"/>
    <col min="4367" max="4570" width="9.140625" style="1093"/>
    <col min="4571" max="4571" width="16.7109375" style="1093" customWidth="1"/>
    <col min="4572" max="4572" width="52.5703125" style="1093" customWidth="1"/>
    <col min="4573" max="4573" width="11" style="1093" customWidth="1"/>
    <col min="4574" max="4574" width="13.42578125" style="1093" customWidth="1"/>
    <col min="4575" max="4575" width="11.28515625" style="1093" customWidth="1"/>
    <col min="4576" max="4576" width="10.28515625" style="1093" customWidth="1"/>
    <col min="4577" max="4577" width="13.85546875" style="1093" customWidth="1"/>
    <col min="4578" max="4579" width="7.85546875" style="1093" customWidth="1"/>
    <col min="4580" max="4580" width="10.85546875" style="1093" customWidth="1"/>
    <col min="4581" max="4581" width="13" style="1093" customWidth="1"/>
    <col min="4582" max="4582" width="11.42578125" style="1093" customWidth="1"/>
    <col min="4583" max="4583" width="10" style="1093" customWidth="1"/>
    <col min="4584" max="4584" width="7.85546875" style="1093" customWidth="1"/>
    <col min="4585" max="4585" width="10.140625" style="1093" customWidth="1"/>
    <col min="4586" max="4587" width="7.85546875" style="1093" customWidth="1"/>
    <col min="4588" max="4588" width="10.85546875" style="1093" customWidth="1"/>
    <col min="4589" max="4589" width="10.7109375" style="1093" customWidth="1"/>
    <col min="4590" max="4590" width="11" style="1093" customWidth="1"/>
    <col min="4591" max="4593" width="7.85546875" style="1093" customWidth="1"/>
    <col min="4594" max="4594" width="11.28515625" style="1093" customWidth="1"/>
    <col min="4595" max="4595" width="12.42578125" style="1093" customWidth="1"/>
    <col min="4596" max="4596" width="11" style="1093" customWidth="1"/>
    <col min="4597" max="4598" width="7.85546875" style="1093" customWidth="1"/>
    <col min="4599" max="4599" width="11" style="1093" customWidth="1"/>
    <col min="4600" max="4600" width="10.5703125" style="1093" customWidth="1"/>
    <col min="4601" max="4602" width="11" style="1093" customWidth="1"/>
    <col min="4603" max="4607" width="7.85546875" style="1093" bestFit="1" customWidth="1"/>
    <col min="4608" max="4608" width="8.42578125" style="1093" bestFit="1" customWidth="1"/>
    <col min="4609" max="4609" width="11.42578125" style="1093" customWidth="1"/>
    <col min="4610" max="4610" width="7.85546875" style="1093" bestFit="1" customWidth="1"/>
    <col min="4611" max="4611" width="9.5703125" style="1093" customWidth="1"/>
    <col min="4612" max="4612" width="7.85546875" style="1093" bestFit="1" customWidth="1"/>
    <col min="4613" max="4613" width="12" style="1093" customWidth="1"/>
    <col min="4614" max="4614" width="13.42578125" style="1093" customWidth="1"/>
    <col min="4615" max="4615" width="9.5703125" style="1093" bestFit="1" customWidth="1"/>
    <col min="4616" max="4622" width="9.140625" style="1093" customWidth="1"/>
    <col min="4623" max="4826" width="9.140625" style="1093"/>
    <col min="4827" max="4827" width="16.7109375" style="1093" customWidth="1"/>
    <col min="4828" max="4828" width="52.5703125" style="1093" customWidth="1"/>
    <col min="4829" max="4829" width="11" style="1093" customWidth="1"/>
    <col min="4830" max="4830" width="13.42578125" style="1093" customWidth="1"/>
    <col min="4831" max="4831" width="11.28515625" style="1093" customWidth="1"/>
    <col min="4832" max="4832" width="10.28515625" style="1093" customWidth="1"/>
    <col min="4833" max="4833" width="13.85546875" style="1093" customWidth="1"/>
    <col min="4834" max="4835" width="7.85546875" style="1093" customWidth="1"/>
    <col min="4836" max="4836" width="10.85546875" style="1093" customWidth="1"/>
    <col min="4837" max="4837" width="13" style="1093" customWidth="1"/>
    <col min="4838" max="4838" width="11.42578125" style="1093" customWidth="1"/>
    <col min="4839" max="4839" width="10" style="1093" customWidth="1"/>
    <col min="4840" max="4840" width="7.85546875" style="1093" customWidth="1"/>
    <col min="4841" max="4841" width="10.140625" style="1093" customWidth="1"/>
    <col min="4842" max="4843" width="7.85546875" style="1093" customWidth="1"/>
    <col min="4844" max="4844" width="10.85546875" style="1093" customWidth="1"/>
    <col min="4845" max="4845" width="10.7109375" style="1093" customWidth="1"/>
    <col min="4846" max="4846" width="11" style="1093" customWidth="1"/>
    <col min="4847" max="4849" width="7.85546875" style="1093" customWidth="1"/>
    <col min="4850" max="4850" width="11.28515625" style="1093" customWidth="1"/>
    <col min="4851" max="4851" width="12.42578125" style="1093" customWidth="1"/>
    <col min="4852" max="4852" width="11" style="1093" customWidth="1"/>
    <col min="4853" max="4854" width="7.85546875" style="1093" customWidth="1"/>
    <col min="4855" max="4855" width="11" style="1093" customWidth="1"/>
    <col min="4856" max="4856" width="10.5703125" style="1093" customWidth="1"/>
    <col min="4857" max="4858" width="11" style="1093" customWidth="1"/>
    <col min="4859" max="4863" width="7.85546875" style="1093" bestFit="1" customWidth="1"/>
    <col min="4864" max="4864" width="8.42578125" style="1093" bestFit="1" customWidth="1"/>
    <col min="4865" max="4865" width="11.42578125" style="1093" customWidth="1"/>
    <col min="4866" max="4866" width="7.85546875" style="1093" bestFit="1" customWidth="1"/>
    <col min="4867" max="4867" width="9.5703125" style="1093" customWidth="1"/>
    <col min="4868" max="4868" width="7.85546875" style="1093" bestFit="1" customWidth="1"/>
    <col min="4869" max="4869" width="12" style="1093" customWidth="1"/>
    <col min="4870" max="4870" width="13.42578125" style="1093" customWidth="1"/>
    <col min="4871" max="4871" width="9.5703125" style="1093" bestFit="1" customWidth="1"/>
    <col min="4872" max="4878" width="9.140625" style="1093" customWidth="1"/>
    <col min="4879" max="5082" width="9.140625" style="1093"/>
    <col min="5083" max="5083" width="16.7109375" style="1093" customWidth="1"/>
    <col min="5084" max="5084" width="52.5703125" style="1093" customWidth="1"/>
    <col min="5085" max="5085" width="11" style="1093" customWidth="1"/>
    <col min="5086" max="5086" width="13.42578125" style="1093" customWidth="1"/>
    <col min="5087" max="5087" width="11.28515625" style="1093" customWidth="1"/>
    <col min="5088" max="5088" width="10.28515625" style="1093" customWidth="1"/>
    <col min="5089" max="5089" width="13.85546875" style="1093" customWidth="1"/>
    <col min="5090" max="5091" width="7.85546875" style="1093" customWidth="1"/>
    <col min="5092" max="5092" width="10.85546875" style="1093" customWidth="1"/>
    <col min="5093" max="5093" width="13" style="1093" customWidth="1"/>
    <col min="5094" max="5094" width="11.42578125" style="1093" customWidth="1"/>
    <col min="5095" max="5095" width="10" style="1093" customWidth="1"/>
    <col min="5096" max="5096" width="7.85546875" style="1093" customWidth="1"/>
    <col min="5097" max="5097" width="10.140625" style="1093" customWidth="1"/>
    <col min="5098" max="5099" width="7.85546875" style="1093" customWidth="1"/>
    <col min="5100" max="5100" width="10.85546875" style="1093" customWidth="1"/>
    <col min="5101" max="5101" width="10.7109375" style="1093" customWidth="1"/>
    <col min="5102" max="5102" width="11" style="1093" customWidth="1"/>
    <col min="5103" max="5105" width="7.85546875" style="1093" customWidth="1"/>
    <col min="5106" max="5106" width="11.28515625" style="1093" customWidth="1"/>
    <col min="5107" max="5107" width="12.42578125" style="1093" customWidth="1"/>
    <col min="5108" max="5108" width="11" style="1093" customWidth="1"/>
    <col min="5109" max="5110" width="7.85546875" style="1093" customWidth="1"/>
    <col min="5111" max="5111" width="11" style="1093" customWidth="1"/>
    <col min="5112" max="5112" width="10.5703125" style="1093" customWidth="1"/>
    <col min="5113" max="5114" width="11" style="1093" customWidth="1"/>
    <col min="5115" max="5119" width="7.85546875" style="1093" bestFit="1" customWidth="1"/>
    <col min="5120" max="5120" width="8.42578125" style="1093" bestFit="1" customWidth="1"/>
    <col min="5121" max="5121" width="11.42578125" style="1093" customWidth="1"/>
    <col min="5122" max="5122" width="7.85546875" style="1093" bestFit="1" customWidth="1"/>
    <col min="5123" max="5123" width="9.5703125" style="1093" customWidth="1"/>
    <col min="5124" max="5124" width="7.85546875" style="1093" bestFit="1" customWidth="1"/>
    <col min="5125" max="5125" width="12" style="1093" customWidth="1"/>
    <col min="5126" max="5126" width="13.42578125" style="1093" customWidth="1"/>
    <col min="5127" max="5127" width="9.5703125" style="1093" bestFit="1" customWidth="1"/>
    <col min="5128" max="5134" width="9.140625" style="1093" customWidth="1"/>
    <col min="5135" max="5338" width="9.140625" style="1093"/>
    <col min="5339" max="5339" width="16.7109375" style="1093" customWidth="1"/>
    <col min="5340" max="5340" width="52.5703125" style="1093" customWidth="1"/>
    <col min="5341" max="5341" width="11" style="1093" customWidth="1"/>
    <col min="5342" max="5342" width="13.42578125" style="1093" customWidth="1"/>
    <col min="5343" max="5343" width="11.28515625" style="1093" customWidth="1"/>
    <col min="5344" max="5344" width="10.28515625" style="1093" customWidth="1"/>
    <col min="5345" max="5345" width="13.85546875" style="1093" customWidth="1"/>
    <col min="5346" max="5347" width="7.85546875" style="1093" customWidth="1"/>
    <col min="5348" max="5348" width="10.85546875" style="1093" customWidth="1"/>
    <col min="5349" max="5349" width="13" style="1093" customWidth="1"/>
    <col min="5350" max="5350" width="11.42578125" style="1093" customWidth="1"/>
    <col min="5351" max="5351" width="10" style="1093" customWidth="1"/>
    <col min="5352" max="5352" width="7.85546875" style="1093" customWidth="1"/>
    <col min="5353" max="5353" width="10.140625" style="1093" customWidth="1"/>
    <col min="5354" max="5355" width="7.85546875" style="1093" customWidth="1"/>
    <col min="5356" max="5356" width="10.85546875" style="1093" customWidth="1"/>
    <col min="5357" max="5357" width="10.7109375" style="1093" customWidth="1"/>
    <col min="5358" max="5358" width="11" style="1093" customWidth="1"/>
    <col min="5359" max="5361" width="7.85546875" style="1093" customWidth="1"/>
    <col min="5362" max="5362" width="11.28515625" style="1093" customWidth="1"/>
    <col min="5363" max="5363" width="12.42578125" style="1093" customWidth="1"/>
    <col min="5364" max="5364" width="11" style="1093" customWidth="1"/>
    <col min="5365" max="5366" width="7.85546875" style="1093" customWidth="1"/>
    <col min="5367" max="5367" width="11" style="1093" customWidth="1"/>
    <col min="5368" max="5368" width="10.5703125" style="1093" customWidth="1"/>
    <col min="5369" max="5370" width="11" style="1093" customWidth="1"/>
    <col min="5371" max="5375" width="7.85546875" style="1093" bestFit="1" customWidth="1"/>
    <col min="5376" max="5376" width="8.42578125" style="1093" bestFit="1" customWidth="1"/>
    <col min="5377" max="5377" width="11.42578125" style="1093" customWidth="1"/>
    <col min="5378" max="5378" width="7.85546875" style="1093" bestFit="1" customWidth="1"/>
    <col min="5379" max="5379" width="9.5703125" style="1093" customWidth="1"/>
    <col min="5380" max="5380" width="7.85546875" style="1093" bestFit="1" customWidth="1"/>
    <col min="5381" max="5381" width="12" style="1093" customWidth="1"/>
    <col min="5382" max="5382" width="13.42578125" style="1093" customWidth="1"/>
    <col min="5383" max="5383" width="9.5703125" style="1093" bestFit="1" customWidth="1"/>
    <col min="5384" max="5390" width="9.140625" style="1093" customWidth="1"/>
    <col min="5391" max="5594" width="9.140625" style="1093"/>
    <col min="5595" max="5595" width="16.7109375" style="1093" customWidth="1"/>
    <col min="5596" max="5596" width="52.5703125" style="1093" customWidth="1"/>
    <col min="5597" max="5597" width="11" style="1093" customWidth="1"/>
    <col min="5598" max="5598" width="13.42578125" style="1093" customWidth="1"/>
    <col min="5599" max="5599" width="11.28515625" style="1093" customWidth="1"/>
    <col min="5600" max="5600" width="10.28515625" style="1093" customWidth="1"/>
    <col min="5601" max="5601" width="13.85546875" style="1093" customWidth="1"/>
    <col min="5602" max="5603" width="7.85546875" style="1093" customWidth="1"/>
    <col min="5604" max="5604" width="10.85546875" style="1093" customWidth="1"/>
    <col min="5605" max="5605" width="13" style="1093" customWidth="1"/>
    <col min="5606" max="5606" width="11.42578125" style="1093" customWidth="1"/>
    <col min="5607" max="5607" width="10" style="1093" customWidth="1"/>
    <col min="5608" max="5608" width="7.85546875" style="1093" customWidth="1"/>
    <col min="5609" max="5609" width="10.140625" style="1093" customWidth="1"/>
    <col min="5610" max="5611" width="7.85546875" style="1093" customWidth="1"/>
    <col min="5612" max="5612" width="10.85546875" style="1093" customWidth="1"/>
    <col min="5613" max="5613" width="10.7109375" style="1093" customWidth="1"/>
    <col min="5614" max="5614" width="11" style="1093" customWidth="1"/>
    <col min="5615" max="5617" width="7.85546875" style="1093" customWidth="1"/>
    <col min="5618" max="5618" width="11.28515625" style="1093" customWidth="1"/>
    <col min="5619" max="5619" width="12.42578125" style="1093" customWidth="1"/>
    <col min="5620" max="5620" width="11" style="1093" customWidth="1"/>
    <col min="5621" max="5622" width="7.85546875" style="1093" customWidth="1"/>
    <col min="5623" max="5623" width="11" style="1093" customWidth="1"/>
    <col min="5624" max="5624" width="10.5703125" style="1093" customWidth="1"/>
    <col min="5625" max="5626" width="11" style="1093" customWidth="1"/>
    <col min="5627" max="5631" width="7.85546875" style="1093" bestFit="1" customWidth="1"/>
    <col min="5632" max="5632" width="8.42578125" style="1093" bestFit="1" customWidth="1"/>
    <col min="5633" max="5633" width="11.42578125" style="1093" customWidth="1"/>
    <col min="5634" max="5634" width="7.85546875" style="1093" bestFit="1" customWidth="1"/>
    <col min="5635" max="5635" width="9.5703125" style="1093" customWidth="1"/>
    <col min="5636" max="5636" width="7.85546875" style="1093" bestFit="1" customWidth="1"/>
    <col min="5637" max="5637" width="12" style="1093" customWidth="1"/>
    <col min="5638" max="5638" width="13.42578125" style="1093" customWidth="1"/>
    <col min="5639" max="5639" width="9.5703125" style="1093" bestFit="1" customWidth="1"/>
    <col min="5640" max="5646" width="9.140625" style="1093" customWidth="1"/>
    <col min="5647" max="5850" width="9.140625" style="1093"/>
    <col min="5851" max="5851" width="16.7109375" style="1093" customWidth="1"/>
    <col min="5852" max="5852" width="52.5703125" style="1093" customWidth="1"/>
    <col min="5853" max="5853" width="11" style="1093" customWidth="1"/>
    <col min="5854" max="5854" width="13.42578125" style="1093" customWidth="1"/>
    <col min="5855" max="5855" width="11.28515625" style="1093" customWidth="1"/>
    <col min="5856" max="5856" width="10.28515625" style="1093" customWidth="1"/>
    <col min="5857" max="5857" width="13.85546875" style="1093" customWidth="1"/>
    <col min="5858" max="5859" width="7.85546875" style="1093" customWidth="1"/>
    <col min="5860" max="5860" width="10.85546875" style="1093" customWidth="1"/>
    <col min="5861" max="5861" width="13" style="1093" customWidth="1"/>
    <col min="5862" max="5862" width="11.42578125" style="1093" customWidth="1"/>
    <col min="5863" max="5863" width="10" style="1093" customWidth="1"/>
    <col min="5864" max="5864" width="7.85546875" style="1093" customWidth="1"/>
    <col min="5865" max="5865" width="10.140625" style="1093" customWidth="1"/>
    <col min="5866" max="5867" width="7.85546875" style="1093" customWidth="1"/>
    <col min="5868" max="5868" width="10.85546875" style="1093" customWidth="1"/>
    <col min="5869" max="5869" width="10.7109375" style="1093" customWidth="1"/>
    <col min="5870" max="5870" width="11" style="1093" customWidth="1"/>
    <col min="5871" max="5873" width="7.85546875" style="1093" customWidth="1"/>
    <col min="5874" max="5874" width="11.28515625" style="1093" customWidth="1"/>
    <col min="5875" max="5875" width="12.42578125" style="1093" customWidth="1"/>
    <col min="5876" max="5876" width="11" style="1093" customWidth="1"/>
    <col min="5877" max="5878" width="7.85546875" style="1093" customWidth="1"/>
    <col min="5879" max="5879" width="11" style="1093" customWidth="1"/>
    <col min="5880" max="5880" width="10.5703125" style="1093" customWidth="1"/>
    <col min="5881" max="5882" width="11" style="1093" customWidth="1"/>
    <col min="5883" max="5887" width="7.85546875" style="1093" bestFit="1" customWidth="1"/>
    <col min="5888" max="5888" width="8.42578125" style="1093" bestFit="1" customWidth="1"/>
    <col min="5889" max="5889" width="11.42578125" style="1093" customWidth="1"/>
    <col min="5890" max="5890" width="7.85546875" style="1093" bestFit="1" customWidth="1"/>
    <col min="5891" max="5891" width="9.5703125" style="1093" customWidth="1"/>
    <col min="5892" max="5892" width="7.85546875" style="1093" bestFit="1" customWidth="1"/>
    <col min="5893" max="5893" width="12" style="1093" customWidth="1"/>
    <col min="5894" max="5894" width="13.42578125" style="1093" customWidth="1"/>
    <col min="5895" max="5895" width="9.5703125" style="1093" bestFit="1" customWidth="1"/>
    <col min="5896" max="5902" width="9.140625" style="1093" customWidth="1"/>
    <col min="5903" max="6106" width="9.140625" style="1093"/>
    <col min="6107" max="6107" width="16.7109375" style="1093" customWidth="1"/>
    <col min="6108" max="6108" width="52.5703125" style="1093" customWidth="1"/>
    <col min="6109" max="6109" width="11" style="1093" customWidth="1"/>
    <col min="6110" max="6110" width="13.42578125" style="1093" customWidth="1"/>
    <col min="6111" max="6111" width="11.28515625" style="1093" customWidth="1"/>
    <col min="6112" max="6112" width="10.28515625" style="1093" customWidth="1"/>
    <col min="6113" max="6113" width="13.85546875" style="1093" customWidth="1"/>
    <col min="6114" max="6115" width="7.85546875" style="1093" customWidth="1"/>
    <col min="6116" max="6116" width="10.85546875" style="1093" customWidth="1"/>
    <col min="6117" max="6117" width="13" style="1093" customWidth="1"/>
    <col min="6118" max="6118" width="11.42578125" style="1093" customWidth="1"/>
    <col min="6119" max="6119" width="10" style="1093" customWidth="1"/>
    <col min="6120" max="6120" width="7.85546875" style="1093" customWidth="1"/>
    <col min="6121" max="6121" width="10.140625" style="1093" customWidth="1"/>
    <col min="6122" max="6123" width="7.85546875" style="1093" customWidth="1"/>
    <col min="6124" max="6124" width="10.85546875" style="1093" customWidth="1"/>
    <col min="6125" max="6125" width="10.7109375" style="1093" customWidth="1"/>
    <col min="6126" max="6126" width="11" style="1093" customWidth="1"/>
    <col min="6127" max="6129" width="7.85546875" style="1093" customWidth="1"/>
    <col min="6130" max="6130" width="11.28515625" style="1093" customWidth="1"/>
    <col min="6131" max="6131" width="12.42578125" style="1093" customWidth="1"/>
    <col min="6132" max="6132" width="11" style="1093" customWidth="1"/>
    <col min="6133" max="6134" width="7.85546875" style="1093" customWidth="1"/>
    <col min="6135" max="6135" width="11" style="1093" customWidth="1"/>
    <col min="6136" max="6136" width="10.5703125" style="1093" customWidth="1"/>
    <col min="6137" max="6138" width="11" style="1093" customWidth="1"/>
    <col min="6139" max="6143" width="7.85546875" style="1093" bestFit="1" customWidth="1"/>
    <col min="6144" max="6144" width="8.42578125" style="1093" bestFit="1" customWidth="1"/>
    <col min="6145" max="6145" width="11.42578125" style="1093" customWidth="1"/>
    <col min="6146" max="6146" width="7.85546875" style="1093" bestFit="1" customWidth="1"/>
    <col min="6147" max="6147" width="9.5703125" style="1093" customWidth="1"/>
    <col min="6148" max="6148" width="7.85546875" style="1093" bestFit="1" customWidth="1"/>
    <col min="6149" max="6149" width="12" style="1093" customWidth="1"/>
    <col min="6150" max="6150" width="13.42578125" style="1093" customWidth="1"/>
    <col min="6151" max="6151" width="9.5703125" style="1093" bestFit="1" customWidth="1"/>
    <col min="6152" max="6158" width="9.140625" style="1093" customWidth="1"/>
    <col min="6159" max="6362" width="9.140625" style="1093"/>
    <col min="6363" max="6363" width="16.7109375" style="1093" customWidth="1"/>
    <col min="6364" max="6364" width="52.5703125" style="1093" customWidth="1"/>
    <col min="6365" max="6365" width="11" style="1093" customWidth="1"/>
    <col min="6366" max="6366" width="13.42578125" style="1093" customWidth="1"/>
    <col min="6367" max="6367" width="11.28515625" style="1093" customWidth="1"/>
    <col min="6368" max="6368" width="10.28515625" style="1093" customWidth="1"/>
    <col min="6369" max="6369" width="13.85546875" style="1093" customWidth="1"/>
    <col min="6370" max="6371" width="7.85546875" style="1093" customWidth="1"/>
    <col min="6372" max="6372" width="10.85546875" style="1093" customWidth="1"/>
    <col min="6373" max="6373" width="13" style="1093" customWidth="1"/>
    <col min="6374" max="6374" width="11.42578125" style="1093" customWidth="1"/>
    <col min="6375" max="6375" width="10" style="1093" customWidth="1"/>
    <col min="6376" max="6376" width="7.85546875" style="1093" customWidth="1"/>
    <col min="6377" max="6377" width="10.140625" style="1093" customWidth="1"/>
    <col min="6378" max="6379" width="7.85546875" style="1093" customWidth="1"/>
    <col min="6380" max="6380" width="10.85546875" style="1093" customWidth="1"/>
    <col min="6381" max="6381" width="10.7109375" style="1093" customWidth="1"/>
    <col min="6382" max="6382" width="11" style="1093" customWidth="1"/>
    <col min="6383" max="6385" width="7.85546875" style="1093" customWidth="1"/>
    <col min="6386" max="6386" width="11.28515625" style="1093" customWidth="1"/>
    <col min="6387" max="6387" width="12.42578125" style="1093" customWidth="1"/>
    <col min="6388" max="6388" width="11" style="1093" customWidth="1"/>
    <col min="6389" max="6390" width="7.85546875" style="1093" customWidth="1"/>
    <col min="6391" max="6391" width="11" style="1093" customWidth="1"/>
    <col min="6392" max="6392" width="10.5703125" style="1093" customWidth="1"/>
    <col min="6393" max="6394" width="11" style="1093" customWidth="1"/>
    <col min="6395" max="6399" width="7.85546875" style="1093" bestFit="1" customWidth="1"/>
    <col min="6400" max="6400" width="8.42578125" style="1093" bestFit="1" customWidth="1"/>
    <col min="6401" max="6401" width="11.42578125" style="1093" customWidth="1"/>
    <col min="6402" max="6402" width="7.85546875" style="1093" bestFit="1" customWidth="1"/>
    <col min="6403" max="6403" width="9.5703125" style="1093" customWidth="1"/>
    <col min="6404" max="6404" width="7.85546875" style="1093" bestFit="1" customWidth="1"/>
    <col min="6405" max="6405" width="12" style="1093" customWidth="1"/>
    <col min="6406" max="6406" width="13.42578125" style="1093" customWidth="1"/>
    <col min="6407" max="6407" width="9.5703125" style="1093" bestFit="1" customWidth="1"/>
    <col min="6408" max="6414" width="9.140625" style="1093" customWidth="1"/>
    <col min="6415" max="6618" width="9.140625" style="1093"/>
    <col min="6619" max="6619" width="16.7109375" style="1093" customWidth="1"/>
    <col min="6620" max="6620" width="52.5703125" style="1093" customWidth="1"/>
    <col min="6621" max="6621" width="11" style="1093" customWidth="1"/>
    <col min="6622" max="6622" width="13.42578125" style="1093" customWidth="1"/>
    <col min="6623" max="6623" width="11.28515625" style="1093" customWidth="1"/>
    <col min="6624" max="6624" width="10.28515625" style="1093" customWidth="1"/>
    <col min="6625" max="6625" width="13.85546875" style="1093" customWidth="1"/>
    <col min="6626" max="6627" width="7.85546875" style="1093" customWidth="1"/>
    <col min="6628" max="6628" width="10.85546875" style="1093" customWidth="1"/>
    <col min="6629" max="6629" width="13" style="1093" customWidth="1"/>
    <col min="6630" max="6630" width="11.42578125" style="1093" customWidth="1"/>
    <col min="6631" max="6631" width="10" style="1093" customWidth="1"/>
    <col min="6632" max="6632" width="7.85546875" style="1093" customWidth="1"/>
    <col min="6633" max="6633" width="10.140625" style="1093" customWidth="1"/>
    <col min="6634" max="6635" width="7.85546875" style="1093" customWidth="1"/>
    <col min="6636" max="6636" width="10.85546875" style="1093" customWidth="1"/>
    <col min="6637" max="6637" width="10.7109375" style="1093" customWidth="1"/>
    <col min="6638" max="6638" width="11" style="1093" customWidth="1"/>
    <col min="6639" max="6641" width="7.85546875" style="1093" customWidth="1"/>
    <col min="6642" max="6642" width="11.28515625" style="1093" customWidth="1"/>
    <col min="6643" max="6643" width="12.42578125" style="1093" customWidth="1"/>
    <col min="6644" max="6644" width="11" style="1093" customWidth="1"/>
    <col min="6645" max="6646" width="7.85546875" style="1093" customWidth="1"/>
    <col min="6647" max="6647" width="11" style="1093" customWidth="1"/>
    <col min="6648" max="6648" width="10.5703125" style="1093" customWidth="1"/>
    <col min="6649" max="6650" width="11" style="1093" customWidth="1"/>
    <col min="6651" max="6655" width="7.85546875" style="1093" bestFit="1" customWidth="1"/>
    <col min="6656" max="6656" width="8.42578125" style="1093" bestFit="1" customWidth="1"/>
    <col min="6657" max="6657" width="11.42578125" style="1093" customWidth="1"/>
    <col min="6658" max="6658" width="7.85546875" style="1093" bestFit="1" customWidth="1"/>
    <col min="6659" max="6659" width="9.5703125" style="1093" customWidth="1"/>
    <col min="6660" max="6660" width="7.85546875" style="1093" bestFit="1" customWidth="1"/>
    <col min="6661" max="6661" width="12" style="1093" customWidth="1"/>
    <col min="6662" max="6662" width="13.42578125" style="1093" customWidth="1"/>
    <col min="6663" max="6663" width="9.5703125" style="1093" bestFit="1" customWidth="1"/>
    <col min="6664" max="6670" width="9.140625" style="1093" customWidth="1"/>
    <col min="6671" max="6874" width="9.140625" style="1093"/>
    <col min="6875" max="6875" width="16.7109375" style="1093" customWidth="1"/>
    <col min="6876" max="6876" width="52.5703125" style="1093" customWidth="1"/>
    <col min="6877" max="6877" width="11" style="1093" customWidth="1"/>
    <col min="6878" max="6878" width="13.42578125" style="1093" customWidth="1"/>
    <col min="6879" max="6879" width="11.28515625" style="1093" customWidth="1"/>
    <col min="6880" max="6880" width="10.28515625" style="1093" customWidth="1"/>
    <col min="6881" max="6881" width="13.85546875" style="1093" customWidth="1"/>
    <col min="6882" max="6883" width="7.85546875" style="1093" customWidth="1"/>
    <col min="6884" max="6884" width="10.85546875" style="1093" customWidth="1"/>
    <col min="6885" max="6885" width="13" style="1093" customWidth="1"/>
    <col min="6886" max="6886" width="11.42578125" style="1093" customWidth="1"/>
    <col min="6887" max="6887" width="10" style="1093" customWidth="1"/>
    <col min="6888" max="6888" width="7.85546875" style="1093" customWidth="1"/>
    <col min="6889" max="6889" width="10.140625" style="1093" customWidth="1"/>
    <col min="6890" max="6891" width="7.85546875" style="1093" customWidth="1"/>
    <col min="6892" max="6892" width="10.85546875" style="1093" customWidth="1"/>
    <col min="6893" max="6893" width="10.7109375" style="1093" customWidth="1"/>
    <col min="6894" max="6894" width="11" style="1093" customWidth="1"/>
    <col min="6895" max="6897" width="7.85546875" style="1093" customWidth="1"/>
    <col min="6898" max="6898" width="11.28515625" style="1093" customWidth="1"/>
    <col min="6899" max="6899" width="12.42578125" style="1093" customWidth="1"/>
    <col min="6900" max="6900" width="11" style="1093" customWidth="1"/>
    <col min="6901" max="6902" width="7.85546875" style="1093" customWidth="1"/>
    <col min="6903" max="6903" width="11" style="1093" customWidth="1"/>
    <col min="6904" max="6904" width="10.5703125" style="1093" customWidth="1"/>
    <col min="6905" max="6906" width="11" style="1093" customWidth="1"/>
    <col min="6907" max="6911" width="7.85546875" style="1093" bestFit="1" customWidth="1"/>
    <col min="6912" max="6912" width="8.42578125" style="1093" bestFit="1" customWidth="1"/>
    <col min="6913" max="6913" width="11.42578125" style="1093" customWidth="1"/>
    <col min="6914" max="6914" width="7.85546875" style="1093" bestFit="1" customWidth="1"/>
    <col min="6915" max="6915" width="9.5703125" style="1093" customWidth="1"/>
    <col min="6916" max="6916" width="7.85546875" style="1093" bestFit="1" customWidth="1"/>
    <col min="6917" max="6917" width="12" style="1093" customWidth="1"/>
    <col min="6918" max="6918" width="13.42578125" style="1093" customWidth="1"/>
    <col min="6919" max="6919" width="9.5703125" style="1093" bestFit="1" customWidth="1"/>
    <col min="6920" max="6926" width="9.140625" style="1093" customWidth="1"/>
    <col min="6927" max="7130" width="9.140625" style="1093"/>
    <col min="7131" max="7131" width="16.7109375" style="1093" customWidth="1"/>
    <col min="7132" max="7132" width="52.5703125" style="1093" customWidth="1"/>
    <col min="7133" max="7133" width="11" style="1093" customWidth="1"/>
    <col min="7134" max="7134" width="13.42578125" style="1093" customWidth="1"/>
    <col min="7135" max="7135" width="11.28515625" style="1093" customWidth="1"/>
    <col min="7136" max="7136" width="10.28515625" style="1093" customWidth="1"/>
    <col min="7137" max="7137" width="13.85546875" style="1093" customWidth="1"/>
    <col min="7138" max="7139" width="7.85546875" style="1093" customWidth="1"/>
    <col min="7140" max="7140" width="10.85546875" style="1093" customWidth="1"/>
    <col min="7141" max="7141" width="13" style="1093" customWidth="1"/>
    <col min="7142" max="7142" width="11.42578125" style="1093" customWidth="1"/>
    <col min="7143" max="7143" width="10" style="1093" customWidth="1"/>
    <col min="7144" max="7144" width="7.85546875" style="1093" customWidth="1"/>
    <col min="7145" max="7145" width="10.140625" style="1093" customWidth="1"/>
    <col min="7146" max="7147" width="7.85546875" style="1093" customWidth="1"/>
    <col min="7148" max="7148" width="10.85546875" style="1093" customWidth="1"/>
    <col min="7149" max="7149" width="10.7109375" style="1093" customWidth="1"/>
    <col min="7150" max="7150" width="11" style="1093" customWidth="1"/>
    <col min="7151" max="7153" width="7.85546875" style="1093" customWidth="1"/>
    <col min="7154" max="7154" width="11.28515625" style="1093" customWidth="1"/>
    <col min="7155" max="7155" width="12.42578125" style="1093" customWidth="1"/>
    <col min="7156" max="7156" width="11" style="1093" customWidth="1"/>
    <col min="7157" max="7158" width="7.85546875" style="1093" customWidth="1"/>
    <col min="7159" max="7159" width="11" style="1093" customWidth="1"/>
    <col min="7160" max="7160" width="10.5703125" style="1093" customWidth="1"/>
    <col min="7161" max="7162" width="11" style="1093" customWidth="1"/>
    <col min="7163" max="7167" width="7.85546875" style="1093" bestFit="1" customWidth="1"/>
    <col min="7168" max="7168" width="8.42578125" style="1093" bestFit="1" customWidth="1"/>
    <col min="7169" max="7169" width="11.42578125" style="1093" customWidth="1"/>
    <col min="7170" max="7170" width="7.85546875" style="1093" bestFit="1" customWidth="1"/>
    <col min="7171" max="7171" width="9.5703125" style="1093" customWidth="1"/>
    <col min="7172" max="7172" width="7.85546875" style="1093" bestFit="1" customWidth="1"/>
    <col min="7173" max="7173" width="12" style="1093" customWidth="1"/>
    <col min="7174" max="7174" width="13.42578125" style="1093" customWidth="1"/>
    <col min="7175" max="7175" width="9.5703125" style="1093" bestFit="1" customWidth="1"/>
    <col min="7176" max="7182" width="9.140625" style="1093" customWidth="1"/>
    <col min="7183" max="7386" width="9.140625" style="1093"/>
    <col min="7387" max="7387" width="16.7109375" style="1093" customWidth="1"/>
    <col min="7388" max="7388" width="52.5703125" style="1093" customWidth="1"/>
    <col min="7389" max="7389" width="11" style="1093" customWidth="1"/>
    <col min="7390" max="7390" width="13.42578125" style="1093" customWidth="1"/>
    <col min="7391" max="7391" width="11.28515625" style="1093" customWidth="1"/>
    <col min="7392" max="7392" width="10.28515625" style="1093" customWidth="1"/>
    <col min="7393" max="7393" width="13.85546875" style="1093" customWidth="1"/>
    <col min="7394" max="7395" width="7.85546875" style="1093" customWidth="1"/>
    <col min="7396" max="7396" width="10.85546875" style="1093" customWidth="1"/>
    <col min="7397" max="7397" width="13" style="1093" customWidth="1"/>
    <col min="7398" max="7398" width="11.42578125" style="1093" customWidth="1"/>
    <col min="7399" max="7399" width="10" style="1093" customWidth="1"/>
    <col min="7400" max="7400" width="7.85546875" style="1093" customWidth="1"/>
    <col min="7401" max="7401" width="10.140625" style="1093" customWidth="1"/>
    <col min="7402" max="7403" width="7.85546875" style="1093" customWidth="1"/>
    <col min="7404" max="7404" width="10.85546875" style="1093" customWidth="1"/>
    <col min="7405" max="7405" width="10.7109375" style="1093" customWidth="1"/>
    <col min="7406" max="7406" width="11" style="1093" customWidth="1"/>
    <col min="7407" max="7409" width="7.85546875" style="1093" customWidth="1"/>
    <col min="7410" max="7410" width="11.28515625" style="1093" customWidth="1"/>
    <col min="7411" max="7411" width="12.42578125" style="1093" customWidth="1"/>
    <col min="7412" max="7412" width="11" style="1093" customWidth="1"/>
    <col min="7413" max="7414" width="7.85546875" style="1093" customWidth="1"/>
    <col min="7415" max="7415" width="11" style="1093" customWidth="1"/>
    <col min="7416" max="7416" width="10.5703125" style="1093" customWidth="1"/>
    <col min="7417" max="7418" width="11" style="1093" customWidth="1"/>
    <col min="7419" max="7423" width="7.85546875" style="1093" bestFit="1" customWidth="1"/>
    <col min="7424" max="7424" width="8.42578125" style="1093" bestFit="1" customWidth="1"/>
    <col min="7425" max="7425" width="11.42578125" style="1093" customWidth="1"/>
    <col min="7426" max="7426" width="7.85546875" style="1093" bestFit="1" customWidth="1"/>
    <col min="7427" max="7427" width="9.5703125" style="1093" customWidth="1"/>
    <col min="7428" max="7428" width="7.85546875" style="1093" bestFit="1" customWidth="1"/>
    <col min="7429" max="7429" width="12" style="1093" customWidth="1"/>
    <col min="7430" max="7430" width="13.42578125" style="1093" customWidth="1"/>
    <col min="7431" max="7431" width="9.5703125" style="1093" bestFit="1" customWidth="1"/>
    <col min="7432" max="7438" width="9.140625" style="1093" customWidth="1"/>
    <col min="7439" max="7642" width="9.140625" style="1093"/>
    <col min="7643" max="7643" width="16.7109375" style="1093" customWidth="1"/>
    <col min="7644" max="7644" width="52.5703125" style="1093" customWidth="1"/>
    <col min="7645" max="7645" width="11" style="1093" customWidth="1"/>
    <col min="7646" max="7646" width="13.42578125" style="1093" customWidth="1"/>
    <col min="7647" max="7647" width="11.28515625" style="1093" customWidth="1"/>
    <col min="7648" max="7648" width="10.28515625" style="1093" customWidth="1"/>
    <col min="7649" max="7649" width="13.85546875" style="1093" customWidth="1"/>
    <col min="7650" max="7651" width="7.85546875" style="1093" customWidth="1"/>
    <col min="7652" max="7652" width="10.85546875" style="1093" customWidth="1"/>
    <col min="7653" max="7653" width="13" style="1093" customWidth="1"/>
    <col min="7654" max="7654" width="11.42578125" style="1093" customWidth="1"/>
    <col min="7655" max="7655" width="10" style="1093" customWidth="1"/>
    <col min="7656" max="7656" width="7.85546875" style="1093" customWidth="1"/>
    <col min="7657" max="7657" width="10.140625" style="1093" customWidth="1"/>
    <col min="7658" max="7659" width="7.85546875" style="1093" customWidth="1"/>
    <col min="7660" max="7660" width="10.85546875" style="1093" customWidth="1"/>
    <col min="7661" max="7661" width="10.7109375" style="1093" customWidth="1"/>
    <col min="7662" max="7662" width="11" style="1093" customWidth="1"/>
    <col min="7663" max="7665" width="7.85546875" style="1093" customWidth="1"/>
    <col min="7666" max="7666" width="11.28515625" style="1093" customWidth="1"/>
    <col min="7667" max="7667" width="12.42578125" style="1093" customWidth="1"/>
    <col min="7668" max="7668" width="11" style="1093" customWidth="1"/>
    <col min="7669" max="7670" width="7.85546875" style="1093" customWidth="1"/>
    <col min="7671" max="7671" width="11" style="1093" customWidth="1"/>
    <col min="7672" max="7672" width="10.5703125" style="1093" customWidth="1"/>
    <col min="7673" max="7674" width="11" style="1093" customWidth="1"/>
    <col min="7675" max="7679" width="7.85546875" style="1093" bestFit="1" customWidth="1"/>
    <col min="7680" max="7680" width="8.42578125" style="1093" bestFit="1" customWidth="1"/>
    <col min="7681" max="7681" width="11.42578125" style="1093" customWidth="1"/>
    <col min="7682" max="7682" width="7.85546875" style="1093" bestFit="1" customWidth="1"/>
    <col min="7683" max="7683" width="9.5703125" style="1093" customWidth="1"/>
    <col min="7684" max="7684" width="7.85546875" style="1093" bestFit="1" customWidth="1"/>
    <col min="7685" max="7685" width="12" style="1093" customWidth="1"/>
    <col min="7686" max="7686" width="13.42578125" style="1093" customWidth="1"/>
    <col min="7687" max="7687" width="9.5703125" style="1093" bestFit="1" customWidth="1"/>
    <col min="7688" max="7694" width="9.140625" style="1093" customWidth="1"/>
    <col min="7695" max="7898" width="9.140625" style="1093"/>
    <col min="7899" max="7899" width="16.7109375" style="1093" customWidth="1"/>
    <col min="7900" max="7900" width="52.5703125" style="1093" customWidth="1"/>
    <col min="7901" max="7901" width="11" style="1093" customWidth="1"/>
    <col min="7902" max="7902" width="13.42578125" style="1093" customWidth="1"/>
    <col min="7903" max="7903" width="11.28515625" style="1093" customWidth="1"/>
    <col min="7904" max="7904" width="10.28515625" style="1093" customWidth="1"/>
    <col min="7905" max="7905" width="13.85546875" style="1093" customWidth="1"/>
    <col min="7906" max="7907" width="7.85546875" style="1093" customWidth="1"/>
    <col min="7908" max="7908" width="10.85546875" style="1093" customWidth="1"/>
    <col min="7909" max="7909" width="13" style="1093" customWidth="1"/>
    <col min="7910" max="7910" width="11.42578125" style="1093" customWidth="1"/>
    <col min="7911" max="7911" width="10" style="1093" customWidth="1"/>
    <col min="7912" max="7912" width="7.85546875" style="1093" customWidth="1"/>
    <col min="7913" max="7913" width="10.140625" style="1093" customWidth="1"/>
    <col min="7914" max="7915" width="7.85546875" style="1093" customWidth="1"/>
    <col min="7916" max="7916" width="10.85546875" style="1093" customWidth="1"/>
    <col min="7917" max="7917" width="10.7109375" style="1093" customWidth="1"/>
    <col min="7918" max="7918" width="11" style="1093" customWidth="1"/>
    <col min="7919" max="7921" width="7.85546875" style="1093" customWidth="1"/>
    <col min="7922" max="7922" width="11.28515625" style="1093" customWidth="1"/>
    <col min="7923" max="7923" width="12.42578125" style="1093" customWidth="1"/>
    <col min="7924" max="7924" width="11" style="1093" customWidth="1"/>
    <col min="7925" max="7926" width="7.85546875" style="1093" customWidth="1"/>
    <col min="7927" max="7927" width="11" style="1093" customWidth="1"/>
    <col min="7928" max="7928" width="10.5703125" style="1093" customWidth="1"/>
    <col min="7929" max="7930" width="11" style="1093" customWidth="1"/>
    <col min="7931" max="7935" width="7.85546875" style="1093" bestFit="1" customWidth="1"/>
    <col min="7936" max="7936" width="8.42578125" style="1093" bestFit="1" customWidth="1"/>
    <col min="7937" max="7937" width="11.42578125" style="1093" customWidth="1"/>
    <col min="7938" max="7938" width="7.85546875" style="1093" bestFit="1" customWidth="1"/>
    <col min="7939" max="7939" width="9.5703125" style="1093" customWidth="1"/>
    <col min="7940" max="7940" width="7.85546875" style="1093" bestFit="1" customWidth="1"/>
    <col min="7941" max="7941" width="12" style="1093" customWidth="1"/>
    <col min="7942" max="7942" width="13.42578125" style="1093" customWidth="1"/>
    <col min="7943" max="7943" width="9.5703125" style="1093" bestFit="1" customWidth="1"/>
    <col min="7944" max="7950" width="9.140625" style="1093" customWidth="1"/>
    <col min="7951" max="8154" width="9.140625" style="1093"/>
    <col min="8155" max="8155" width="16.7109375" style="1093" customWidth="1"/>
    <col min="8156" max="8156" width="52.5703125" style="1093" customWidth="1"/>
    <col min="8157" max="8157" width="11" style="1093" customWidth="1"/>
    <col min="8158" max="8158" width="13.42578125" style="1093" customWidth="1"/>
    <col min="8159" max="8159" width="11.28515625" style="1093" customWidth="1"/>
    <col min="8160" max="8160" width="10.28515625" style="1093" customWidth="1"/>
    <col min="8161" max="8161" width="13.85546875" style="1093" customWidth="1"/>
    <col min="8162" max="8163" width="7.85546875" style="1093" customWidth="1"/>
    <col min="8164" max="8164" width="10.85546875" style="1093" customWidth="1"/>
    <col min="8165" max="8165" width="13" style="1093" customWidth="1"/>
    <col min="8166" max="8166" width="11.42578125" style="1093" customWidth="1"/>
    <col min="8167" max="8167" width="10" style="1093" customWidth="1"/>
    <col min="8168" max="8168" width="7.85546875" style="1093" customWidth="1"/>
    <col min="8169" max="8169" width="10.140625" style="1093" customWidth="1"/>
    <col min="8170" max="8171" width="7.85546875" style="1093" customWidth="1"/>
    <col min="8172" max="8172" width="10.85546875" style="1093" customWidth="1"/>
    <col min="8173" max="8173" width="10.7109375" style="1093" customWidth="1"/>
    <col min="8174" max="8174" width="11" style="1093" customWidth="1"/>
    <col min="8175" max="8177" width="7.85546875" style="1093" customWidth="1"/>
    <col min="8178" max="8178" width="11.28515625" style="1093" customWidth="1"/>
    <col min="8179" max="8179" width="12.42578125" style="1093" customWidth="1"/>
    <col min="8180" max="8180" width="11" style="1093" customWidth="1"/>
    <col min="8181" max="8182" width="7.85546875" style="1093" customWidth="1"/>
    <col min="8183" max="8183" width="11" style="1093" customWidth="1"/>
    <col min="8184" max="8184" width="10.5703125" style="1093" customWidth="1"/>
    <col min="8185" max="8186" width="11" style="1093" customWidth="1"/>
    <col min="8187" max="8191" width="7.85546875" style="1093" bestFit="1" customWidth="1"/>
    <col min="8192" max="8192" width="8.42578125" style="1093" bestFit="1" customWidth="1"/>
    <col min="8193" max="8193" width="11.42578125" style="1093" customWidth="1"/>
    <col min="8194" max="8194" width="7.85546875" style="1093" bestFit="1" customWidth="1"/>
    <col min="8195" max="8195" width="9.5703125" style="1093" customWidth="1"/>
    <col min="8196" max="8196" width="7.85546875" style="1093" bestFit="1" customWidth="1"/>
    <col min="8197" max="8197" width="12" style="1093" customWidth="1"/>
    <col min="8198" max="8198" width="13.42578125" style="1093" customWidth="1"/>
    <col min="8199" max="8199" width="9.5703125" style="1093" bestFit="1" customWidth="1"/>
    <col min="8200" max="8206" width="9.140625" style="1093" customWidth="1"/>
    <col min="8207" max="8410" width="9.140625" style="1093"/>
    <col min="8411" max="8411" width="16.7109375" style="1093" customWidth="1"/>
    <col min="8412" max="8412" width="52.5703125" style="1093" customWidth="1"/>
    <col min="8413" max="8413" width="11" style="1093" customWidth="1"/>
    <col min="8414" max="8414" width="13.42578125" style="1093" customWidth="1"/>
    <col min="8415" max="8415" width="11.28515625" style="1093" customWidth="1"/>
    <col min="8416" max="8416" width="10.28515625" style="1093" customWidth="1"/>
    <col min="8417" max="8417" width="13.85546875" style="1093" customWidth="1"/>
    <col min="8418" max="8419" width="7.85546875" style="1093" customWidth="1"/>
    <col min="8420" max="8420" width="10.85546875" style="1093" customWidth="1"/>
    <col min="8421" max="8421" width="13" style="1093" customWidth="1"/>
    <col min="8422" max="8422" width="11.42578125" style="1093" customWidth="1"/>
    <col min="8423" max="8423" width="10" style="1093" customWidth="1"/>
    <col min="8424" max="8424" width="7.85546875" style="1093" customWidth="1"/>
    <col min="8425" max="8425" width="10.140625" style="1093" customWidth="1"/>
    <col min="8426" max="8427" width="7.85546875" style="1093" customWidth="1"/>
    <col min="8428" max="8428" width="10.85546875" style="1093" customWidth="1"/>
    <col min="8429" max="8429" width="10.7109375" style="1093" customWidth="1"/>
    <col min="8430" max="8430" width="11" style="1093" customWidth="1"/>
    <col min="8431" max="8433" width="7.85546875" style="1093" customWidth="1"/>
    <col min="8434" max="8434" width="11.28515625" style="1093" customWidth="1"/>
    <col min="8435" max="8435" width="12.42578125" style="1093" customWidth="1"/>
    <col min="8436" max="8436" width="11" style="1093" customWidth="1"/>
    <col min="8437" max="8438" width="7.85546875" style="1093" customWidth="1"/>
    <col min="8439" max="8439" width="11" style="1093" customWidth="1"/>
    <col min="8440" max="8440" width="10.5703125" style="1093" customWidth="1"/>
    <col min="8441" max="8442" width="11" style="1093" customWidth="1"/>
    <col min="8443" max="8447" width="7.85546875" style="1093" bestFit="1" customWidth="1"/>
    <col min="8448" max="8448" width="8.42578125" style="1093" bestFit="1" customWidth="1"/>
    <col min="8449" max="8449" width="11.42578125" style="1093" customWidth="1"/>
    <col min="8450" max="8450" width="7.85546875" style="1093" bestFit="1" customWidth="1"/>
    <col min="8451" max="8451" width="9.5703125" style="1093" customWidth="1"/>
    <col min="8452" max="8452" width="7.85546875" style="1093" bestFit="1" customWidth="1"/>
    <col min="8453" max="8453" width="12" style="1093" customWidth="1"/>
    <col min="8454" max="8454" width="13.42578125" style="1093" customWidth="1"/>
    <col min="8455" max="8455" width="9.5703125" style="1093" bestFit="1" customWidth="1"/>
    <col min="8456" max="8462" width="9.140625" style="1093" customWidth="1"/>
    <col min="8463" max="8666" width="9.140625" style="1093"/>
    <col min="8667" max="8667" width="16.7109375" style="1093" customWidth="1"/>
    <col min="8668" max="8668" width="52.5703125" style="1093" customWidth="1"/>
    <col min="8669" max="8669" width="11" style="1093" customWidth="1"/>
    <col min="8670" max="8670" width="13.42578125" style="1093" customWidth="1"/>
    <col min="8671" max="8671" width="11.28515625" style="1093" customWidth="1"/>
    <col min="8672" max="8672" width="10.28515625" style="1093" customWidth="1"/>
    <col min="8673" max="8673" width="13.85546875" style="1093" customWidth="1"/>
    <col min="8674" max="8675" width="7.85546875" style="1093" customWidth="1"/>
    <col min="8676" max="8676" width="10.85546875" style="1093" customWidth="1"/>
    <col min="8677" max="8677" width="13" style="1093" customWidth="1"/>
    <col min="8678" max="8678" width="11.42578125" style="1093" customWidth="1"/>
    <col min="8679" max="8679" width="10" style="1093" customWidth="1"/>
    <col min="8680" max="8680" width="7.85546875" style="1093" customWidth="1"/>
    <col min="8681" max="8681" width="10.140625" style="1093" customWidth="1"/>
    <col min="8682" max="8683" width="7.85546875" style="1093" customWidth="1"/>
    <col min="8684" max="8684" width="10.85546875" style="1093" customWidth="1"/>
    <col min="8685" max="8685" width="10.7109375" style="1093" customWidth="1"/>
    <col min="8686" max="8686" width="11" style="1093" customWidth="1"/>
    <col min="8687" max="8689" width="7.85546875" style="1093" customWidth="1"/>
    <col min="8690" max="8690" width="11.28515625" style="1093" customWidth="1"/>
    <col min="8691" max="8691" width="12.42578125" style="1093" customWidth="1"/>
    <col min="8692" max="8692" width="11" style="1093" customWidth="1"/>
    <col min="8693" max="8694" width="7.85546875" style="1093" customWidth="1"/>
    <col min="8695" max="8695" width="11" style="1093" customWidth="1"/>
    <col min="8696" max="8696" width="10.5703125" style="1093" customWidth="1"/>
    <col min="8697" max="8698" width="11" style="1093" customWidth="1"/>
    <col min="8699" max="8703" width="7.85546875" style="1093" bestFit="1" customWidth="1"/>
    <col min="8704" max="8704" width="8.42578125" style="1093" bestFit="1" customWidth="1"/>
    <col min="8705" max="8705" width="11.42578125" style="1093" customWidth="1"/>
    <col min="8706" max="8706" width="7.85546875" style="1093" bestFit="1" customWidth="1"/>
    <col min="8707" max="8707" width="9.5703125" style="1093" customWidth="1"/>
    <col min="8708" max="8708" width="7.85546875" style="1093" bestFit="1" customWidth="1"/>
    <col min="8709" max="8709" width="12" style="1093" customWidth="1"/>
    <col min="8710" max="8710" width="13.42578125" style="1093" customWidth="1"/>
    <col min="8711" max="8711" width="9.5703125" style="1093" bestFit="1" customWidth="1"/>
    <col min="8712" max="8718" width="9.140625" style="1093" customWidth="1"/>
    <col min="8719" max="8922" width="9.140625" style="1093"/>
    <col min="8923" max="8923" width="16.7109375" style="1093" customWidth="1"/>
    <col min="8924" max="8924" width="52.5703125" style="1093" customWidth="1"/>
    <col min="8925" max="8925" width="11" style="1093" customWidth="1"/>
    <col min="8926" max="8926" width="13.42578125" style="1093" customWidth="1"/>
    <col min="8927" max="8927" width="11.28515625" style="1093" customWidth="1"/>
    <col min="8928" max="8928" width="10.28515625" style="1093" customWidth="1"/>
    <col min="8929" max="8929" width="13.85546875" style="1093" customWidth="1"/>
    <col min="8930" max="8931" width="7.85546875" style="1093" customWidth="1"/>
    <col min="8932" max="8932" width="10.85546875" style="1093" customWidth="1"/>
    <col min="8933" max="8933" width="13" style="1093" customWidth="1"/>
    <col min="8934" max="8934" width="11.42578125" style="1093" customWidth="1"/>
    <col min="8935" max="8935" width="10" style="1093" customWidth="1"/>
    <col min="8936" max="8936" width="7.85546875" style="1093" customWidth="1"/>
    <col min="8937" max="8937" width="10.140625" style="1093" customWidth="1"/>
    <col min="8938" max="8939" width="7.85546875" style="1093" customWidth="1"/>
    <col min="8940" max="8940" width="10.85546875" style="1093" customWidth="1"/>
    <col min="8941" max="8941" width="10.7109375" style="1093" customWidth="1"/>
    <col min="8942" max="8942" width="11" style="1093" customWidth="1"/>
    <col min="8943" max="8945" width="7.85546875" style="1093" customWidth="1"/>
    <col min="8946" max="8946" width="11.28515625" style="1093" customWidth="1"/>
    <col min="8947" max="8947" width="12.42578125" style="1093" customWidth="1"/>
    <col min="8948" max="8948" width="11" style="1093" customWidth="1"/>
    <col min="8949" max="8950" width="7.85546875" style="1093" customWidth="1"/>
    <col min="8951" max="8951" width="11" style="1093" customWidth="1"/>
    <col min="8952" max="8952" width="10.5703125" style="1093" customWidth="1"/>
    <col min="8953" max="8954" width="11" style="1093" customWidth="1"/>
    <col min="8955" max="8959" width="7.85546875" style="1093" bestFit="1" customWidth="1"/>
    <col min="8960" max="8960" width="8.42578125" style="1093" bestFit="1" customWidth="1"/>
    <col min="8961" max="8961" width="11.42578125" style="1093" customWidth="1"/>
    <col min="8962" max="8962" width="7.85546875" style="1093" bestFit="1" customWidth="1"/>
    <col min="8963" max="8963" width="9.5703125" style="1093" customWidth="1"/>
    <col min="8964" max="8964" width="7.85546875" style="1093" bestFit="1" customWidth="1"/>
    <col min="8965" max="8965" width="12" style="1093" customWidth="1"/>
    <col min="8966" max="8966" width="13.42578125" style="1093" customWidth="1"/>
    <col min="8967" max="8967" width="9.5703125" style="1093" bestFit="1" customWidth="1"/>
    <col min="8968" max="8974" width="9.140625" style="1093" customWidth="1"/>
    <col min="8975" max="9178" width="9.140625" style="1093"/>
    <col min="9179" max="9179" width="16.7109375" style="1093" customWidth="1"/>
    <col min="9180" max="9180" width="52.5703125" style="1093" customWidth="1"/>
    <col min="9181" max="9181" width="11" style="1093" customWidth="1"/>
    <col min="9182" max="9182" width="13.42578125" style="1093" customWidth="1"/>
    <col min="9183" max="9183" width="11.28515625" style="1093" customWidth="1"/>
    <col min="9184" max="9184" width="10.28515625" style="1093" customWidth="1"/>
    <col min="9185" max="9185" width="13.85546875" style="1093" customWidth="1"/>
    <col min="9186" max="9187" width="7.85546875" style="1093" customWidth="1"/>
    <col min="9188" max="9188" width="10.85546875" style="1093" customWidth="1"/>
    <col min="9189" max="9189" width="13" style="1093" customWidth="1"/>
    <col min="9190" max="9190" width="11.42578125" style="1093" customWidth="1"/>
    <col min="9191" max="9191" width="10" style="1093" customWidth="1"/>
    <col min="9192" max="9192" width="7.85546875" style="1093" customWidth="1"/>
    <col min="9193" max="9193" width="10.140625" style="1093" customWidth="1"/>
    <col min="9194" max="9195" width="7.85546875" style="1093" customWidth="1"/>
    <col min="9196" max="9196" width="10.85546875" style="1093" customWidth="1"/>
    <col min="9197" max="9197" width="10.7109375" style="1093" customWidth="1"/>
    <col min="9198" max="9198" width="11" style="1093" customWidth="1"/>
    <col min="9199" max="9201" width="7.85546875" style="1093" customWidth="1"/>
    <col min="9202" max="9202" width="11.28515625" style="1093" customWidth="1"/>
    <col min="9203" max="9203" width="12.42578125" style="1093" customWidth="1"/>
    <col min="9204" max="9204" width="11" style="1093" customWidth="1"/>
    <col min="9205" max="9206" width="7.85546875" style="1093" customWidth="1"/>
    <col min="9207" max="9207" width="11" style="1093" customWidth="1"/>
    <col min="9208" max="9208" width="10.5703125" style="1093" customWidth="1"/>
    <col min="9209" max="9210" width="11" style="1093" customWidth="1"/>
    <col min="9211" max="9215" width="7.85546875" style="1093" bestFit="1" customWidth="1"/>
    <col min="9216" max="9216" width="8.42578125" style="1093" bestFit="1" customWidth="1"/>
    <col min="9217" max="9217" width="11.42578125" style="1093" customWidth="1"/>
    <col min="9218" max="9218" width="7.85546875" style="1093" bestFit="1" customWidth="1"/>
    <col min="9219" max="9219" width="9.5703125" style="1093" customWidth="1"/>
    <col min="9220" max="9220" width="7.85546875" style="1093" bestFit="1" customWidth="1"/>
    <col min="9221" max="9221" width="12" style="1093" customWidth="1"/>
    <col min="9222" max="9222" width="13.42578125" style="1093" customWidth="1"/>
    <col min="9223" max="9223" width="9.5703125" style="1093" bestFit="1" customWidth="1"/>
    <col min="9224" max="9230" width="9.140625" style="1093" customWidth="1"/>
    <col min="9231" max="9434" width="9.140625" style="1093"/>
    <col min="9435" max="9435" width="16.7109375" style="1093" customWidth="1"/>
    <col min="9436" max="9436" width="52.5703125" style="1093" customWidth="1"/>
    <col min="9437" max="9437" width="11" style="1093" customWidth="1"/>
    <col min="9438" max="9438" width="13.42578125" style="1093" customWidth="1"/>
    <col min="9439" max="9439" width="11.28515625" style="1093" customWidth="1"/>
    <col min="9440" max="9440" width="10.28515625" style="1093" customWidth="1"/>
    <col min="9441" max="9441" width="13.85546875" style="1093" customWidth="1"/>
    <col min="9442" max="9443" width="7.85546875" style="1093" customWidth="1"/>
    <col min="9444" max="9444" width="10.85546875" style="1093" customWidth="1"/>
    <col min="9445" max="9445" width="13" style="1093" customWidth="1"/>
    <col min="9446" max="9446" width="11.42578125" style="1093" customWidth="1"/>
    <col min="9447" max="9447" width="10" style="1093" customWidth="1"/>
    <col min="9448" max="9448" width="7.85546875" style="1093" customWidth="1"/>
    <col min="9449" max="9449" width="10.140625" style="1093" customWidth="1"/>
    <col min="9450" max="9451" width="7.85546875" style="1093" customWidth="1"/>
    <col min="9452" max="9452" width="10.85546875" style="1093" customWidth="1"/>
    <col min="9453" max="9453" width="10.7109375" style="1093" customWidth="1"/>
    <col min="9454" max="9454" width="11" style="1093" customWidth="1"/>
    <col min="9455" max="9457" width="7.85546875" style="1093" customWidth="1"/>
    <col min="9458" max="9458" width="11.28515625" style="1093" customWidth="1"/>
    <col min="9459" max="9459" width="12.42578125" style="1093" customWidth="1"/>
    <col min="9460" max="9460" width="11" style="1093" customWidth="1"/>
    <col min="9461" max="9462" width="7.85546875" style="1093" customWidth="1"/>
    <col min="9463" max="9463" width="11" style="1093" customWidth="1"/>
    <col min="9464" max="9464" width="10.5703125" style="1093" customWidth="1"/>
    <col min="9465" max="9466" width="11" style="1093" customWidth="1"/>
    <col min="9467" max="9471" width="7.85546875" style="1093" bestFit="1" customWidth="1"/>
    <col min="9472" max="9472" width="8.42578125" style="1093" bestFit="1" customWidth="1"/>
    <col min="9473" max="9473" width="11.42578125" style="1093" customWidth="1"/>
    <col min="9474" max="9474" width="7.85546875" style="1093" bestFit="1" customWidth="1"/>
    <col min="9475" max="9475" width="9.5703125" style="1093" customWidth="1"/>
    <col min="9476" max="9476" width="7.85546875" style="1093" bestFit="1" customWidth="1"/>
    <col min="9477" max="9477" width="12" style="1093" customWidth="1"/>
    <col min="9478" max="9478" width="13.42578125" style="1093" customWidth="1"/>
    <col min="9479" max="9479" width="9.5703125" style="1093" bestFit="1" customWidth="1"/>
    <col min="9480" max="9486" width="9.140625" style="1093" customWidth="1"/>
    <col min="9487" max="9690" width="9.140625" style="1093"/>
    <col min="9691" max="9691" width="16.7109375" style="1093" customWidth="1"/>
    <col min="9692" max="9692" width="52.5703125" style="1093" customWidth="1"/>
    <col min="9693" max="9693" width="11" style="1093" customWidth="1"/>
    <col min="9694" max="9694" width="13.42578125" style="1093" customWidth="1"/>
    <col min="9695" max="9695" width="11.28515625" style="1093" customWidth="1"/>
    <col min="9696" max="9696" width="10.28515625" style="1093" customWidth="1"/>
    <col min="9697" max="9697" width="13.85546875" style="1093" customWidth="1"/>
    <col min="9698" max="9699" width="7.85546875" style="1093" customWidth="1"/>
    <col min="9700" max="9700" width="10.85546875" style="1093" customWidth="1"/>
    <col min="9701" max="9701" width="13" style="1093" customWidth="1"/>
    <col min="9702" max="9702" width="11.42578125" style="1093" customWidth="1"/>
    <col min="9703" max="9703" width="10" style="1093" customWidth="1"/>
    <col min="9704" max="9704" width="7.85546875" style="1093" customWidth="1"/>
    <col min="9705" max="9705" width="10.140625" style="1093" customWidth="1"/>
    <col min="9706" max="9707" width="7.85546875" style="1093" customWidth="1"/>
    <col min="9708" max="9708" width="10.85546875" style="1093" customWidth="1"/>
    <col min="9709" max="9709" width="10.7109375" style="1093" customWidth="1"/>
    <col min="9710" max="9710" width="11" style="1093" customWidth="1"/>
    <col min="9711" max="9713" width="7.85546875" style="1093" customWidth="1"/>
    <col min="9714" max="9714" width="11.28515625" style="1093" customWidth="1"/>
    <col min="9715" max="9715" width="12.42578125" style="1093" customWidth="1"/>
    <col min="9716" max="9716" width="11" style="1093" customWidth="1"/>
    <col min="9717" max="9718" width="7.85546875" style="1093" customWidth="1"/>
    <col min="9719" max="9719" width="11" style="1093" customWidth="1"/>
    <col min="9720" max="9720" width="10.5703125" style="1093" customWidth="1"/>
    <col min="9721" max="9722" width="11" style="1093" customWidth="1"/>
    <col min="9723" max="9727" width="7.85546875" style="1093" bestFit="1" customWidth="1"/>
    <col min="9728" max="9728" width="8.42578125" style="1093" bestFit="1" customWidth="1"/>
    <col min="9729" max="9729" width="11.42578125" style="1093" customWidth="1"/>
    <col min="9730" max="9730" width="7.85546875" style="1093" bestFit="1" customWidth="1"/>
    <col min="9731" max="9731" width="9.5703125" style="1093" customWidth="1"/>
    <col min="9732" max="9732" width="7.85546875" style="1093" bestFit="1" customWidth="1"/>
    <col min="9733" max="9733" width="12" style="1093" customWidth="1"/>
    <col min="9734" max="9734" width="13.42578125" style="1093" customWidth="1"/>
    <col min="9735" max="9735" width="9.5703125" style="1093" bestFit="1" customWidth="1"/>
    <col min="9736" max="9742" width="9.140625" style="1093" customWidth="1"/>
    <col min="9743" max="9946" width="9.140625" style="1093"/>
    <col min="9947" max="9947" width="16.7109375" style="1093" customWidth="1"/>
    <col min="9948" max="9948" width="52.5703125" style="1093" customWidth="1"/>
    <col min="9949" max="9949" width="11" style="1093" customWidth="1"/>
    <col min="9950" max="9950" width="13.42578125" style="1093" customWidth="1"/>
    <col min="9951" max="9951" width="11.28515625" style="1093" customWidth="1"/>
    <col min="9952" max="9952" width="10.28515625" style="1093" customWidth="1"/>
    <col min="9953" max="9953" width="13.85546875" style="1093" customWidth="1"/>
    <col min="9954" max="9955" width="7.85546875" style="1093" customWidth="1"/>
    <col min="9956" max="9956" width="10.85546875" style="1093" customWidth="1"/>
    <col min="9957" max="9957" width="13" style="1093" customWidth="1"/>
    <col min="9958" max="9958" width="11.42578125" style="1093" customWidth="1"/>
    <col min="9959" max="9959" width="10" style="1093" customWidth="1"/>
    <col min="9960" max="9960" width="7.85546875" style="1093" customWidth="1"/>
    <col min="9961" max="9961" width="10.140625" style="1093" customWidth="1"/>
    <col min="9962" max="9963" width="7.85546875" style="1093" customWidth="1"/>
    <col min="9964" max="9964" width="10.85546875" style="1093" customWidth="1"/>
    <col min="9965" max="9965" width="10.7109375" style="1093" customWidth="1"/>
    <col min="9966" max="9966" width="11" style="1093" customWidth="1"/>
    <col min="9967" max="9969" width="7.85546875" style="1093" customWidth="1"/>
    <col min="9970" max="9970" width="11.28515625" style="1093" customWidth="1"/>
    <col min="9971" max="9971" width="12.42578125" style="1093" customWidth="1"/>
    <col min="9972" max="9972" width="11" style="1093" customWidth="1"/>
    <col min="9973" max="9974" width="7.85546875" style="1093" customWidth="1"/>
    <col min="9975" max="9975" width="11" style="1093" customWidth="1"/>
    <col min="9976" max="9976" width="10.5703125" style="1093" customWidth="1"/>
    <col min="9977" max="9978" width="11" style="1093" customWidth="1"/>
    <col min="9979" max="9983" width="7.85546875" style="1093" bestFit="1" customWidth="1"/>
    <col min="9984" max="9984" width="8.42578125" style="1093" bestFit="1" customWidth="1"/>
    <col min="9985" max="9985" width="11.42578125" style="1093" customWidth="1"/>
    <col min="9986" max="9986" width="7.85546875" style="1093" bestFit="1" customWidth="1"/>
    <col min="9987" max="9987" width="9.5703125" style="1093" customWidth="1"/>
    <col min="9988" max="9988" width="7.85546875" style="1093" bestFit="1" customWidth="1"/>
    <col min="9989" max="9989" width="12" style="1093" customWidth="1"/>
    <col min="9990" max="9990" width="13.42578125" style="1093" customWidth="1"/>
    <col min="9991" max="9991" width="9.5703125" style="1093" bestFit="1" customWidth="1"/>
    <col min="9992" max="9998" width="9.140625" style="1093" customWidth="1"/>
    <col min="9999" max="10202" width="9.140625" style="1093"/>
    <col min="10203" max="10203" width="16.7109375" style="1093" customWidth="1"/>
    <col min="10204" max="10204" width="52.5703125" style="1093" customWidth="1"/>
    <col min="10205" max="10205" width="11" style="1093" customWidth="1"/>
    <col min="10206" max="10206" width="13.42578125" style="1093" customWidth="1"/>
    <col min="10207" max="10207" width="11.28515625" style="1093" customWidth="1"/>
    <col min="10208" max="10208" width="10.28515625" style="1093" customWidth="1"/>
    <col min="10209" max="10209" width="13.85546875" style="1093" customWidth="1"/>
    <col min="10210" max="10211" width="7.85546875" style="1093" customWidth="1"/>
    <col min="10212" max="10212" width="10.85546875" style="1093" customWidth="1"/>
    <col min="10213" max="10213" width="13" style="1093" customWidth="1"/>
    <col min="10214" max="10214" width="11.42578125" style="1093" customWidth="1"/>
    <col min="10215" max="10215" width="10" style="1093" customWidth="1"/>
    <col min="10216" max="10216" width="7.85546875" style="1093" customWidth="1"/>
    <col min="10217" max="10217" width="10.140625" style="1093" customWidth="1"/>
    <col min="10218" max="10219" width="7.85546875" style="1093" customWidth="1"/>
    <col min="10220" max="10220" width="10.85546875" style="1093" customWidth="1"/>
    <col min="10221" max="10221" width="10.7109375" style="1093" customWidth="1"/>
    <col min="10222" max="10222" width="11" style="1093" customWidth="1"/>
    <col min="10223" max="10225" width="7.85546875" style="1093" customWidth="1"/>
    <col min="10226" max="10226" width="11.28515625" style="1093" customWidth="1"/>
    <col min="10227" max="10227" width="12.42578125" style="1093" customWidth="1"/>
    <col min="10228" max="10228" width="11" style="1093" customWidth="1"/>
    <col min="10229" max="10230" width="7.85546875" style="1093" customWidth="1"/>
    <col min="10231" max="10231" width="11" style="1093" customWidth="1"/>
    <col min="10232" max="10232" width="10.5703125" style="1093" customWidth="1"/>
    <col min="10233" max="10234" width="11" style="1093" customWidth="1"/>
    <col min="10235" max="10239" width="7.85546875" style="1093" bestFit="1" customWidth="1"/>
    <col min="10240" max="10240" width="8.42578125" style="1093" bestFit="1" customWidth="1"/>
    <col min="10241" max="10241" width="11.42578125" style="1093" customWidth="1"/>
    <col min="10242" max="10242" width="7.85546875" style="1093" bestFit="1" customWidth="1"/>
    <col min="10243" max="10243" width="9.5703125" style="1093" customWidth="1"/>
    <col min="10244" max="10244" width="7.85546875" style="1093" bestFit="1" customWidth="1"/>
    <col min="10245" max="10245" width="12" style="1093" customWidth="1"/>
    <col min="10246" max="10246" width="13.42578125" style="1093" customWidth="1"/>
    <col min="10247" max="10247" width="9.5703125" style="1093" bestFit="1" customWidth="1"/>
    <col min="10248" max="10254" width="9.140625" style="1093" customWidth="1"/>
    <col min="10255" max="10458" width="9.140625" style="1093"/>
    <col min="10459" max="10459" width="16.7109375" style="1093" customWidth="1"/>
    <col min="10460" max="10460" width="52.5703125" style="1093" customWidth="1"/>
    <col min="10461" max="10461" width="11" style="1093" customWidth="1"/>
    <col min="10462" max="10462" width="13.42578125" style="1093" customWidth="1"/>
    <col min="10463" max="10463" width="11.28515625" style="1093" customWidth="1"/>
    <col min="10464" max="10464" width="10.28515625" style="1093" customWidth="1"/>
    <col min="10465" max="10465" width="13.85546875" style="1093" customWidth="1"/>
    <col min="10466" max="10467" width="7.85546875" style="1093" customWidth="1"/>
    <col min="10468" max="10468" width="10.85546875" style="1093" customWidth="1"/>
    <col min="10469" max="10469" width="13" style="1093" customWidth="1"/>
    <col min="10470" max="10470" width="11.42578125" style="1093" customWidth="1"/>
    <col min="10471" max="10471" width="10" style="1093" customWidth="1"/>
    <col min="10472" max="10472" width="7.85546875" style="1093" customWidth="1"/>
    <col min="10473" max="10473" width="10.140625" style="1093" customWidth="1"/>
    <col min="10474" max="10475" width="7.85546875" style="1093" customWidth="1"/>
    <col min="10476" max="10476" width="10.85546875" style="1093" customWidth="1"/>
    <col min="10477" max="10477" width="10.7109375" style="1093" customWidth="1"/>
    <col min="10478" max="10478" width="11" style="1093" customWidth="1"/>
    <col min="10479" max="10481" width="7.85546875" style="1093" customWidth="1"/>
    <col min="10482" max="10482" width="11.28515625" style="1093" customWidth="1"/>
    <col min="10483" max="10483" width="12.42578125" style="1093" customWidth="1"/>
    <col min="10484" max="10484" width="11" style="1093" customWidth="1"/>
    <col min="10485" max="10486" width="7.85546875" style="1093" customWidth="1"/>
    <col min="10487" max="10487" width="11" style="1093" customWidth="1"/>
    <col min="10488" max="10488" width="10.5703125" style="1093" customWidth="1"/>
    <col min="10489" max="10490" width="11" style="1093" customWidth="1"/>
    <col min="10491" max="10495" width="7.85546875" style="1093" bestFit="1" customWidth="1"/>
    <col min="10496" max="10496" width="8.42578125" style="1093" bestFit="1" customWidth="1"/>
    <col min="10497" max="10497" width="11.42578125" style="1093" customWidth="1"/>
    <col min="10498" max="10498" width="7.85546875" style="1093" bestFit="1" customWidth="1"/>
    <col min="10499" max="10499" width="9.5703125" style="1093" customWidth="1"/>
    <col min="10500" max="10500" width="7.85546875" style="1093" bestFit="1" customWidth="1"/>
    <col min="10501" max="10501" width="12" style="1093" customWidth="1"/>
    <col min="10502" max="10502" width="13.42578125" style="1093" customWidth="1"/>
    <col min="10503" max="10503" width="9.5703125" style="1093" bestFit="1" customWidth="1"/>
    <col min="10504" max="10510" width="9.140625" style="1093" customWidth="1"/>
    <col min="10511" max="10714" width="9.140625" style="1093"/>
    <col min="10715" max="10715" width="16.7109375" style="1093" customWidth="1"/>
    <col min="10716" max="10716" width="52.5703125" style="1093" customWidth="1"/>
    <col min="10717" max="10717" width="11" style="1093" customWidth="1"/>
    <col min="10718" max="10718" width="13.42578125" style="1093" customWidth="1"/>
    <col min="10719" max="10719" width="11.28515625" style="1093" customWidth="1"/>
    <col min="10720" max="10720" width="10.28515625" style="1093" customWidth="1"/>
    <col min="10721" max="10721" width="13.85546875" style="1093" customWidth="1"/>
    <col min="10722" max="10723" width="7.85546875" style="1093" customWidth="1"/>
    <col min="10724" max="10724" width="10.85546875" style="1093" customWidth="1"/>
    <col min="10725" max="10725" width="13" style="1093" customWidth="1"/>
    <col min="10726" max="10726" width="11.42578125" style="1093" customWidth="1"/>
    <col min="10727" max="10727" width="10" style="1093" customWidth="1"/>
    <col min="10728" max="10728" width="7.85546875" style="1093" customWidth="1"/>
    <col min="10729" max="10729" width="10.140625" style="1093" customWidth="1"/>
    <col min="10730" max="10731" width="7.85546875" style="1093" customWidth="1"/>
    <col min="10732" max="10732" width="10.85546875" style="1093" customWidth="1"/>
    <col min="10733" max="10733" width="10.7109375" style="1093" customWidth="1"/>
    <col min="10734" max="10734" width="11" style="1093" customWidth="1"/>
    <col min="10735" max="10737" width="7.85546875" style="1093" customWidth="1"/>
    <col min="10738" max="10738" width="11.28515625" style="1093" customWidth="1"/>
    <col min="10739" max="10739" width="12.42578125" style="1093" customWidth="1"/>
    <col min="10740" max="10740" width="11" style="1093" customWidth="1"/>
    <col min="10741" max="10742" width="7.85546875" style="1093" customWidth="1"/>
    <col min="10743" max="10743" width="11" style="1093" customWidth="1"/>
    <col min="10744" max="10744" width="10.5703125" style="1093" customWidth="1"/>
    <col min="10745" max="10746" width="11" style="1093" customWidth="1"/>
    <col min="10747" max="10751" width="7.85546875" style="1093" bestFit="1" customWidth="1"/>
    <col min="10752" max="10752" width="8.42578125" style="1093" bestFit="1" customWidth="1"/>
    <col min="10753" max="10753" width="11.42578125" style="1093" customWidth="1"/>
    <col min="10754" max="10754" width="7.85546875" style="1093" bestFit="1" customWidth="1"/>
    <col min="10755" max="10755" width="9.5703125" style="1093" customWidth="1"/>
    <col min="10756" max="10756" width="7.85546875" style="1093" bestFit="1" customWidth="1"/>
    <col min="10757" max="10757" width="12" style="1093" customWidth="1"/>
    <col min="10758" max="10758" width="13.42578125" style="1093" customWidth="1"/>
    <col min="10759" max="10759" width="9.5703125" style="1093" bestFit="1" customWidth="1"/>
    <col min="10760" max="10766" width="9.140625" style="1093" customWidth="1"/>
    <col min="10767" max="10970" width="9.140625" style="1093"/>
    <col min="10971" max="10971" width="16.7109375" style="1093" customWidth="1"/>
    <col min="10972" max="10972" width="52.5703125" style="1093" customWidth="1"/>
    <col min="10973" max="10973" width="11" style="1093" customWidth="1"/>
    <col min="10974" max="10974" width="13.42578125" style="1093" customWidth="1"/>
    <col min="10975" max="10975" width="11.28515625" style="1093" customWidth="1"/>
    <col min="10976" max="10976" width="10.28515625" style="1093" customWidth="1"/>
    <col min="10977" max="10977" width="13.85546875" style="1093" customWidth="1"/>
    <col min="10978" max="10979" width="7.85546875" style="1093" customWidth="1"/>
    <col min="10980" max="10980" width="10.85546875" style="1093" customWidth="1"/>
    <col min="10981" max="10981" width="13" style="1093" customWidth="1"/>
    <col min="10982" max="10982" width="11.42578125" style="1093" customWidth="1"/>
    <col min="10983" max="10983" width="10" style="1093" customWidth="1"/>
    <col min="10984" max="10984" width="7.85546875" style="1093" customWidth="1"/>
    <col min="10985" max="10985" width="10.140625" style="1093" customWidth="1"/>
    <col min="10986" max="10987" width="7.85546875" style="1093" customWidth="1"/>
    <col min="10988" max="10988" width="10.85546875" style="1093" customWidth="1"/>
    <col min="10989" max="10989" width="10.7109375" style="1093" customWidth="1"/>
    <col min="10990" max="10990" width="11" style="1093" customWidth="1"/>
    <col min="10991" max="10993" width="7.85546875" style="1093" customWidth="1"/>
    <col min="10994" max="10994" width="11.28515625" style="1093" customWidth="1"/>
    <col min="10995" max="10995" width="12.42578125" style="1093" customWidth="1"/>
    <col min="10996" max="10996" width="11" style="1093" customWidth="1"/>
    <col min="10997" max="10998" width="7.85546875" style="1093" customWidth="1"/>
    <col min="10999" max="10999" width="11" style="1093" customWidth="1"/>
    <col min="11000" max="11000" width="10.5703125" style="1093" customWidth="1"/>
    <col min="11001" max="11002" width="11" style="1093" customWidth="1"/>
    <col min="11003" max="11007" width="7.85546875" style="1093" bestFit="1" customWidth="1"/>
    <col min="11008" max="11008" width="8.42578125" style="1093" bestFit="1" customWidth="1"/>
    <col min="11009" max="11009" width="11.42578125" style="1093" customWidth="1"/>
    <col min="11010" max="11010" width="7.85546875" style="1093" bestFit="1" customWidth="1"/>
    <col min="11011" max="11011" width="9.5703125" style="1093" customWidth="1"/>
    <col min="11012" max="11012" width="7.85546875" style="1093" bestFit="1" customWidth="1"/>
    <col min="11013" max="11013" width="12" style="1093" customWidth="1"/>
    <col min="11014" max="11014" width="13.42578125" style="1093" customWidth="1"/>
    <col min="11015" max="11015" width="9.5703125" style="1093" bestFit="1" customWidth="1"/>
    <col min="11016" max="11022" width="9.140625" style="1093" customWidth="1"/>
    <col min="11023" max="11226" width="9.140625" style="1093"/>
    <col min="11227" max="11227" width="16.7109375" style="1093" customWidth="1"/>
    <col min="11228" max="11228" width="52.5703125" style="1093" customWidth="1"/>
    <col min="11229" max="11229" width="11" style="1093" customWidth="1"/>
    <col min="11230" max="11230" width="13.42578125" style="1093" customWidth="1"/>
    <col min="11231" max="11231" width="11.28515625" style="1093" customWidth="1"/>
    <col min="11232" max="11232" width="10.28515625" style="1093" customWidth="1"/>
    <col min="11233" max="11233" width="13.85546875" style="1093" customWidth="1"/>
    <col min="11234" max="11235" width="7.85546875" style="1093" customWidth="1"/>
    <col min="11236" max="11236" width="10.85546875" style="1093" customWidth="1"/>
    <col min="11237" max="11237" width="13" style="1093" customWidth="1"/>
    <col min="11238" max="11238" width="11.42578125" style="1093" customWidth="1"/>
    <col min="11239" max="11239" width="10" style="1093" customWidth="1"/>
    <col min="11240" max="11240" width="7.85546875" style="1093" customWidth="1"/>
    <col min="11241" max="11241" width="10.140625" style="1093" customWidth="1"/>
    <col min="11242" max="11243" width="7.85546875" style="1093" customWidth="1"/>
    <col min="11244" max="11244" width="10.85546875" style="1093" customWidth="1"/>
    <col min="11245" max="11245" width="10.7109375" style="1093" customWidth="1"/>
    <col min="11246" max="11246" width="11" style="1093" customWidth="1"/>
    <col min="11247" max="11249" width="7.85546875" style="1093" customWidth="1"/>
    <col min="11250" max="11250" width="11.28515625" style="1093" customWidth="1"/>
    <col min="11251" max="11251" width="12.42578125" style="1093" customWidth="1"/>
    <col min="11252" max="11252" width="11" style="1093" customWidth="1"/>
    <col min="11253" max="11254" width="7.85546875" style="1093" customWidth="1"/>
    <col min="11255" max="11255" width="11" style="1093" customWidth="1"/>
    <col min="11256" max="11256" width="10.5703125" style="1093" customWidth="1"/>
    <col min="11257" max="11258" width="11" style="1093" customWidth="1"/>
    <col min="11259" max="11263" width="7.85546875" style="1093" bestFit="1" customWidth="1"/>
    <col min="11264" max="11264" width="8.42578125" style="1093" bestFit="1" customWidth="1"/>
    <col min="11265" max="11265" width="11.42578125" style="1093" customWidth="1"/>
    <col min="11266" max="11266" width="7.85546875" style="1093" bestFit="1" customWidth="1"/>
    <col min="11267" max="11267" width="9.5703125" style="1093" customWidth="1"/>
    <col min="11268" max="11268" width="7.85546875" style="1093" bestFit="1" customWidth="1"/>
    <col min="11269" max="11269" width="12" style="1093" customWidth="1"/>
    <col min="11270" max="11270" width="13.42578125" style="1093" customWidth="1"/>
    <col min="11271" max="11271" width="9.5703125" style="1093" bestFit="1" customWidth="1"/>
    <col min="11272" max="11278" width="9.140625" style="1093" customWidth="1"/>
    <col min="11279" max="11482" width="9.140625" style="1093"/>
    <col min="11483" max="11483" width="16.7109375" style="1093" customWidth="1"/>
    <col min="11484" max="11484" width="52.5703125" style="1093" customWidth="1"/>
    <col min="11485" max="11485" width="11" style="1093" customWidth="1"/>
    <col min="11486" max="11486" width="13.42578125" style="1093" customWidth="1"/>
    <col min="11487" max="11487" width="11.28515625" style="1093" customWidth="1"/>
    <col min="11488" max="11488" width="10.28515625" style="1093" customWidth="1"/>
    <col min="11489" max="11489" width="13.85546875" style="1093" customWidth="1"/>
    <col min="11490" max="11491" width="7.85546875" style="1093" customWidth="1"/>
    <col min="11492" max="11492" width="10.85546875" style="1093" customWidth="1"/>
    <col min="11493" max="11493" width="13" style="1093" customWidth="1"/>
    <col min="11494" max="11494" width="11.42578125" style="1093" customWidth="1"/>
    <col min="11495" max="11495" width="10" style="1093" customWidth="1"/>
    <col min="11496" max="11496" width="7.85546875" style="1093" customWidth="1"/>
    <col min="11497" max="11497" width="10.140625" style="1093" customWidth="1"/>
    <col min="11498" max="11499" width="7.85546875" style="1093" customWidth="1"/>
    <col min="11500" max="11500" width="10.85546875" style="1093" customWidth="1"/>
    <col min="11501" max="11501" width="10.7109375" style="1093" customWidth="1"/>
    <col min="11502" max="11502" width="11" style="1093" customWidth="1"/>
    <col min="11503" max="11505" width="7.85546875" style="1093" customWidth="1"/>
    <col min="11506" max="11506" width="11.28515625" style="1093" customWidth="1"/>
    <col min="11507" max="11507" width="12.42578125" style="1093" customWidth="1"/>
    <col min="11508" max="11508" width="11" style="1093" customWidth="1"/>
    <col min="11509" max="11510" width="7.85546875" style="1093" customWidth="1"/>
    <col min="11511" max="11511" width="11" style="1093" customWidth="1"/>
    <col min="11512" max="11512" width="10.5703125" style="1093" customWidth="1"/>
    <col min="11513" max="11514" width="11" style="1093" customWidth="1"/>
    <col min="11515" max="11519" width="7.85546875" style="1093" bestFit="1" customWidth="1"/>
    <col min="11520" max="11520" width="8.42578125" style="1093" bestFit="1" customWidth="1"/>
    <col min="11521" max="11521" width="11.42578125" style="1093" customWidth="1"/>
    <col min="11522" max="11522" width="7.85546875" style="1093" bestFit="1" customWidth="1"/>
    <col min="11523" max="11523" width="9.5703125" style="1093" customWidth="1"/>
    <col min="11524" max="11524" width="7.85546875" style="1093" bestFit="1" customWidth="1"/>
    <col min="11525" max="11525" width="12" style="1093" customWidth="1"/>
    <col min="11526" max="11526" width="13.42578125" style="1093" customWidth="1"/>
    <col min="11527" max="11527" width="9.5703125" style="1093" bestFit="1" customWidth="1"/>
    <col min="11528" max="11534" width="9.140625" style="1093" customWidth="1"/>
    <col min="11535" max="11738" width="9.140625" style="1093"/>
    <col min="11739" max="11739" width="16.7109375" style="1093" customWidth="1"/>
    <col min="11740" max="11740" width="52.5703125" style="1093" customWidth="1"/>
    <col min="11741" max="11741" width="11" style="1093" customWidth="1"/>
    <col min="11742" max="11742" width="13.42578125" style="1093" customWidth="1"/>
    <col min="11743" max="11743" width="11.28515625" style="1093" customWidth="1"/>
    <col min="11744" max="11744" width="10.28515625" style="1093" customWidth="1"/>
    <col min="11745" max="11745" width="13.85546875" style="1093" customWidth="1"/>
    <col min="11746" max="11747" width="7.85546875" style="1093" customWidth="1"/>
    <col min="11748" max="11748" width="10.85546875" style="1093" customWidth="1"/>
    <col min="11749" max="11749" width="13" style="1093" customWidth="1"/>
    <col min="11750" max="11750" width="11.42578125" style="1093" customWidth="1"/>
    <col min="11751" max="11751" width="10" style="1093" customWidth="1"/>
    <col min="11752" max="11752" width="7.85546875" style="1093" customWidth="1"/>
    <col min="11753" max="11753" width="10.140625" style="1093" customWidth="1"/>
    <col min="11754" max="11755" width="7.85546875" style="1093" customWidth="1"/>
    <col min="11756" max="11756" width="10.85546875" style="1093" customWidth="1"/>
    <col min="11757" max="11757" width="10.7109375" style="1093" customWidth="1"/>
    <col min="11758" max="11758" width="11" style="1093" customWidth="1"/>
    <col min="11759" max="11761" width="7.85546875" style="1093" customWidth="1"/>
    <col min="11762" max="11762" width="11.28515625" style="1093" customWidth="1"/>
    <col min="11763" max="11763" width="12.42578125" style="1093" customWidth="1"/>
    <col min="11764" max="11764" width="11" style="1093" customWidth="1"/>
    <col min="11765" max="11766" width="7.85546875" style="1093" customWidth="1"/>
    <col min="11767" max="11767" width="11" style="1093" customWidth="1"/>
    <col min="11768" max="11768" width="10.5703125" style="1093" customWidth="1"/>
    <col min="11769" max="11770" width="11" style="1093" customWidth="1"/>
    <col min="11771" max="11775" width="7.85546875" style="1093" bestFit="1" customWidth="1"/>
    <col min="11776" max="11776" width="8.42578125" style="1093" bestFit="1" customWidth="1"/>
    <col min="11777" max="11777" width="11.42578125" style="1093" customWidth="1"/>
    <col min="11778" max="11778" width="7.85546875" style="1093" bestFit="1" customWidth="1"/>
    <col min="11779" max="11779" width="9.5703125" style="1093" customWidth="1"/>
    <col min="11780" max="11780" width="7.85546875" style="1093" bestFit="1" customWidth="1"/>
    <col min="11781" max="11781" width="12" style="1093" customWidth="1"/>
    <col min="11782" max="11782" width="13.42578125" style="1093" customWidth="1"/>
    <col min="11783" max="11783" width="9.5703125" style="1093" bestFit="1" customWidth="1"/>
    <col min="11784" max="11790" width="9.140625" style="1093" customWidth="1"/>
    <col min="11791" max="11994" width="9.140625" style="1093"/>
    <col min="11995" max="11995" width="16.7109375" style="1093" customWidth="1"/>
    <col min="11996" max="11996" width="52.5703125" style="1093" customWidth="1"/>
    <col min="11997" max="11997" width="11" style="1093" customWidth="1"/>
    <col min="11998" max="11998" width="13.42578125" style="1093" customWidth="1"/>
    <col min="11999" max="11999" width="11.28515625" style="1093" customWidth="1"/>
    <col min="12000" max="12000" width="10.28515625" style="1093" customWidth="1"/>
    <col min="12001" max="12001" width="13.85546875" style="1093" customWidth="1"/>
    <col min="12002" max="12003" width="7.85546875" style="1093" customWidth="1"/>
    <col min="12004" max="12004" width="10.85546875" style="1093" customWidth="1"/>
    <col min="12005" max="12005" width="13" style="1093" customWidth="1"/>
    <col min="12006" max="12006" width="11.42578125" style="1093" customWidth="1"/>
    <col min="12007" max="12007" width="10" style="1093" customWidth="1"/>
    <col min="12008" max="12008" width="7.85546875" style="1093" customWidth="1"/>
    <col min="12009" max="12009" width="10.140625" style="1093" customWidth="1"/>
    <col min="12010" max="12011" width="7.85546875" style="1093" customWidth="1"/>
    <col min="12012" max="12012" width="10.85546875" style="1093" customWidth="1"/>
    <col min="12013" max="12013" width="10.7109375" style="1093" customWidth="1"/>
    <col min="12014" max="12014" width="11" style="1093" customWidth="1"/>
    <col min="12015" max="12017" width="7.85546875" style="1093" customWidth="1"/>
    <col min="12018" max="12018" width="11.28515625" style="1093" customWidth="1"/>
    <col min="12019" max="12019" width="12.42578125" style="1093" customWidth="1"/>
    <col min="12020" max="12020" width="11" style="1093" customWidth="1"/>
    <col min="12021" max="12022" width="7.85546875" style="1093" customWidth="1"/>
    <col min="12023" max="12023" width="11" style="1093" customWidth="1"/>
    <col min="12024" max="12024" width="10.5703125" style="1093" customWidth="1"/>
    <col min="12025" max="12026" width="11" style="1093" customWidth="1"/>
    <col min="12027" max="12031" width="7.85546875" style="1093" bestFit="1" customWidth="1"/>
    <col min="12032" max="12032" width="8.42578125" style="1093" bestFit="1" customWidth="1"/>
    <col min="12033" max="12033" width="11.42578125" style="1093" customWidth="1"/>
    <col min="12034" max="12034" width="7.85546875" style="1093" bestFit="1" customWidth="1"/>
    <col min="12035" max="12035" width="9.5703125" style="1093" customWidth="1"/>
    <col min="12036" max="12036" width="7.85546875" style="1093" bestFit="1" customWidth="1"/>
    <col min="12037" max="12037" width="12" style="1093" customWidth="1"/>
    <col min="12038" max="12038" width="13.42578125" style="1093" customWidth="1"/>
    <col min="12039" max="12039" width="9.5703125" style="1093" bestFit="1" customWidth="1"/>
    <col min="12040" max="12046" width="9.140625" style="1093" customWidth="1"/>
    <col min="12047" max="12250" width="9.140625" style="1093"/>
    <col min="12251" max="12251" width="16.7109375" style="1093" customWidth="1"/>
    <col min="12252" max="12252" width="52.5703125" style="1093" customWidth="1"/>
    <col min="12253" max="12253" width="11" style="1093" customWidth="1"/>
    <col min="12254" max="12254" width="13.42578125" style="1093" customWidth="1"/>
    <col min="12255" max="12255" width="11.28515625" style="1093" customWidth="1"/>
    <col min="12256" max="12256" width="10.28515625" style="1093" customWidth="1"/>
    <col min="12257" max="12257" width="13.85546875" style="1093" customWidth="1"/>
    <col min="12258" max="12259" width="7.85546875" style="1093" customWidth="1"/>
    <col min="12260" max="12260" width="10.85546875" style="1093" customWidth="1"/>
    <col min="12261" max="12261" width="13" style="1093" customWidth="1"/>
    <col min="12262" max="12262" width="11.42578125" style="1093" customWidth="1"/>
    <col min="12263" max="12263" width="10" style="1093" customWidth="1"/>
    <col min="12264" max="12264" width="7.85546875" style="1093" customWidth="1"/>
    <col min="12265" max="12265" width="10.140625" style="1093" customWidth="1"/>
    <col min="12266" max="12267" width="7.85546875" style="1093" customWidth="1"/>
    <col min="12268" max="12268" width="10.85546875" style="1093" customWidth="1"/>
    <col min="12269" max="12269" width="10.7109375" style="1093" customWidth="1"/>
    <col min="12270" max="12270" width="11" style="1093" customWidth="1"/>
    <col min="12271" max="12273" width="7.85546875" style="1093" customWidth="1"/>
    <col min="12274" max="12274" width="11.28515625" style="1093" customWidth="1"/>
    <col min="12275" max="12275" width="12.42578125" style="1093" customWidth="1"/>
    <col min="12276" max="12276" width="11" style="1093" customWidth="1"/>
    <col min="12277" max="12278" width="7.85546875" style="1093" customWidth="1"/>
    <col min="12279" max="12279" width="11" style="1093" customWidth="1"/>
    <col min="12280" max="12280" width="10.5703125" style="1093" customWidth="1"/>
    <col min="12281" max="12282" width="11" style="1093" customWidth="1"/>
    <col min="12283" max="12287" width="7.85546875" style="1093" bestFit="1" customWidth="1"/>
    <col min="12288" max="12288" width="8.42578125" style="1093" bestFit="1" customWidth="1"/>
    <col min="12289" max="12289" width="11.42578125" style="1093" customWidth="1"/>
    <col min="12290" max="12290" width="7.85546875" style="1093" bestFit="1" customWidth="1"/>
    <col min="12291" max="12291" width="9.5703125" style="1093" customWidth="1"/>
    <col min="12292" max="12292" width="7.85546875" style="1093" bestFit="1" customWidth="1"/>
    <col min="12293" max="12293" width="12" style="1093" customWidth="1"/>
    <col min="12294" max="12294" width="13.42578125" style="1093" customWidth="1"/>
    <col min="12295" max="12295" width="9.5703125" style="1093" bestFit="1" customWidth="1"/>
    <col min="12296" max="12302" width="9.140625" style="1093" customWidth="1"/>
    <col min="12303" max="12506" width="9.140625" style="1093"/>
    <col min="12507" max="12507" width="16.7109375" style="1093" customWidth="1"/>
    <col min="12508" max="12508" width="52.5703125" style="1093" customWidth="1"/>
    <col min="12509" max="12509" width="11" style="1093" customWidth="1"/>
    <col min="12510" max="12510" width="13.42578125" style="1093" customWidth="1"/>
    <col min="12511" max="12511" width="11.28515625" style="1093" customWidth="1"/>
    <col min="12512" max="12512" width="10.28515625" style="1093" customWidth="1"/>
    <col min="12513" max="12513" width="13.85546875" style="1093" customWidth="1"/>
    <col min="12514" max="12515" width="7.85546875" style="1093" customWidth="1"/>
    <col min="12516" max="12516" width="10.85546875" style="1093" customWidth="1"/>
    <col min="12517" max="12517" width="13" style="1093" customWidth="1"/>
    <col min="12518" max="12518" width="11.42578125" style="1093" customWidth="1"/>
    <col min="12519" max="12519" width="10" style="1093" customWidth="1"/>
    <col min="12520" max="12520" width="7.85546875" style="1093" customWidth="1"/>
    <col min="12521" max="12521" width="10.140625" style="1093" customWidth="1"/>
    <col min="12522" max="12523" width="7.85546875" style="1093" customWidth="1"/>
    <col min="12524" max="12524" width="10.85546875" style="1093" customWidth="1"/>
    <col min="12525" max="12525" width="10.7109375" style="1093" customWidth="1"/>
    <col min="12526" max="12526" width="11" style="1093" customWidth="1"/>
    <col min="12527" max="12529" width="7.85546875" style="1093" customWidth="1"/>
    <col min="12530" max="12530" width="11.28515625" style="1093" customWidth="1"/>
    <col min="12531" max="12531" width="12.42578125" style="1093" customWidth="1"/>
    <col min="12532" max="12532" width="11" style="1093" customWidth="1"/>
    <col min="12533" max="12534" width="7.85546875" style="1093" customWidth="1"/>
    <col min="12535" max="12535" width="11" style="1093" customWidth="1"/>
    <col min="12536" max="12536" width="10.5703125" style="1093" customWidth="1"/>
    <col min="12537" max="12538" width="11" style="1093" customWidth="1"/>
    <col min="12539" max="12543" width="7.85546875" style="1093" bestFit="1" customWidth="1"/>
    <col min="12544" max="12544" width="8.42578125" style="1093" bestFit="1" customWidth="1"/>
    <col min="12545" max="12545" width="11.42578125" style="1093" customWidth="1"/>
    <col min="12546" max="12546" width="7.85546875" style="1093" bestFit="1" customWidth="1"/>
    <col min="12547" max="12547" width="9.5703125" style="1093" customWidth="1"/>
    <col min="12548" max="12548" width="7.85546875" style="1093" bestFit="1" customWidth="1"/>
    <col min="12549" max="12549" width="12" style="1093" customWidth="1"/>
    <col min="12550" max="12550" width="13.42578125" style="1093" customWidth="1"/>
    <col min="12551" max="12551" width="9.5703125" style="1093" bestFit="1" customWidth="1"/>
    <col min="12552" max="12558" width="9.140625" style="1093" customWidth="1"/>
    <col min="12559" max="12762" width="9.140625" style="1093"/>
    <col min="12763" max="12763" width="16.7109375" style="1093" customWidth="1"/>
    <col min="12764" max="12764" width="52.5703125" style="1093" customWidth="1"/>
    <col min="12765" max="12765" width="11" style="1093" customWidth="1"/>
    <col min="12766" max="12766" width="13.42578125" style="1093" customWidth="1"/>
    <col min="12767" max="12767" width="11.28515625" style="1093" customWidth="1"/>
    <col min="12768" max="12768" width="10.28515625" style="1093" customWidth="1"/>
    <col min="12769" max="12769" width="13.85546875" style="1093" customWidth="1"/>
    <col min="12770" max="12771" width="7.85546875" style="1093" customWidth="1"/>
    <col min="12772" max="12772" width="10.85546875" style="1093" customWidth="1"/>
    <col min="12773" max="12773" width="13" style="1093" customWidth="1"/>
    <col min="12774" max="12774" width="11.42578125" style="1093" customWidth="1"/>
    <col min="12775" max="12775" width="10" style="1093" customWidth="1"/>
    <col min="12776" max="12776" width="7.85546875" style="1093" customWidth="1"/>
    <col min="12777" max="12777" width="10.140625" style="1093" customWidth="1"/>
    <col min="12778" max="12779" width="7.85546875" style="1093" customWidth="1"/>
    <col min="12780" max="12780" width="10.85546875" style="1093" customWidth="1"/>
    <col min="12781" max="12781" width="10.7109375" style="1093" customWidth="1"/>
    <col min="12782" max="12782" width="11" style="1093" customWidth="1"/>
    <col min="12783" max="12785" width="7.85546875" style="1093" customWidth="1"/>
    <col min="12786" max="12786" width="11.28515625" style="1093" customWidth="1"/>
    <col min="12787" max="12787" width="12.42578125" style="1093" customWidth="1"/>
    <col min="12788" max="12788" width="11" style="1093" customWidth="1"/>
    <col min="12789" max="12790" width="7.85546875" style="1093" customWidth="1"/>
    <col min="12791" max="12791" width="11" style="1093" customWidth="1"/>
    <col min="12792" max="12792" width="10.5703125" style="1093" customWidth="1"/>
    <col min="12793" max="12794" width="11" style="1093" customWidth="1"/>
    <col min="12795" max="12799" width="7.85546875" style="1093" bestFit="1" customWidth="1"/>
    <col min="12800" max="12800" width="8.42578125" style="1093" bestFit="1" customWidth="1"/>
    <col min="12801" max="12801" width="11.42578125" style="1093" customWidth="1"/>
    <col min="12802" max="12802" width="7.85546875" style="1093" bestFit="1" customWidth="1"/>
    <col min="12803" max="12803" width="9.5703125" style="1093" customWidth="1"/>
    <col min="12804" max="12804" width="7.85546875" style="1093" bestFit="1" customWidth="1"/>
    <col min="12805" max="12805" width="12" style="1093" customWidth="1"/>
    <col min="12806" max="12806" width="13.42578125" style="1093" customWidth="1"/>
    <col min="12807" max="12807" width="9.5703125" style="1093" bestFit="1" customWidth="1"/>
    <col min="12808" max="12814" width="9.140625" style="1093" customWidth="1"/>
    <col min="12815" max="13018" width="9.140625" style="1093"/>
    <col min="13019" max="13019" width="16.7109375" style="1093" customWidth="1"/>
    <col min="13020" max="13020" width="52.5703125" style="1093" customWidth="1"/>
    <col min="13021" max="13021" width="11" style="1093" customWidth="1"/>
    <col min="13022" max="13022" width="13.42578125" style="1093" customWidth="1"/>
    <col min="13023" max="13023" width="11.28515625" style="1093" customWidth="1"/>
    <col min="13024" max="13024" width="10.28515625" style="1093" customWidth="1"/>
    <col min="13025" max="13025" width="13.85546875" style="1093" customWidth="1"/>
    <col min="13026" max="13027" width="7.85546875" style="1093" customWidth="1"/>
    <col min="13028" max="13028" width="10.85546875" style="1093" customWidth="1"/>
    <col min="13029" max="13029" width="13" style="1093" customWidth="1"/>
    <col min="13030" max="13030" width="11.42578125" style="1093" customWidth="1"/>
    <col min="13031" max="13031" width="10" style="1093" customWidth="1"/>
    <col min="13032" max="13032" width="7.85546875" style="1093" customWidth="1"/>
    <col min="13033" max="13033" width="10.140625" style="1093" customWidth="1"/>
    <col min="13034" max="13035" width="7.85546875" style="1093" customWidth="1"/>
    <col min="13036" max="13036" width="10.85546875" style="1093" customWidth="1"/>
    <col min="13037" max="13037" width="10.7109375" style="1093" customWidth="1"/>
    <col min="13038" max="13038" width="11" style="1093" customWidth="1"/>
    <col min="13039" max="13041" width="7.85546875" style="1093" customWidth="1"/>
    <col min="13042" max="13042" width="11.28515625" style="1093" customWidth="1"/>
    <col min="13043" max="13043" width="12.42578125" style="1093" customWidth="1"/>
    <col min="13044" max="13044" width="11" style="1093" customWidth="1"/>
    <col min="13045" max="13046" width="7.85546875" style="1093" customWidth="1"/>
    <col min="13047" max="13047" width="11" style="1093" customWidth="1"/>
    <col min="13048" max="13048" width="10.5703125" style="1093" customWidth="1"/>
    <col min="13049" max="13050" width="11" style="1093" customWidth="1"/>
    <col min="13051" max="13055" width="7.85546875" style="1093" bestFit="1" customWidth="1"/>
    <col min="13056" max="13056" width="8.42578125" style="1093" bestFit="1" customWidth="1"/>
    <col min="13057" max="13057" width="11.42578125" style="1093" customWidth="1"/>
    <col min="13058" max="13058" width="7.85546875" style="1093" bestFit="1" customWidth="1"/>
    <col min="13059" max="13059" width="9.5703125" style="1093" customWidth="1"/>
    <col min="13060" max="13060" width="7.85546875" style="1093" bestFit="1" customWidth="1"/>
    <col min="13061" max="13061" width="12" style="1093" customWidth="1"/>
    <col min="13062" max="13062" width="13.42578125" style="1093" customWidth="1"/>
    <col min="13063" max="13063" width="9.5703125" style="1093" bestFit="1" customWidth="1"/>
    <col min="13064" max="13070" width="9.140625" style="1093" customWidth="1"/>
    <col min="13071" max="13274" width="9.140625" style="1093"/>
    <col min="13275" max="13275" width="16.7109375" style="1093" customWidth="1"/>
    <col min="13276" max="13276" width="52.5703125" style="1093" customWidth="1"/>
    <col min="13277" max="13277" width="11" style="1093" customWidth="1"/>
    <col min="13278" max="13278" width="13.42578125" style="1093" customWidth="1"/>
    <col min="13279" max="13279" width="11.28515625" style="1093" customWidth="1"/>
    <col min="13280" max="13280" width="10.28515625" style="1093" customWidth="1"/>
    <col min="13281" max="13281" width="13.85546875" style="1093" customWidth="1"/>
    <col min="13282" max="13283" width="7.85546875" style="1093" customWidth="1"/>
    <col min="13284" max="13284" width="10.85546875" style="1093" customWidth="1"/>
    <col min="13285" max="13285" width="13" style="1093" customWidth="1"/>
    <col min="13286" max="13286" width="11.42578125" style="1093" customWidth="1"/>
    <col min="13287" max="13287" width="10" style="1093" customWidth="1"/>
    <col min="13288" max="13288" width="7.85546875" style="1093" customWidth="1"/>
    <col min="13289" max="13289" width="10.140625" style="1093" customWidth="1"/>
    <col min="13290" max="13291" width="7.85546875" style="1093" customWidth="1"/>
    <col min="13292" max="13292" width="10.85546875" style="1093" customWidth="1"/>
    <col min="13293" max="13293" width="10.7109375" style="1093" customWidth="1"/>
    <col min="13294" max="13294" width="11" style="1093" customWidth="1"/>
    <col min="13295" max="13297" width="7.85546875" style="1093" customWidth="1"/>
    <col min="13298" max="13298" width="11.28515625" style="1093" customWidth="1"/>
    <col min="13299" max="13299" width="12.42578125" style="1093" customWidth="1"/>
    <col min="13300" max="13300" width="11" style="1093" customWidth="1"/>
    <col min="13301" max="13302" width="7.85546875" style="1093" customWidth="1"/>
    <col min="13303" max="13303" width="11" style="1093" customWidth="1"/>
    <col min="13304" max="13304" width="10.5703125" style="1093" customWidth="1"/>
    <col min="13305" max="13306" width="11" style="1093" customWidth="1"/>
    <col min="13307" max="13311" width="7.85546875" style="1093" bestFit="1" customWidth="1"/>
    <col min="13312" max="13312" width="8.42578125" style="1093" bestFit="1" customWidth="1"/>
    <col min="13313" max="13313" width="11.42578125" style="1093" customWidth="1"/>
    <col min="13314" max="13314" width="7.85546875" style="1093" bestFit="1" customWidth="1"/>
    <col min="13315" max="13315" width="9.5703125" style="1093" customWidth="1"/>
    <col min="13316" max="13316" width="7.85546875" style="1093" bestFit="1" customWidth="1"/>
    <col min="13317" max="13317" width="12" style="1093" customWidth="1"/>
    <col min="13318" max="13318" width="13.42578125" style="1093" customWidth="1"/>
    <col min="13319" max="13319" width="9.5703125" style="1093" bestFit="1" customWidth="1"/>
    <col min="13320" max="13326" width="9.140625" style="1093" customWidth="1"/>
    <col min="13327" max="13530" width="9.140625" style="1093"/>
    <col min="13531" max="13531" width="16.7109375" style="1093" customWidth="1"/>
    <col min="13532" max="13532" width="52.5703125" style="1093" customWidth="1"/>
    <col min="13533" max="13533" width="11" style="1093" customWidth="1"/>
    <col min="13534" max="13534" width="13.42578125" style="1093" customWidth="1"/>
    <col min="13535" max="13535" width="11.28515625" style="1093" customWidth="1"/>
    <col min="13536" max="13536" width="10.28515625" style="1093" customWidth="1"/>
    <col min="13537" max="13537" width="13.85546875" style="1093" customWidth="1"/>
    <col min="13538" max="13539" width="7.85546875" style="1093" customWidth="1"/>
    <col min="13540" max="13540" width="10.85546875" style="1093" customWidth="1"/>
    <col min="13541" max="13541" width="13" style="1093" customWidth="1"/>
    <col min="13542" max="13542" width="11.42578125" style="1093" customWidth="1"/>
    <col min="13543" max="13543" width="10" style="1093" customWidth="1"/>
    <col min="13544" max="13544" width="7.85546875" style="1093" customWidth="1"/>
    <col min="13545" max="13545" width="10.140625" style="1093" customWidth="1"/>
    <col min="13546" max="13547" width="7.85546875" style="1093" customWidth="1"/>
    <col min="13548" max="13548" width="10.85546875" style="1093" customWidth="1"/>
    <col min="13549" max="13549" width="10.7109375" style="1093" customWidth="1"/>
    <col min="13550" max="13550" width="11" style="1093" customWidth="1"/>
    <col min="13551" max="13553" width="7.85546875" style="1093" customWidth="1"/>
    <col min="13554" max="13554" width="11.28515625" style="1093" customWidth="1"/>
    <col min="13555" max="13555" width="12.42578125" style="1093" customWidth="1"/>
    <col min="13556" max="13556" width="11" style="1093" customWidth="1"/>
    <col min="13557" max="13558" width="7.85546875" style="1093" customWidth="1"/>
    <col min="13559" max="13559" width="11" style="1093" customWidth="1"/>
    <col min="13560" max="13560" width="10.5703125" style="1093" customWidth="1"/>
    <col min="13561" max="13562" width="11" style="1093" customWidth="1"/>
    <col min="13563" max="13567" width="7.85546875" style="1093" bestFit="1" customWidth="1"/>
    <col min="13568" max="13568" width="8.42578125" style="1093" bestFit="1" customWidth="1"/>
    <col min="13569" max="13569" width="11.42578125" style="1093" customWidth="1"/>
    <col min="13570" max="13570" width="7.85546875" style="1093" bestFit="1" customWidth="1"/>
    <col min="13571" max="13571" width="9.5703125" style="1093" customWidth="1"/>
    <col min="13572" max="13572" width="7.85546875" style="1093" bestFit="1" customWidth="1"/>
    <col min="13573" max="13573" width="12" style="1093" customWidth="1"/>
    <col min="13574" max="13574" width="13.42578125" style="1093" customWidth="1"/>
    <col min="13575" max="13575" width="9.5703125" style="1093" bestFit="1" customWidth="1"/>
    <col min="13576" max="13582" width="9.140625" style="1093" customWidth="1"/>
    <col min="13583" max="13786" width="9.140625" style="1093"/>
    <col min="13787" max="13787" width="16.7109375" style="1093" customWidth="1"/>
    <col min="13788" max="13788" width="52.5703125" style="1093" customWidth="1"/>
    <col min="13789" max="13789" width="11" style="1093" customWidth="1"/>
    <col min="13790" max="13790" width="13.42578125" style="1093" customWidth="1"/>
    <col min="13791" max="13791" width="11.28515625" style="1093" customWidth="1"/>
    <col min="13792" max="13792" width="10.28515625" style="1093" customWidth="1"/>
    <col min="13793" max="13793" width="13.85546875" style="1093" customWidth="1"/>
    <col min="13794" max="13795" width="7.85546875" style="1093" customWidth="1"/>
    <col min="13796" max="13796" width="10.85546875" style="1093" customWidth="1"/>
    <col min="13797" max="13797" width="13" style="1093" customWidth="1"/>
    <col min="13798" max="13798" width="11.42578125" style="1093" customWidth="1"/>
    <col min="13799" max="13799" width="10" style="1093" customWidth="1"/>
    <col min="13800" max="13800" width="7.85546875" style="1093" customWidth="1"/>
    <col min="13801" max="13801" width="10.140625" style="1093" customWidth="1"/>
    <col min="13802" max="13803" width="7.85546875" style="1093" customWidth="1"/>
    <col min="13804" max="13804" width="10.85546875" style="1093" customWidth="1"/>
    <col min="13805" max="13805" width="10.7109375" style="1093" customWidth="1"/>
    <col min="13806" max="13806" width="11" style="1093" customWidth="1"/>
    <col min="13807" max="13809" width="7.85546875" style="1093" customWidth="1"/>
    <col min="13810" max="13810" width="11.28515625" style="1093" customWidth="1"/>
    <col min="13811" max="13811" width="12.42578125" style="1093" customWidth="1"/>
    <col min="13812" max="13812" width="11" style="1093" customWidth="1"/>
    <col min="13813" max="13814" width="7.85546875" style="1093" customWidth="1"/>
    <col min="13815" max="13815" width="11" style="1093" customWidth="1"/>
    <col min="13816" max="13816" width="10.5703125" style="1093" customWidth="1"/>
    <col min="13817" max="13818" width="11" style="1093" customWidth="1"/>
    <col min="13819" max="13823" width="7.85546875" style="1093" bestFit="1" customWidth="1"/>
    <col min="13824" max="13824" width="8.42578125" style="1093" bestFit="1" customWidth="1"/>
    <col min="13825" max="13825" width="11.42578125" style="1093" customWidth="1"/>
    <col min="13826" max="13826" width="7.85546875" style="1093" bestFit="1" customWidth="1"/>
    <col min="13827" max="13827" width="9.5703125" style="1093" customWidth="1"/>
    <col min="13828" max="13828" width="7.85546875" style="1093" bestFit="1" customWidth="1"/>
    <col min="13829" max="13829" width="12" style="1093" customWidth="1"/>
    <col min="13830" max="13830" width="13.42578125" style="1093" customWidth="1"/>
    <col min="13831" max="13831" width="9.5703125" style="1093" bestFit="1" customWidth="1"/>
    <col min="13832" max="13838" width="9.140625" style="1093" customWidth="1"/>
    <col min="13839" max="14042" width="9.140625" style="1093"/>
    <col min="14043" max="14043" width="16.7109375" style="1093" customWidth="1"/>
    <col min="14044" max="14044" width="52.5703125" style="1093" customWidth="1"/>
    <col min="14045" max="14045" width="11" style="1093" customWidth="1"/>
    <col min="14046" max="14046" width="13.42578125" style="1093" customWidth="1"/>
    <col min="14047" max="14047" width="11.28515625" style="1093" customWidth="1"/>
    <col min="14048" max="14048" width="10.28515625" style="1093" customWidth="1"/>
    <col min="14049" max="14049" width="13.85546875" style="1093" customWidth="1"/>
    <col min="14050" max="14051" width="7.85546875" style="1093" customWidth="1"/>
    <col min="14052" max="14052" width="10.85546875" style="1093" customWidth="1"/>
    <col min="14053" max="14053" width="13" style="1093" customWidth="1"/>
    <col min="14054" max="14054" width="11.42578125" style="1093" customWidth="1"/>
    <col min="14055" max="14055" width="10" style="1093" customWidth="1"/>
    <col min="14056" max="14056" width="7.85546875" style="1093" customWidth="1"/>
    <col min="14057" max="14057" width="10.140625" style="1093" customWidth="1"/>
    <col min="14058" max="14059" width="7.85546875" style="1093" customWidth="1"/>
    <col min="14060" max="14060" width="10.85546875" style="1093" customWidth="1"/>
    <col min="14061" max="14061" width="10.7109375" style="1093" customWidth="1"/>
    <col min="14062" max="14062" width="11" style="1093" customWidth="1"/>
    <col min="14063" max="14065" width="7.85546875" style="1093" customWidth="1"/>
    <col min="14066" max="14066" width="11.28515625" style="1093" customWidth="1"/>
    <col min="14067" max="14067" width="12.42578125" style="1093" customWidth="1"/>
    <col min="14068" max="14068" width="11" style="1093" customWidth="1"/>
    <col min="14069" max="14070" width="7.85546875" style="1093" customWidth="1"/>
    <col min="14071" max="14071" width="11" style="1093" customWidth="1"/>
    <col min="14072" max="14072" width="10.5703125" style="1093" customWidth="1"/>
    <col min="14073" max="14074" width="11" style="1093" customWidth="1"/>
    <col min="14075" max="14079" width="7.85546875" style="1093" bestFit="1" customWidth="1"/>
    <col min="14080" max="14080" width="8.42578125" style="1093" bestFit="1" customWidth="1"/>
    <col min="14081" max="14081" width="11.42578125" style="1093" customWidth="1"/>
    <col min="14082" max="14082" width="7.85546875" style="1093" bestFit="1" customWidth="1"/>
    <col min="14083" max="14083" width="9.5703125" style="1093" customWidth="1"/>
    <col min="14084" max="14084" width="7.85546875" style="1093" bestFit="1" customWidth="1"/>
    <col min="14085" max="14085" width="12" style="1093" customWidth="1"/>
    <col min="14086" max="14086" width="13.42578125" style="1093" customWidth="1"/>
    <col min="14087" max="14087" width="9.5703125" style="1093" bestFit="1" customWidth="1"/>
    <col min="14088" max="14094" width="9.140625" style="1093" customWidth="1"/>
    <col min="14095" max="14298" width="9.140625" style="1093"/>
    <col min="14299" max="14299" width="16.7109375" style="1093" customWidth="1"/>
    <col min="14300" max="14300" width="52.5703125" style="1093" customWidth="1"/>
    <col min="14301" max="14301" width="11" style="1093" customWidth="1"/>
    <col min="14302" max="14302" width="13.42578125" style="1093" customWidth="1"/>
    <col min="14303" max="14303" width="11.28515625" style="1093" customWidth="1"/>
    <col min="14304" max="14304" width="10.28515625" style="1093" customWidth="1"/>
    <col min="14305" max="14305" width="13.85546875" style="1093" customWidth="1"/>
    <col min="14306" max="14307" width="7.85546875" style="1093" customWidth="1"/>
    <col min="14308" max="14308" width="10.85546875" style="1093" customWidth="1"/>
    <col min="14309" max="14309" width="13" style="1093" customWidth="1"/>
    <col min="14310" max="14310" width="11.42578125" style="1093" customWidth="1"/>
    <col min="14311" max="14311" width="10" style="1093" customWidth="1"/>
    <col min="14312" max="14312" width="7.85546875" style="1093" customWidth="1"/>
    <col min="14313" max="14313" width="10.140625" style="1093" customWidth="1"/>
    <col min="14314" max="14315" width="7.85546875" style="1093" customWidth="1"/>
    <col min="14316" max="14316" width="10.85546875" style="1093" customWidth="1"/>
    <col min="14317" max="14317" width="10.7109375" style="1093" customWidth="1"/>
    <col min="14318" max="14318" width="11" style="1093" customWidth="1"/>
    <col min="14319" max="14321" width="7.85546875" style="1093" customWidth="1"/>
    <col min="14322" max="14322" width="11.28515625" style="1093" customWidth="1"/>
    <col min="14323" max="14323" width="12.42578125" style="1093" customWidth="1"/>
    <col min="14324" max="14324" width="11" style="1093" customWidth="1"/>
    <col min="14325" max="14326" width="7.85546875" style="1093" customWidth="1"/>
    <col min="14327" max="14327" width="11" style="1093" customWidth="1"/>
    <col min="14328" max="14328" width="10.5703125" style="1093" customWidth="1"/>
    <col min="14329" max="14330" width="11" style="1093" customWidth="1"/>
    <col min="14331" max="14335" width="7.85546875" style="1093" bestFit="1" customWidth="1"/>
    <col min="14336" max="14336" width="8.42578125" style="1093" bestFit="1" customWidth="1"/>
    <col min="14337" max="14337" width="11.42578125" style="1093" customWidth="1"/>
    <col min="14338" max="14338" width="7.85546875" style="1093" bestFit="1" customWidth="1"/>
    <col min="14339" max="14339" width="9.5703125" style="1093" customWidth="1"/>
    <col min="14340" max="14340" width="7.85546875" style="1093" bestFit="1" customWidth="1"/>
    <col min="14341" max="14341" width="12" style="1093" customWidth="1"/>
    <col min="14342" max="14342" width="13.42578125" style="1093" customWidth="1"/>
    <col min="14343" max="14343" width="9.5703125" style="1093" bestFit="1" customWidth="1"/>
    <col min="14344" max="14350" width="9.140625" style="1093" customWidth="1"/>
    <col min="14351" max="14554" width="9.140625" style="1093"/>
    <col min="14555" max="14555" width="16.7109375" style="1093" customWidth="1"/>
    <col min="14556" max="14556" width="52.5703125" style="1093" customWidth="1"/>
    <col min="14557" max="14557" width="11" style="1093" customWidth="1"/>
    <col min="14558" max="14558" width="13.42578125" style="1093" customWidth="1"/>
    <col min="14559" max="14559" width="11.28515625" style="1093" customWidth="1"/>
    <col min="14560" max="14560" width="10.28515625" style="1093" customWidth="1"/>
    <col min="14561" max="14561" width="13.85546875" style="1093" customWidth="1"/>
    <col min="14562" max="14563" width="7.85546875" style="1093" customWidth="1"/>
    <col min="14564" max="14564" width="10.85546875" style="1093" customWidth="1"/>
    <col min="14565" max="14565" width="13" style="1093" customWidth="1"/>
    <col min="14566" max="14566" width="11.42578125" style="1093" customWidth="1"/>
    <col min="14567" max="14567" width="10" style="1093" customWidth="1"/>
    <col min="14568" max="14568" width="7.85546875" style="1093" customWidth="1"/>
    <col min="14569" max="14569" width="10.140625" style="1093" customWidth="1"/>
    <col min="14570" max="14571" width="7.85546875" style="1093" customWidth="1"/>
    <col min="14572" max="14572" width="10.85546875" style="1093" customWidth="1"/>
    <col min="14573" max="14573" width="10.7109375" style="1093" customWidth="1"/>
    <col min="14574" max="14574" width="11" style="1093" customWidth="1"/>
    <col min="14575" max="14577" width="7.85546875" style="1093" customWidth="1"/>
    <col min="14578" max="14578" width="11.28515625" style="1093" customWidth="1"/>
    <col min="14579" max="14579" width="12.42578125" style="1093" customWidth="1"/>
    <col min="14580" max="14580" width="11" style="1093" customWidth="1"/>
    <col min="14581" max="14582" width="7.85546875" style="1093" customWidth="1"/>
    <col min="14583" max="14583" width="11" style="1093" customWidth="1"/>
    <col min="14584" max="14584" width="10.5703125" style="1093" customWidth="1"/>
    <col min="14585" max="14586" width="11" style="1093" customWidth="1"/>
    <col min="14587" max="14591" width="7.85546875" style="1093" bestFit="1" customWidth="1"/>
    <col min="14592" max="14592" width="8.42578125" style="1093" bestFit="1" customWidth="1"/>
    <col min="14593" max="14593" width="11.42578125" style="1093" customWidth="1"/>
    <col min="14594" max="14594" width="7.85546875" style="1093" bestFit="1" customWidth="1"/>
    <col min="14595" max="14595" width="9.5703125" style="1093" customWidth="1"/>
    <col min="14596" max="14596" width="7.85546875" style="1093" bestFit="1" customWidth="1"/>
    <col min="14597" max="14597" width="12" style="1093" customWidth="1"/>
    <col min="14598" max="14598" width="13.42578125" style="1093" customWidth="1"/>
    <col min="14599" max="14599" width="9.5703125" style="1093" bestFit="1" customWidth="1"/>
    <col min="14600" max="14606" width="9.140625" style="1093" customWidth="1"/>
    <col min="14607" max="14810" width="9.140625" style="1093"/>
    <col min="14811" max="14811" width="16.7109375" style="1093" customWidth="1"/>
    <col min="14812" max="14812" width="52.5703125" style="1093" customWidth="1"/>
    <col min="14813" max="14813" width="11" style="1093" customWidth="1"/>
    <col min="14814" max="14814" width="13.42578125" style="1093" customWidth="1"/>
    <col min="14815" max="14815" width="11.28515625" style="1093" customWidth="1"/>
    <col min="14816" max="14816" width="10.28515625" style="1093" customWidth="1"/>
    <col min="14817" max="14817" width="13.85546875" style="1093" customWidth="1"/>
    <col min="14818" max="14819" width="7.85546875" style="1093" customWidth="1"/>
    <col min="14820" max="14820" width="10.85546875" style="1093" customWidth="1"/>
    <col min="14821" max="14821" width="13" style="1093" customWidth="1"/>
    <col min="14822" max="14822" width="11.42578125" style="1093" customWidth="1"/>
    <col min="14823" max="14823" width="10" style="1093" customWidth="1"/>
    <col min="14824" max="14824" width="7.85546875" style="1093" customWidth="1"/>
    <col min="14825" max="14825" width="10.140625" style="1093" customWidth="1"/>
    <col min="14826" max="14827" width="7.85546875" style="1093" customWidth="1"/>
    <col min="14828" max="14828" width="10.85546875" style="1093" customWidth="1"/>
    <col min="14829" max="14829" width="10.7109375" style="1093" customWidth="1"/>
    <col min="14830" max="14830" width="11" style="1093" customWidth="1"/>
    <col min="14831" max="14833" width="7.85546875" style="1093" customWidth="1"/>
    <col min="14834" max="14834" width="11.28515625" style="1093" customWidth="1"/>
    <col min="14835" max="14835" width="12.42578125" style="1093" customWidth="1"/>
    <col min="14836" max="14836" width="11" style="1093" customWidth="1"/>
    <col min="14837" max="14838" width="7.85546875" style="1093" customWidth="1"/>
    <col min="14839" max="14839" width="11" style="1093" customWidth="1"/>
    <col min="14840" max="14840" width="10.5703125" style="1093" customWidth="1"/>
    <col min="14841" max="14842" width="11" style="1093" customWidth="1"/>
    <col min="14843" max="14847" width="7.85546875" style="1093" bestFit="1" customWidth="1"/>
    <col min="14848" max="14848" width="8.42578125" style="1093" bestFit="1" customWidth="1"/>
    <col min="14849" max="14849" width="11.42578125" style="1093" customWidth="1"/>
    <col min="14850" max="14850" width="7.85546875" style="1093" bestFit="1" customWidth="1"/>
    <col min="14851" max="14851" width="9.5703125" style="1093" customWidth="1"/>
    <col min="14852" max="14852" width="7.85546875" style="1093" bestFit="1" customWidth="1"/>
    <col min="14853" max="14853" width="12" style="1093" customWidth="1"/>
    <col min="14854" max="14854" width="13.42578125" style="1093" customWidth="1"/>
    <col min="14855" max="14855" width="9.5703125" style="1093" bestFit="1" customWidth="1"/>
    <col min="14856" max="14862" width="9.140625" style="1093" customWidth="1"/>
    <col min="14863" max="15066" width="9.140625" style="1093"/>
    <col min="15067" max="15067" width="16.7109375" style="1093" customWidth="1"/>
    <col min="15068" max="15068" width="52.5703125" style="1093" customWidth="1"/>
    <col min="15069" max="15069" width="11" style="1093" customWidth="1"/>
    <col min="15070" max="15070" width="13.42578125" style="1093" customWidth="1"/>
    <col min="15071" max="15071" width="11.28515625" style="1093" customWidth="1"/>
    <col min="15072" max="15072" width="10.28515625" style="1093" customWidth="1"/>
    <col min="15073" max="15073" width="13.85546875" style="1093" customWidth="1"/>
    <col min="15074" max="15075" width="7.85546875" style="1093" customWidth="1"/>
    <col min="15076" max="15076" width="10.85546875" style="1093" customWidth="1"/>
    <col min="15077" max="15077" width="13" style="1093" customWidth="1"/>
    <col min="15078" max="15078" width="11.42578125" style="1093" customWidth="1"/>
    <col min="15079" max="15079" width="10" style="1093" customWidth="1"/>
    <col min="15080" max="15080" width="7.85546875" style="1093" customWidth="1"/>
    <col min="15081" max="15081" width="10.140625" style="1093" customWidth="1"/>
    <col min="15082" max="15083" width="7.85546875" style="1093" customWidth="1"/>
    <col min="15084" max="15084" width="10.85546875" style="1093" customWidth="1"/>
    <col min="15085" max="15085" width="10.7109375" style="1093" customWidth="1"/>
    <col min="15086" max="15086" width="11" style="1093" customWidth="1"/>
    <col min="15087" max="15089" width="7.85546875" style="1093" customWidth="1"/>
    <col min="15090" max="15090" width="11.28515625" style="1093" customWidth="1"/>
    <col min="15091" max="15091" width="12.42578125" style="1093" customWidth="1"/>
    <col min="15092" max="15092" width="11" style="1093" customWidth="1"/>
    <col min="15093" max="15094" width="7.85546875" style="1093" customWidth="1"/>
    <col min="15095" max="15095" width="11" style="1093" customWidth="1"/>
    <col min="15096" max="15096" width="10.5703125" style="1093" customWidth="1"/>
    <col min="15097" max="15098" width="11" style="1093" customWidth="1"/>
    <col min="15099" max="15103" width="7.85546875" style="1093" bestFit="1" customWidth="1"/>
    <col min="15104" max="15104" width="8.42578125" style="1093" bestFit="1" customWidth="1"/>
    <col min="15105" max="15105" width="11.42578125" style="1093" customWidth="1"/>
    <col min="15106" max="15106" width="7.85546875" style="1093" bestFit="1" customWidth="1"/>
    <col min="15107" max="15107" width="9.5703125" style="1093" customWidth="1"/>
    <col min="15108" max="15108" width="7.85546875" style="1093" bestFit="1" customWidth="1"/>
    <col min="15109" max="15109" width="12" style="1093" customWidth="1"/>
    <col min="15110" max="15110" width="13.42578125" style="1093" customWidth="1"/>
    <col min="15111" max="15111" width="9.5703125" style="1093" bestFit="1" customWidth="1"/>
    <col min="15112" max="15118" width="9.140625" style="1093" customWidth="1"/>
    <col min="15119" max="15322" width="9.140625" style="1093"/>
    <col min="15323" max="15323" width="16.7109375" style="1093" customWidth="1"/>
    <col min="15324" max="15324" width="52.5703125" style="1093" customWidth="1"/>
    <col min="15325" max="15325" width="11" style="1093" customWidth="1"/>
    <col min="15326" max="15326" width="13.42578125" style="1093" customWidth="1"/>
    <col min="15327" max="15327" width="11.28515625" style="1093" customWidth="1"/>
    <col min="15328" max="15328" width="10.28515625" style="1093" customWidth="1"/>
    <col min="15329" max="15329" width="13.85546875" style="1093" customWidth="1"/>
    <col min="15330" max="15331" width="7.85546875" style="1093" customWidth="1"/>
    <col min="15332" max="15332" width="10.85546875" style="1093" customWidth="1"/>
    <col min="15333" max="15333" width="13" style="1093" customWidth="1"/>
    <col min="15334" max="15334" width="11.42578125" style="1093" customWidth="1"/>
    <col min="15335" max="15335" width="10" style="1093" customWidth="1"/>
    <col min="15336" max="15336" width="7.85546875" style="1093" customWidth="1"/>
    <col min="15337" max="15337" width="10.140625" style="1093" customWidth="1"/>
    <col min="15338" max="15339" width="7.85546875" style="1093" customWidth="1"/>
    <col min="15340" max="15340" width="10.85546875" style="1093" customWidth="1"/>
    <col min="15341" max="15341" width="10.7109375" style="1093" customWidth="1"/>
    <col min="15342" max="15342" width="11" style="1093" customWidth="1"/>
    <col min="15343" max="15345" width="7.85546875" style="1093" customWidth="1"/>
    <col min="15346" max="15346" width="11.28515625" style="1093" customWidth="1"/>
    <col min="15347" max="15347" width="12.42578125" style="1093" customWidth="1"/>
    <col min="15348" max="15348" width="11" style="1093" customWidth="1"/>
    <col min="15349" max="15350" width="7.85546875" style="1093" customWidth="1"/>
    <col min="15351" max="15351" width="11" style="1093" customWidth="1"/>
    <col min="15352" max="15352" width="10.5703125" style="1093" customWidth="1"/>
    <col min="15353" max="15354" width="11" style="1093" customWidth="1"/>
    <col min="15355" max="15359" width="7.85546875" style="1093" bestFit="1" customWidth="1"/>
    <col min="15360" max="15360" width="8.42578125" style="1093" bestFit="1" customWidth="1"/>
    <col min="15361" max="15361" width="11.42578125" style="1093" customWidth="1"/>
    <col min="15362" max="15362" width="7.85546875" style="1093" bestFit="1" customWidth="1"/>
    <col min="15363" max="15363" width="9.5703125" style="1093" customWidth="1"/>
    <col min="15364" max="15364" width="7.85546875" style="1093" bestFit="1" customWidth="1"/>
    <col min="15365" max="15365" width="12" style="1093" customWidth="1"/>
    <col min="15366" max="15366" width="13.42578125" style="1093" customWidth="1"/>
    <col min="15367" max="15367" width="9.5703125" style="1093" bestFit="1" customWidth="1"/>
    <col min="15368" max="15374" width="9.140625" style="1093" customWidth="1"/>
    <col min="15375" max="15578" width="9.140625" style="1093"/>
    <col min="15579" max="15579" width="16.7109375" style="1093" customWidth="1"/>
    <col min="15580" max="15580" width="52.5703125" style="1093" customWidth="1"/>
    <col min="15581" max="15581" width="11" style="1093" customWidth="1"/>
    <col min="15582" max="15582" width="13.42578125" style="1093" customWidth="1"/>
    <col min="15583" max="15583" width="11.28515625" style="1093" customWidth="1"/>
    <col min="15584" max="15584" width="10.28515625" style="1093" customWidth="1"/>
    <col min="15585" max="15585" width="13.85546875" style="1093" customWidth="1"/>
    <col min="15586" max="15587" width="7.85546875" style="1093" customWidth="1"/>
    <col min="15588" max="15588" width="10.85546875" style="1093" customWidth="1"/>
    <col min="15589" max="15589" width="13" style="1093" customWidth="1"/>
    <col min="15590" max="15590" width="11.42578125" style="1093" customWidth="1"/>
    <col min="15591" max="15591" width="10" style="1093" customWidth="1"/>
    <col min="15592" max="15592" width="7.85546875" style="1093" customWidth="1"/>
    <col min="15593" max="15593" width="10.140625" style="1093" customWidth="1"/>
    <col min="15594" max="15595" width="7.85546875" style="1093" customWidth="1"/>
    <col min="15596" max="15596" width="10.85546875" style="1093" customWidth="1"/>
    <col min="15597" max="15597" width="10.7109375" style="1093" customWidth="1"/>
    <col min="15598" max="15598" width="11" style="1093" customWidth="1"/>
    <col min="15599" max="15601" width="7.85546875" style="1093" customWidth="1"/>
    <col min="15602" max="15602" width="11.28515625" style="1093" customWidth="1"/>
    <col min="15603" max="15603" width="12.42578125" style="1093" customWidth="1"/>
    <col min="15604" max="15604" width="11" style="1093" customWidth="1"/>
    <col min="15605" max="15606" width="7.85546875" style="1093" customWidth="1"/>
    <col min="15607" max="15607" width="11" style="1093" customWidth="1"/>
    <col min="15608" max="15608" width="10.5703125" style="1093" customWidth="1"/>
    <col min="15609" max="15610" width="11" style="1093" customWidth="1"/>
    <col min="15611" max="15615" width="7.85546875" style="1093" bestFit="1" customWidth="1"/>
    <col min="15616" max="15616" width="8.42578125" style="1093" bestFit="1" customWidth="1"/>
    <col min="15617" max="15617" width="11.42578125" style="1093" customWidth="1"/>
    <col min="15618" max="15618" width="7.85546875" style="1093" bestFit="1" customWidth="1"/>
    <col min="15619" max="15619" width="9.5703125" style="1093" customWidth="1"/>
    <col min="15620" max="15620" width="7.85546875" style="1093" bestFit="1" customWidth="1"/>
    <col min="15621" max="15621" width="12" style="1093" customWidth="1"/>
    <col min="15622" max="15622" width="13.42578125" style="1093" customWidth="1"/>
    <col min="15623" max="15623" width="9.5703125" style="1093" bestFit="1" customWidth="1"/>
    <col min="15624" max="15630" width="9.140625" style="1093" customWidth="1"/>
    <col min="15631" max="15834" width="9.140625" style="1093"/>
    <col min="15835" max="15835" width="16.7109375" style="1093" customWidth="1"/>
    <col min="15836" max="15836" width="52.5703125" style="1093" customWidth="1"/>
    <col min="15837" max="15837" width="11" style="1093" customWidth="1"/>
    <col min="15838" max="15838" width="13.42578125" style="1093" customWidth="1"/>
    <col min="15839" max="15839" width="11.28515625" style="1093" customWidth="1"/>
    <col min="15840" max="15840" width="10.28515625" style="1093" customWidth="1"/>
    <col min="15841" max="15841" width="13.85546875" style="1093" customWidth="1"/>
    <col min="15842" max="15843" width="7.85546875" style="1093" customWidth="1"/>
    <col min="15844" max="15844" width="10.85546875" style="1093" customWidth="1"/>
    <col min="15845" max="15845" width="13" style="1093" customWidth="1"/>
    <col min="15846" max="15846" width="11.42578125" style="1093" customWidth="1"/>
    <col min="15847" max="15847" width="10" style="1093" customWidth="1"/>
    <col min="15848" max="15848" width="7.85546875" style="1093" customWidth="1"/>
    <col min="15849" max="15849" width="10.140625" style="1093" customWidth="1"/>
    <col min="15850" max="15851" width="7.85546875" style="1093" customWidth="1"/>
    <col min="15852" max="15852" width="10.85546875" style="1093" customWidth="1"/>
    <col min="15853" max="15853" width="10.7109375" style="1093" customWidth="1"/>
    <col min="15854" max="15854" width="11" style="1093" customWidth="1"/>
    <col min="15855" max="15857" width="7.85546875" style="1093" customWidth="1"/>
    <col min="15858" max="15858" width="11.28515625" style="1093" customWidth="1"/>
    <col min="15859" max="15859" width="12.42578125" style="1093" customWidth="1"/>
    <col min="15860" max="15860" width="11" style="1093" customWidth="1"/>
    <col min="15861" max="15862" width="7.85546875" style="1093" customWidth="1"/>
    <col min="15863" max="15863" width="11" style="1093" customWidth="1"/>
    <col min="15864" max="15864" width="10.5703125" style="1093" customWidth="1"/>
    <col min="15865" max="15866" width="11" style="1093" customWidth="1"/>
    <col min="15867" max="15871" width="7.85546875" style="1093" bestFit="1" customWidth="1"/>
    <col min="15872" max="15872" width="8.42578125" style="1093" bestFit="1" customWidth="1"/>
    <col min="15873" max="15873" width="11.42578125" style="1093" customWidth="1"/>
    <col min="15874" max="15874" width="7.85546875" style="1093" bestFit="1" customWidth="1"/>
    <col min="15875" max="15875" width="9.5703125" style="1093" customWidth="1"/>
    <col min="15876" max="15876" width="7.85546875" style="1093" bestFit="1" customWidth="1"/>
    <col min="15877" max="15877" width="12" style="1093" customWidth="1"/>
    <col min="15878" max="15878" width="13.42578125" style="1093" customWidth="1"/>
    <col min="15879" max="15879" width="9.5703125" style="1093" bestFit="1" customWidth="1"/>
    <col min="15880" max="15886" width="9.140625" style="1093" customWidth="1"/>
    <col min="15887" max="16090" width="9.140625" style="1093"/>
    <col min="16091" max="16091" width="16.7109375" style="1093" customWidth="1"/>
    <col min="16092" max="16092" width="52.5703125" style="1093" customWidth="1"/>
    <col min="16093" max="16093" width="11" style="1093" customWidth="1"/>
    <col min="16094" max="16094" width="13.42578125" style="1093" customWidth="1"/>
    <col min="16095" max="16095" width="11.28515625" style="1093" customWidth="1"/>
    <col min="16096" max="16096" width="10.28515625" style="1093" customWidth="1"/>
    <col min="16097" max="16097" width="13.85546875" style="1093" customWidth="1"/>
    <col min="16098" max="16099" width="7.85546875" style="1093" customWidth="1"/>
    <col min="16100" max="16100" width="10.85546875" style="1093" customWidth="1"/>
    <col min="16101" max="16101" width="13" style="1093" customWidth="1"/>
    <col min="16102" max="16102" width="11.42578125" style="1093" customWidth="1"/>
    <col min="16103" max="16103" width="10" style="1093" customWidth="1"/>
    <col min="16104" max="16104" width="7.85546875" style="1093" customWidth="1"/>
    <col min="16105" max="16105" width="10.140625" style="1093" customWidth="1"/>
    <col min="16106" max="16107" width="7.85546875" style="1093" customWidth="1"/>
    <col min="16108" max="16108" width="10.85546875" style="1093" customWidth="1"/>
    <col min="16109" max="16109" width="10.7109375" style="1093" customWidth="1"/>
    <col min="16110" max="16110" width="11" style="1093" customWidth="1"/>
    <col min="16111" max="16113" width="7.85546875" style="1093" customWidth="1"/>
    <col min="16114" max="16114" width="11.28515625" style="1093" customWidth="1"/>
    <col min="16115" max="16115" width="12.42578125" style="1093" customWidth="1"/>
    <col min="16116" max="16116" width="11" style="1093" customWidth="1"/>
    <col min="16117" max="16118" width="7.85546875" style="1093" customWidth="1"/>
    <col min="16119" max="16119" width="11" style="1093" customWidth="1"/>
    <col min="16120" max="16120" width="10.5703125" style="1093" customWidth="1"/>
    <col min="16121" max="16122" width="11" style="1093" customWidth="1"/>
    <col min="16123" max="16127" width="7.85546875" style="1093" bestFit="1" customWidth="1"/>
    <col min="16128" max="16128" width="8.42578125" style="1093" bestFit="1" customWidth="1"/>
    <col min="16129" max="16129" width="11.42578125" style="1093" customWidth="1"/>
    <col min="16130" max="16130" width="7.85546875" style="1093" bestFit="1" customWidth="1"/>
    <col min="16131" max="16131" width="9.5703125" style="1093" customWidth="1"/>
    <col min="16132" max="16132" width="7.85546875" style="1093" bestFit="1" customWidth="1"/>
    <col min="16133" max="16133" width="12" style="1093" customWidth="1"/>
    <col min="16134" max="16134" width="13.42578125" style="1093" customWidth="1"/>
    <col min="16135" max="16135" width="9.5703125" style="1093" bestFit="1" customWidth="1"/>
    <col min="16136" max="16142" width="9.140625" style="1093" customWidth="1"/>
    <col min="16143" max="16384" width="9.140625" style="1093"/>
  </cols>
  <sheetData>
    <row r="1" spans="1:12" s="1080" customFormat="1" ht="16.5" customHeight="1" thickBot="1">
      <c r="A1" s="1820" t="s">
        <v>1247</v>
      </c>
      <c r="B1" s="1820"/>
      <c r="C1" s="1820"/>
      <c r="D1" s="1820"/>
      <c r="E1" s="1193"/>
      <c r="F1" s="1193"/>
      <c r="G1" s="1194"/>
      <c r="H1" s="1194"/>
      <c r="I1" s="1194"/>
      <c r="J1" s="1194"/>
      <c r="K1" s="1741"/>
      <c r="L1" s="1732"/>
    </row>
    <row r="2" spans="1:12" s="1083" customFormat="1" ht="21" customHeight="1">
      <c r="A2" s="1081" t="s">
        <v>682</v>
      </c>
      <c r="B2" s="1082" t="s">
        <v>683</v>
      </c>
      <c r="C2" s="1860" t="s">
        <v>684</v>
      </c>
      <c r="D2" s="1861"/>
      <c r="E2" s="1195"/>
      <c r="F2" s="1195"/>
      <c r="G2" s="1196"/>
      <c r="H2" s="1196"/>
      <c r="I2" s="1196"/>
      <c r="J2" s="1196"/>
      <c r="K2" s="1742"/>
      <c r="L2" s="1733"/>
    </row>
    <row r="3" spans="1:12" s="1083" customFormat="1" ht="16.5" thickBot="1">
      <c r="A3" s="1084" t="s">
        <v>685</v>
      </c>
      <c r="B3" s="1085" t="s">
        <v>1238</v>
      </c>
      <c r="C3" s="1862"/>
      <c r="D3" s="1863"/>
      <c r="E3" s="1195"/>
      <c r="F3" s="1195"/>
      <c r="G3" s="1196"/>
      <c r="H3" s="1196"/>
      <c r="I3" s="1196"/>
      <c r="J3" s="1196"/>
      <c r="K3" s="1742"/>
      <c r="L3" s="1733"/>
    </row>
    <row r="4" spans="1:12" s="1088" customFormat="1" ht="15.95" customHeight="1" thickBot="1">
      <c r="A4" s="1086"/>
      <c r="B4" s="1087"/>
      <c r="C4" s="1825" t="s">
        <v>687</v>
      </c>
      <c r="D4" s="1826"/>
      <c r="E4" s="1197"/>
      <c r="F4" s="1197"/>
      <c r="G4" s="1198"/>
      <c r="H4" s="1198"/>
      <c r="I4" s="1198"/>
      <c r="J4" s="1198"/>
      <c r="K4" s="1743"/>
      <c r="L4" s="1734"/>
    </row>
    <row r="5" spans="1:12" ht="36.75" thickBot="1">
      <c r="A5" s="1522" t="s">
        <v>688</v>
      </c>
      <c r="B5" s="1090" t="s">
        <v>689</v>
      </c>
      <c r="C5" s="1091" t="s">
        <v>690</v>
      </c>
      <c r="D5" s="1092" t="s">
        <v>691</v>
      </c>
    </row>
    <row r="6" spans="1:12" s="1098" customFormat="1" ht="12.95" customHeight="1" thickBot="1">
      <c r="A6" s="1094">
        <v>1</v>
      </c>
      <c r="B6" s="1095">
        <v>2</v>
      </c>
      <c r="C6" s="1096">
        <v>3</v>
      </c>
      <c r="D6" s="1097">
        <v>4</v>
      </c>
      <c r="E6" s="1201"/>
      <c r="F6" s="1201"/>
      <c r="G6" s="1202"/>
      <c r="H6" s="1202"/>
      <c r="I6" s="1202"/>
      <c r="J6" s="1202"/>
      <c r="K6" s="1745"/>
      <c r="L6" s="1736"/>
    </row>
    <row r="7" spans="1:12" s="1204" customFormat="1" ht="15.95" customHeight="1" thickBot="1">
      <c r="A7" s="1864" t="s">
        <v>692</v>
      </c>
      <c r="B7" s="1865"/>
      <c r="C7" s="1865"/>
      <c r="D7" s="1866"/>
      <c r="E7" s="1201" t="s">
        <v>925</v>
      </c>
      <c r="F7" s="1201" t="s">
        <v>927</v>
      </c>
      <c r="G7" s="1202" t="s">
        <v>946</v>
      </c>
      <c r="H7" s="1202" t="s">
        <v>947</v>
      </c>
      <c r="I7" s="1202" t="s">
        <v>949</v>
      </c>
      <c r="J7" s="1202">
        <v>84031</v>
      </c>
      <c r="K7" s="1745" t="s">
        <v>951</v>
      </c>
      <c r="L7" s="1737" t="s">
        <v>949</v>
      </c>
    </row>
    <row r="8" spans="1:12" s="1098" customFormat="1" ht="12" customHeight="1" thickBot="1">
      <c r="A8" s="1099" t="s">
        <v>693</v>
      </c>
      <c r="B8" s="1100" t="s">
        <v>694</v>
      </c>
      <c r="C8" s="1101">
        <f>+C9+C10+C11+C12+C13+C14</f>
        <v>0</v>
      </c>
      <c r="D8" s="1102">
        <f>+D9+D10+D11+D12+D13+D14</f>
        <v>0</v>
      </c>
      <c r="E8" s="1205"/>
      <c r="F8" s="1205"/>
      <c r="G8" s="1205"/>
      <c r="H8" s="1205"/>
      <c r="I8" s="1205"/>
      <c r="J8" s="1205"/>
      <c r="K8" s="1740"/>
      <c r="L8" s="1736"/>
    </row>
    <row r="9" spans="1:12" s="1107" customFormat="1" ht="12" customHeight="1">
      <c r="A9" s="1103" t="s">
        <v>695</v>
      </c>
      <c r="B9" s="1104" t="s">
        <v>696</v>
      </c>
      <c r="C9" s="1105">
        <f>SUM(E9:K9)</f>
        <v>0</v>
      </c>
      <c r="D9" s="1106">
        <f>C9+L9</f>
        <v>0</v>
      </c>
      <c r="E9" s="1199"/>
      <c r="F9" s="1199"/>
      <c r="G9" s="1206"/>
      <c r="H9" s="1206"/>
      <c r="I9" s="1206"/>
      <c r="J9" s="1206"/>
      <c r="K9" s="1746"/>
      <c r="L9" s="1738"/>
    </row>
    <row r="10" spans="1:12" s="1111" customFormat="1" ht="12" customHeight="1">
      <c r="A10" s="1108" t="s">
        <v>697</v>
      </c>
      <c r="B10" s="1109" t="s">
        <v>698</v>
      </c>
      <c r="C10" s="1105">
        <f t="shared" ref="C10:C14" si="0">SUM(E10:K10)</f>
        <v>0</v>
      </c>
      <c r="D10" s="1106">
        <f t="shared" ref="D10:D14" si="1">C10+L10</f>
        <v>0</v>
      </c>
      <c r="E10" s="1199"/>
      <c r="F10" s="1199"/>
      <c r="G10" s="1199"/>
      <c r="H10" s="1199"/>
      <c r="I10" s="1199"/>
      <c r="J10" s="1199"/>
      <c r="K10" s="1738"/>
      <c r="L10" s="1738"/>
    </row>
    <row r="11" spans="1:12" s="1111" customFormat="1" ht="12" customHeight="1">
      <c r="A11" s="1108" t="s">
        <v>699</v>
      </c>
      <c r="B11" s="1109" t="s">
        <v>700</v>
      </c>
      <c r="C11" s="1105">
        <f t="shared" si="0"/>
        <v>0</v>
      </c>
      <c r="D11" s="1106">
        <f t="shared" si="1"/>
        <v>0</v>
      </c>
      <c r="E11" s="1199"/>
      <c r="F11" s="1199"/>
      <c r="G11" s="1199"/>
      <c r="H11" s="1199"/>
      <c r="I11" s="1199"/>
      <c r="J11" s="1199"/>
      <c r="K11" s="1738"/>
      <c r="L11" s="1738"/>
    </row>
    <row r="12" spans="1:12" s="1111" customFormat="1" ht="12" customHeight="1">
      <c r="A12" s="1108" t="s">
        <v>701</v>
      </c>
      <c r="B12" s="1109" t="s">
        <v>702</v>
      </c>
      <c r="C12" s="1105">
        <f t="shared" si="0"/>
        <v>0</v>
      </c>
      <c r="D12" s="1106">
        <f t="shared" si="1"/>
        <v>0</v>
      </c>
      <c r="E12" s="1199"/>
      <c r="F12" s="1199"/>
      <c r="G12" s="1199"/>
      <c r="H12" s="1199"/>
      <c r="I12" s="1199"/>
      <c r="J12" s="1199"/>
      <c r="K12" s="1738"/>
      <c r="L12" s="1738"/>
    </row>
    <row r="13" spans="1:12" s="1111" customFormat="1" ht="12" customHeight="1">
      <c r="A13" s="1108" t="s">
        <v>703</v>
      </c>
      <c r="B13" s="1109" t="s">
        <v>704</v>
      </c>
      <c r="C13" s="1105">
        <f t="shared" si="0"/>
        <v>0</v>
      </c>
      <c r="D13" s="1106">
        <f t="shared" si="1"/>
        <v>0</v>
      </c>
      <c r="E13" s="1199"/>
      <c r="F13" s="1199"/>
      <c r="G13" s="1199"/>
      <c r="H13" s="1199"/>
      <c r="I13" s="1199"/>
      <c r="J13" s="1199"/>
      <c r="K13" s="1738"/>
      <c r="L13" s="1738"/>
    </row>
    <row r="14" spans="1:12" s="1107" customFormat="1" ht="12" customHeight="1" thickBot="1">
      <c r="A14" s="1112" t="s">
        <v>705</v>
      </c>
      <c r="B14" s="1113" t="s">
        <v>706</v>
      </c>
      <c r="C14" s="1105">
        <f t="shared" si="0"/>
        <v>0</v>
      </c>
      <c r="D14" s="1106">
        <f t="shared" si="1"/>
        <v>0</v>
      </c>
      <c r="E14" s="1199"/>
      <c r="F14" s="1199"/>
      <c r="G14" s="1206"/>
      <c r="H14" s="1206"/>
      <c r="I14" s="1206"/>
      <c r="J14" s="1206"/>
      <c r="K14" s="1746"/>
      <c r="L14" s="1738"/>
    </row>
    <row r="15" spans="1:12" s="1107" customFormat="1" ht="21.75" customHeight="1" thickBot="1">
      <c r="A15" s="1099" t="s">
        <v>707</v>
      </c>
      <c r="B15" s="1114" t="s">
        <v>708</v>
      </c>
      <c r="C15" s="1101">
        <f>+C16+C17+C18+C19+C20</f>
        <v>0</v>
      </c>
      <c r="D15" s="1102">
        <f>+D16+D17+D18+D19+D20</f>
        <v>4978240</v>
      </c>
      <c r="E15" s="1199"/>
      <c r="F15" s="1199"/>
      <c r="G15" s="1206"/>
      <c r="H15" s="1206"/>
      <c r="I15" s="1206"/>
      <c r="J15" s="1206"/>
      <c r="K15" s="1746"/>
      <c r="L15" s="1738"/>
    </row>
    <row r="16" spans="1:12" s="1107" customFormat="1" ht="12" customHeight="1">
      <c r="A16" s="1103" t="s">
        <v>709</v>
      </c>
      <c r="B16" s="1104" t="s">
        <v>710</v>
      </c>
      <c r="C16" s="1105">
        <f t="shared" ref="C16:C21" si="2">SUM(E16:K16)</f>
        <v>0</v>
      </c>
      <c r="D16" s="1106">
        <f t="shared" ref="D16:D21" si="3">C16+L16</f>
        <v>0</v>
      </c>
      <c r="E16" s="1199"/>
      <c r="F16" s="1199"/>
      <c r="G16" s="1206"/>
      <c r="H16" s="1206"/>
      <c r="I16" s="1206"/>
      <c r="J16" s="1206"/>
      <c r="K16" s="1746"/>
      <c r="L16" s="1738"/>
    </row>
    <row r="17" spans="1:12" s="1107" customFormat="1" ht="12" customHeight="1">
      <c r="A17" s="1108" t="s">
        <v>711</v>
      </c>
      <c r="B17" s="1109" t="s">
        <v>712</v>
      </c>
      <c r="C17" s="1105">
        <f t="shared" si="2"/>
        <v>0</v>
      </c>
      <c r="D17" s="1106">
        <f t="shared" si="3"/>
        <v>0</v>
      </c>
      <c r="E17" s="1199"/>
      <c r="F17" s="1199"/>
      <c r="G17" s="1206"/>
      <c r="H17" s="1206"/>
      <c r="I17" s="1206"/>
      <c r="J17" s="1206"/>
      <c r="K17" s="1746"/>
      <c r="L17" s="1738"/>
    </row>
    <row r="18" spans="1:12" s="1107" customFormat="1" ht="12" customHeight="1">
      <c r="A18" s="1108" t="s">
        <v>713</v>
      </c>
      <c r="B18" s="1109" t="s">
        <v>714</v>
      </c>
      <c r="C18" s="1105">
        <f t="shared" si="2"/>
        <v>0</v>
      </c>
      <c r="D18" s="1106">
        <f t="shared" si="3"/>
        <v>0</v>
      </c>
      <c r="E18" s="1199"/>
      <c r="F18" s="1199"/>
      <c r="G18" s="1206"/>
      <c r="H18" s="1206"/>
      <c r="I18" s="1206"/>
      <c r="J18" s="1206"/>
      <c r="K18" s="1746"/>
      <c r="L18" s="1738"/>
    </row>
    <row r="19" spans="1:12" s="1107" customFormat="1" ht="12" customHeight="1">
      <c r="A19" s="1108" t="s">
        <v>715</v>
      </c>
      <c r="B19" s="1109" t="s">
        <v>716</v>
      </c>
      <c r="C19" s="1105">
        <f t="shared" si="2"/>
        <v>0</v>
      </c>
      <c r="D19" s="1106">
        <f t="shared" si="3"/>
        <v>0</v>
      </c>
      <c r="E19" s="1199"/>
      <c r="F19" s="1199"/>
      <c r="G19" s="1206"/>
      <c r="H19" s="1206"/>
      <c r="I19" s="1206"/>
      <c r="J19" s="1206"/>
      <c r="K19" s="1746"/>
      <c r="L19" s="1738"/>
    </row>
    <row r="20" spans="1:12" s="1107" customFormat="1" ht="12" customHeight="1">
      <c r="A20" s="1108" t="s">
        <v>717</v>
      </c>
      <c r="B20" s="1109" t="s">
        <v>718</v>
      </c>
      <c r="C20" s="1105">
        <f t="shared" si="2"/>
        <v>0</v>
      </c>
      <c r="D20" s="1106">
        <f t="shared" si="3"/>
        <v>4978240</v>
      </c>
      <c r="E20" s="1199"/>
      <c r="F20" s="1199"/>
      <c r="G20" s="1206"/>
      <c r="H20" s="1206"/>
      <c r="I20" s="1206"/>
      <c r="J20" s="1206"/>
      <c r="K20" s="1746"/>
      <c r="L20" s="1738">
        <v>4978240</v>
      </c>
    </row>
    <row r="21" spans="1:12" s="1111" customFormat="1" ht="12" customHeight="1" thickBot="1">
      <c r="A21" s="1112" t="s">
        <v>719</v>
      </c>
      <c r="B21" s="1113" t="s">
        <v>720</v>
      </c>
      <c r="C21" s="1105">
        <f t="shared" si="2"/>
        <v>0</v>
      </c>
      <c r="D21" s="1106">
        <f t="shared" si="3"/>
        <v>0</v>
      </c>
      <c r="E21" s="1199"/>
      <c r="F21" s="1199"/>
      <c r="G21" s="1199"/>
      <c r="H21" s="1199"/>
      <c r="I21" s="1199"/>
      <c r="J21" s="1199"/>
      <c r="K21" s="1738"/>
      <c r="L21" s="1738"/>
    </row>
    <row r="22" spans="1:12" s="1111" customFormat="1" ht="23.25" customHeight="1" thickBot="1">
      <c r="A22" s="1099" t="s">
        <v>721</v>
      </c>
      <c r="B22" s="1100" t="s">
        <v>722</v>
      </c>
      <c r="C22" s="1101">
        <f>+C23+C24+C25+C26+C27</f>
        <v>0</v>
      </c>
      <c r="D22" s="1102">
        <f>+D23+D24+D25+D26+D27</f>
        <v>0</v>
      </c>
      <c r="E22" s="1199"/>
      <c r="F22" s="1199"/>
      <c r="G22" s="1199"/>
      <c r="H22" s="1199"/>
      <c r="I22" s="1199"/>
      <c r="J22" s="1199"/>
      <c r="K22" s="1738"/>
      <c r="L22" s="1738"/>
    </row>
    <row r="23" spans="1:12" s="1111" customFormat="1" ht="12" customHeight="1">
      <c r="A23" s="1103" t="s">
        <v>723</v>
      </c>
      <c r="B23" s="1104" t="s">
        <v>724</v>
      </c>
      <c r="C23" s="1105">
        <f t="shared" ref="C23:C28" si="4">SUM(E23:K23)</f>
        <v>0</v>
      </c>
      <c r="D23" s="1106">
        <f t="shared" ref="D23:D28" si="5">C23+L23</f>
        <v>0</v>
      </c>
      <c r="E23" s="1199"/>
      <c r="F23" s="1199"/>
      <c r="G23" s="1199"/>
      <c r="H23" s="1199"/>
      <c r="I23" s="1199"/>
      <c r="J23" s="1199"/>
      <c r="K23" s="1738"/>
      <c r="L23" s="1738"/>
    </row>
    <row r="24" spans="1:12" s="1107" customFormat="1" ht="12" customHeight="1">
      <c r="A24" s="1108" t="s">
        <v>725</v>
      </c>
      <c r="B24" s="1109" t="s">
        <v>726</v>
      </c>
      <c r="C24" s="1105">
        <f t="shared" si="4"/>
        <v>0</v>
      </c>
      <c r="D24" s="1106">
        <f t="shared" si="5"/>
        <v>0</v>
      </c>
      <c r="E24" s="1199"/>
      <c r="F24" s="1199"/>
      <c r="G24" s="1206"/>
      <c r="H24" s="1206"/>
      <c r="I24" s="1206"/>
      <c r="J24" s="1206"/>
      <c r="K24" s="1746"/>
      <c r="L24" s="1738"/>
    </row>
    <row r="25" spans="1:12" s="1111" customFormat="1" ht="12" customHeight="1">
      <c r="A25" s="1108" t="s">
        <v>727</v>
      </c>
      <c r="B25" s="1109" t="s">
        <v>728</v>
      </c>
      <c r="C25" s="1105">
        <f t="shared" si="4"/>
        <v>0</v>
      </c>
      <c r="D25" s="1106">
        <f t="shared" si="5"/>
        <v>0</v>
      </c>
      <c r="E25" s="1199"/>
      <c r="F25" s="1199"/>
      <c r="G25" s="1199"/>
      <c r="H25" s="1199"/>
      <c r="I25" s="1199"/>
      <c r="J25" s="1199"/>
      <c r="K25" s="1738"/>
      <c r="L25" s="1738"/>
    </row>
    <row r="26" spans="1:12" s="1111" customFormat="1" ht="12" customHeight="1">
      <c r="A26" s="1108" t="s">
        <v>729</v>
      </c>
      <c r="B26" s="1109" t="s">
        <v>730</v>
      </c>
      <c r="C26" s="1105">
        <f t="shared" si="4"/>
        <v>0</v>
      </c>
      <c r="D26" s="1106">
        <f t="shared" si="5"/>
        <v>0</v>
      </c>
      <c r="E26" s="1199"/>
      <c r="F26" s="1199"/>
      <c r="G26" s="1199"/>
      <c r="H26" s="1199"/>
      <c r="I26" s="1199"/>
      <c r="J26" s="1199"/>
      <c r="K26" s="1738"/>
      <c r="L26" s="1738"/>
    </row>
    <row r="27" spans="1:12" s="1111" customFormat="1" ht="12" customHeight="1">
      <c r="A27" s="1108" t="s">
        <v>731</v>
      </c>
      <c r="B27" s="1109" t="s">
        <v>732</v>
      </c>
      <c r="C27" s="1105">
        <f t="shared" si="4"/>
        <v>0</v>
      </c>
      <c r="D27" s="1106">
        <f t="shared" si="5"/>
        <v>0</v>
      </c>
      <c r="E27" s="1199"/>
      <c r="F27" s="1199"/>
      <c r="G27" s="1199"/>
      <c r="H27" s="1199"/>
      <c r="I27" s="1199"/>
      <c r="J27" s="1199"/>
      <c r="K27" s="1738"/>
      <c r="L27" s="1738"/>
    </row>
    <row r="28" spans="1:12" s="1111" customFormat="1" ht="12" customHeight="1" thickBot="1">
      <c r="A28" s="1112" t="s">
        <v>733</v>
      </c>
      <c r="B28" s="1113" t="s">
        <v>734</v>
      </c>
      <c r="C28" s="1105">
        <f t="shared" si="4"/>
        <v>0</v>
      </c>
      <c r="D28" s="1106">
        <f t="shared" si="5"/>
        <v>0</v>
      </c>
      <c r="E28" s="1199"/>
      <c r="F28" s="1199"/>
      <c r="G28" s="1199"/>
      <c r="H28" s="1199"/>
      <c r="I28" s="1199"/>
      <c r="J28" s="1199"/>
      <c r="K28" s="1738"/>
      <c r="L28" s="1738"/>
    </row>
    <row r="29" spans="1:12" s="1111" customFormat="1" ht="12" customHeight="1" thickBot="1">
      <c r="A29" s="1099" t="s">
        <v>735</v>
      </c>
      <c r="B29" s="1100" t="s">
        <v>963</v>
      </c>
      <c r="C29" s="1118">
        <f>+C30+C36</f>
        <v>0</v>
      </c>
      <c r="D29" s="1119">
        <f>+D30+D34+D35+D36</f>
        <v>0</v>
      </c>
      <c r="E29" s="1199"/>
      <c r="F29" s="1199"/>
      <c r="G29" s="1199"/>
      <c r="H29" s="1199"/>
      <c r="I29" s="1199"/>
      <c r="J29" s="1199"/>
      <c r="K29" s="1738"/>
      <c r="L29" s="1738"/>
    </row>
    <row r="30" spans="1:12" s="1111" customFormat="1" ht="12" customHeight="1">
      <c r="A30" s="1103" t="s">
        <v>737</v>
      </c>
      <c r="B30" s="1104" t="s">
        <v>738</v>
      </c>
      <c r="C30" s="1105">
        <f t="shared" ref="C30:C36" si="6">SUM(E30:K30)</f>
        <v>0</v>
      </c>
      <c r="D30" s="1106">
        <f t="shared" ref="D30:D36" si="7">C30+L30</f>
        <v>0</v>
      </c>
      <c r="E30" s="1199"/>
      <c r="F30" s="1199"/>
      <c r="G30" s="1199"/>
      <c r="H30" s="1199"/>
      <c r="I30" s="1199"/>
      <c r="J30" s="1199"/>
      <c r="K30" s="1738"/>
      <c r="L30" s="1738"/>
    </row>
    <row r="31" spans="1:12" s="1111" customFormat="1" ht="12" customHeight="1">
      <c r="A31" s="1108" t="s">
        <v>739</v>
      </c>
      <c r="B31" s="1122" t="s">
        <v>740</v>
      </c>
      <c r="C31" s="1105">
        <f t="shared" si="6"/>
        <v>0</v>
      </c>
      <c r="D31" s="1106">
        <f t="shared" si="7"/>
        <v>0</v>
      </c>
      <c r="E31" s="1199"/>
      <c r="F31" s="1199"/>
      <c r="G31" s="1199"/>
      <c r="H31" s="1199"/>
      <c r="I31" s="1199"/>
      <c r="J31" s="1199"/>
      <c r="K31" s="1738"/>
      <c r="L31" s="1738"/>
    </row>
    <row r="32" spans="1:12" s="1111" customFormat="1" ht="12" customHeight="1">
      <c r="A32" s="1108" t="s">
        <v>741</v>
      </c>
      <c r="B32" s="1109" t="s">
        <v>742</v>
      </c>
      <c r="C32" s="1105">
        <f t="shared" si="6"/>
        <v>0</v>
      </c>
      <c r="D32" s="1106">
        <f t="shared" si="7"/>
        <v>0</v>
      </c>
      <c r="E32" s="1199"/>
      <c r="F32" s="1199"/>
      <c r="G32" s="1199"/>
      <c r="H32" s="1199"/>
      <c r="I32" s="1199"/>
      <c r="J32" s="1199"/>
      <c r="K32" s="1738"/>
      <c r="L32" s="1738"/>
    </row>
    <row r="33" spans="1:12" s="1111" customFormat="1" ht="12" customHeight="1">
      <c r="A33" s="1108" t="s">
        <v>743</v>
      </c>
      <c r="B33" s="1122" t="s">
        <v>744</v>
      </c>
      <c r="C33" s="1105">
        <f t="shared" si="6"/>
        <v>0</v>
      </c>
      <c r="D33" s="1106">
        <f t="shared" si="7"/>
        <v>0</v>
      </c>
      <c r="E33" s="1199"/>
      <c r="F33" s="1199"/>
      <c r="G33" s="1199"/>
      <c r="H33" s="1199"/>
      <c r="I33" s="1199"/>
      <c r="J33" s="1199"/>
      <c r="K33" s="1738"/>
      <c r="L33" s="1738"/>
    </row>
    <row r="34" spans="1:12" s="1111" customFormat="1" ht="12" customHeight="1">
      <c r="A34" s="1108" t="s">
        <v>745</v>
      </c>
      <c r="B34" s="1122" t="s">
        <v>746</v>
      </c>
      <c r="C34" s="1105">
        <f t="shared" si="6"/>
        <v>0</v>
      </c>
      <c r="D34" s="1106">
        <f t="shared" si="7"/>
        <v>0</v>
      </c>
      <c r="E34" s="1199"/>
      <c r="F34" s="1199"/>
      <c r="G34" s="1199"/>
      <c r="H34" s="1199"/>
      <c r="I34" s="1199"/>
      <c r="J34" s="1199"/>
      <c r="K34" s="1738"/>
      <c r="L34" s="1738"/>
    </row>
    <row r="35" spans="1:12" s="1111" customFormat="1" ht="12" customHeight="1">
      <c r="A35" s="1108" t="s">
        <v>747</v>
      </c>
      <c r="B35" s="1122" t="s">
        <v>748</v>
      </c>
      <c r="C35" s="1105">
        <f t="shared" si="6"/>
        <v>0</v>
      </c>
      <c r="D35" s="1106">
        <f t="shared" si="7"/>
        <v>0</v>
      </c>
      <c r="E35" s="1199"/>
      <c r="F35" s="1199"/>
      <c r="G35" s="1199"/>
      <c r="H35" s="1199"/>
      <c r="I35" s="1199"/>
      <c r="J35" s="1199"/>
      <c r="K35" s="1738"/>
      <c r="L35" s="1738"/>
    </row>
    <row r="36" spans="1:12" s="1111" customFormat="1" ht="12" customHeight="1" thickBot="1">
      <c r="A36" s="1112" t="s">
        <v>749</v>
      </c>
      <c r="B36" s="1113" t="s">
        <v>280</v>
      </c>
      <c r="C36" s="1105">
        <f t="shared" si="6"/>
        <v>0</v>
      </c>
      <c r="D36" s="1106">
        <f t="shared" si="7"/>
        <v>0</v>
      </c>
      <c r="E36" s="1199"/>
      <c r="F36" s="1199"/>
      <c r="G36" s="1199"/>
      <c r="H36" s="1199"/>
      <c r="I36" s="1199"/>
      <c r="J36" s="1199"/>
      <c r="K36" s="1738"/>
      <c r="L36" s="1738"/>
    </row>
    <row r="37" spans="1:12" s="1111" customFormat="1" ht="12" customHeight="1" thickBot="1">
      <c r="A37" s="1099" t="s">
        <v>750</v>
      </c>
      <c r="B37" s="1100" t="s">
        <v>751</v>
      </c>
      <c r="C37" s="1101">
        <f>SUM(C38:C47)</f>
        <v>12655800</v>
      </c>
      <c r="D37" s="1102">
        <f>SUM(D38:D47)</f>
        <v>12655800</v>
      </c>
      <c r="E37" s="1199"/>
      <c r="F37" s="1199"/>
      <c r="G37" s="1199"/>
      <c r="H37" s="1199"/>
      <c r="I37" s="1199"/>
      <c r="J37" s="1199"/>
      <c r="K37" s="1738"/>
      <c r="L37" s="1738"/>
    </row>
    <row r="38" spans="1:12" s="1111" customFormat="1" ht="12" customHeight="1">
      <c r="A38" s="1103" t="s">
        <v>752</v>
      </c>
      <c r="B38" s="1104" t="s">
        <v>753</v>
      </c>
      <c r="C38" s="1105">
        <f t="shared" ref="C38:C47" si="8">SUM(E38:K38)</f>
        <v>1700000</v>
      </c>
      <c r="D38" s="1106">
        <f t="shared" ref="D38:D47" si="9">C38+L38</f>
        <v>1700000</v>
      </c>
      <c r="E38" s="1199"/>
      <c r="F38" s="1199">
        <v>1700000</v>
      </c>
      <c r="G38" s="1199"/>
      <c r="H38" s="1199"/>
      <c r="I38" s="1199"/>
      <c r="J38" s="1199"/>
      <c r="K38" s="1738"/>
      <c r="L38" s="1738"/>
    </row>
    <row r="39" spans="1:12" s="1111" customFormat="1" ht="12" customHeight="1">
      <c r="A39" s="1108" t="s">
        <v>754</v>
      </c>
      <c r="B39" s="1109" t="s">
        <v>755</v>
      </c>
      <c r="C39" s="1105">
        <f t="shared" si="8"/>
        <v>2065000</v>
      </c>
      <c r="D39" s="1106">
        <f t="shared" si="9"/>
        <v>2065000</v>
      </c>
      <c r="E39" s="1199"/>
      <c r="F39" s="1199">
        <v>2065000</v>
      </c>
      <c r="G39" s="1199"/>
      <c r="H39" s="1199"/>
      <c r="I39" s="1199"/>
      <c r="J39" s="1199"/>
      <c r="K39" s="1738"/>
      <c r="L39" s="1738"/>
    </row>
    <row r="40" spans="1:12" s="1111" customFormat="1" ht="12" customHeight="1">
      <c r="A40" s="1108" t="s">
        <v>756</v>
      </c>
      <c r="B40" s="1109" t="s">
        <v>757</v>
      </c>
      <c r="C40" s="1105">
        <f t="shared" si="8"/>
        <v>200000</v>
      </c>
      <c r="D40" s="1106">
        <f t="shared" si="9"/>
        <v>200000</v>
      </c>
      <c r="E40" s="1199"/>
      <c r="F40" s="1199">
        <v>200000</v>
      </c>
      <c r="G40" s="1199"/>
      <c r="H40" s="1199"/>
      <c r="I40" s="1199"/>
      <c r="J40" s="1199"/>
      <c r="K40" s="1738"/>
      <c r="L40" s="1738"/>
    </row>
    <row r="41" spans="1:12" s="1111" customFormat="1" ht="12" customHeight="1">
      <c r="A41" s="1108" t="s">
        <v>758</v>
      </c>
      <c r="B41" s="1109" t="s">
        <v>759</v>
      </c>
      <c r="C41" s="1105">
        <f t="shared" si="8"/>
        <v>0</v>
      </c>
      <c r="D41" s="1106">
        <f t="shared" si="9"/>
        <v>0</v>
      </c>
      <c r="E41" s="1199"/>
      <c r="F41" s="1199"/>
      <c r="G41" s="1199"/>
      <c r="H41" s="1199"/>
      <c r="I41" s="1199"/>
      <c r="J41" s="1199"/>
      <c r="K41" s="1738"/>
      <c r="L41" s="1738"/>
    </row>
    <row r="42" spans="1:12" s="1111" customFormat="1" ht="12" customHeight="1">
      <c r="A42" s="1108" t="s">
        <v>760</v>
      </c>
      <c r="B42" s="1109" t="s">
        <v>761</v>
      </c>
      <c r="C42" s="1105">
        <f t="shared" si="8"/>
        <v>0</v>
      </c>
      <c r="D42" s="1106">
        <f t="shared" si="9"/>
        <v>0</v>
      </c>
      <c r="E42" s="1199"/>
      <c r="F42" s="1199"/>
      <c r="G42" s="1199"/>
      <c r="H42" s="1199"/>
      <c r="I42" s="1199"/>
      <c r="J42" s="1199"/>
      <c r="K42" s="1738"/>
      <c r="L42" s="1738"/>
    </row>
    <row r="43" spans="1:12" s="1111" customFormat="1" ht="12" customHeight="1">
      <c r="A43" s="1108" t="s">
        <v>762</v>
      </c>
      <c r="B43" s="1109" t="s">
        <v>763</v>
      </c>
      <c r="C43" s="1105">
        <f t="shared" si="8"/>
        <v>612000</v>
      </c>
      <c r="D43" s="1106">
        <f t="shared" si="9"/>
        <v>612000</v>
      </c>
      <c r="E43" s="1199"/>
      <c r="F43" s="1199">
        <v>612000</v>
      </c>
      <c r="G43" s="1199"/>
      <c r="H43" s="1199"/>
      <c r="I43" s="1199"/>
      <c r="J43" s="1199"/>
      <c r="K43" s="1738"/>
      <c r="L43" s="1738"/>
    </row>
    <row r="44" spans="1:12" s="1111" customFormat="1" ht="12" customHeight="1">
      <c r="A44" s="1108" t="s">
        <v>764</v>
      </c>
      <c r="B44" s="1109" t="s">
        <v>765</v>
      </c>
      <c r="C44" s="1105">
        <f t="shared" si="8"/>
        <v>0</v>
      </c>
      <c r="D44" s="1106">
        <f t="shared" si="9"/>
        <v>0</v>
      </c>
      <c r="E44" s="1199"/>
      <c r="F44" s="1199"/>
      <c r="G44" s="1199"/>
      <c r="H44" s="1199"/>
      <c r="I44" s="1199"/>
      <c r="J44" s="1199"/>
      <c r="K44" s="1738"/>
      <c r="L44" s="1738"/>
    </row>
    <row r="45" spans="1:12" s="1111" customFormat="1" ht="12" customHeight="1">
      <c r="A45" s="1108" t="s">
        <v>766</v>
      </c>
      <c r="B45" s="1109" t="s">
        <v>767</v>
      </c>
      <c r="C45" s="1105">
        <f t="shared" si="8"/>
        <v>0</v>
      </c>
      <c r="D45" s="1106">
        <f t="shared" si="9"/>
        <v>0</v>
      </c>
      <c r="E45" s="1199"/>
      <c r="F45" s="1199"/>
      <c r="G45" s="1199"/>
      <c r="H45" s="1199"/>
      <c r="I45" s="1199"/>
      <c r="J45" s="1199"/>
      <c r="K45" s="1738"/>
      <c r="L45" s="1738"/>
    </row>
    <row r="46" spans="1:12" s="1111" customFormat="1" ht="12" customHeight="1">
      <c r="A46" s="1108" t="s">
        <v>768</v>
      </c>
      <c r="B46" s="1109" t="s">
        <v>769</v>
      </c>
      <c r="C46" s="1105">
        <f t="shared" si="8"/>
        <v>0</v>
      </c>
      <c r="D46" s="1106">
        <f t="shared" si="9"/>
        <v>0</v>
      </c>
      <c r="E46" s="1199"/>
      <c r="F46" s="1199"/>
      <c r="G46" s="1199"/>
      <c r="H46" s="1199"/>
      <c r="I46" s="1199"/>
      <c r="J46" s="1199"/>
      <c r="K46" s="1738"/>
      <c r="L46" s="1738"/>
    </row>
    <row r="47" spans="1:12" s="1111" customFormat="1" ht="12" customHeight="1" thickBot="1">
      <c r="A47" s="1112" t="s">
        <v>770</v>
      </c>
      <c r="B47" s="1113" t="s">
        <v>771</v>
      </c>
      <c r="C47" s="1105">
        <f t="shared" si="8"/>
        <v>8078800</v>
      </c>
      <c r="D47" s="1106">
        <f t="shared" si="9"/>
        <v>8078800</v>
      </c>
      <c r="E47" s="1199">
        <v>8078800</v>
      </c>
      <c r="F47" s="1199"/>
      <c r="G47" s="1199"/>
      <c r="H47" s="1199"/>
      <c r="I47" s="1199"/>
      <c r="J47" s="1199"/>
      <c r="K47" s="1738"/>
      <c r="L47" s="1738"/>
    </row>
    <row r="48" spans="1:12" s="1111" customFormat="1" ht="12" customHeight="1" thickBot="1">
      <c r="A48" s="1099" t="s">
        <v>772</v>
      </c>
      <c r="B48" s="1100" t="s">
        <v>773</v>
      </c>
      <c r="C48" s="1101">
        <f>SUM(C49:C53)</f>
        <v>35000000</v>
      </c>
      <c r="D48" s="1102">
        <f>SUM(D49:D53)</f>
        <v>35000000</v>
      </c>
      <c r="E48" s="1199"/>
      <c r="F48" s="1199"/>
      <c r="G48" s="1199"/>
      <c r="H48" s="1199"/>
      <c r="I48" s="1199"/>
      <c r="J48" s="1199"/>
      <c r="K48" s="1738"/>
      <c r="L48" s="1738"/>
    </row>
    <row r="49" spans="1:12" s="1111" customFormat="1" ht="12" customHeight="1">
      <c r="A49" s="1103" t="s">
        <v>774</v>
      </c>
      <c r="B49" s="1104" t="s">
        <v>775</v>
      </c>
      <c r="C49" s="1105">
        <f t="shared" ref="C49:C53" si="10">SUM(E49:K49)</f>
        <v>0</v>
      </c>
      <c r="D49" s="1106">
        <f t="shared" ref="D49:D53" si="11">C49+L49</f>
        <v>0</v>
      </c>
      <c r="E49" s="1199"/>
      <c r="F49" s="1199"/>
      <c r="G49" s="1199"/>
      <c r="H49" s="1199"/>
      <c r="I49" s="1199"/>
      <c r="J49" s="1199"/>
      <c r="K49" s="1738"/>
      <c r="L49" s="1738"/>
    </row>
    <row r="50" spans="1:12" s="1111" customFormat="1" ht="12" customHeight="1">
      <c r="A50" s="1108" t="s">
        <v>776</v>
      </c>
      <c r="B50" s="1109" t="s">
        <v>655</v>
      </c>
      <c r="C50" s="1105">
        <f t="shared" si="10"/>
        <v>35000000</v>
      </c>
      <c r="D50" s="1106">
        <f t="shared" si="11"/>
        <v>35000000</v>
      </c>
      <c r="E50" s="1199"/>
      <c r="F50" s="1199">
        <v>35000000</v>
      </c>
      <c r="G50" s="1199"/>
      <c r="H50" s="1199"/>
      <c r="I50" s="1199"/>
      <c r="J50" s="1199"/>
      <c r="K50" s="1738"/>
      <c r="L50" s="1738"/>
    </row>
    <row r="51" spans="1:12" s="1111" customFormat="1" ht="12" customHeight="1">
      <c r="A51" s="1108" t="s">
        <v>777</v>
      </c>
      <c r="B51" s="1109" t="s">
        <v>778</v>
      </c>
      <c r="C51" s="1105">
        <f t="shared" si="10"/>
        <v>0</v>
      </c>
      <c r="D51" s="1106">
        <f t="shared" si="11"/>
        <v>0</v>
      </c>
      <c r="E51" s="1199"/>
      <c r="F51" s="1199"/>
      <c r="G51" s="1199"/>
      <c r="H51" s="1199"/>
      <c r="I51" s="1199"/>
      <c r="J51" s="1199"/>
      <c r="K51" s="1738"/>
      <c r="L51" s="1738"/>
    </row>
    <row r="52" spans="1:12" s="1111" customFormat="1" ht="12" customHeight="1">
      <c r="A52" s="1108" t="s">
        <v>779</v>
      </c>
      <c r="B52" s="1109" t="s">
        <v>780</v>
      </c>
      <c r="C52" s="1105">
        <f t="shared" si="10"/>
        <v>0</v>
      </c>
      <c r="D52" s="1106">
        <f t="shared" si="11"/>
        <v>0</v>
      </c>
      <c r="E52" s="1199"/>
      <c r="F52" s="1199"/>
      <c r="G52" s="1199"/>
      <c r="H52" s="1199"/>
      <c r="I52" s="1199"/>
      <c r="J52" s="1199"/>
      <c r="K52" s="1738"/>
      <c r="L52" s="1738"/>
    </row>
    <row r="53" spans="1:12" s="1111" customFormat="1" ht="12" customHeight="1" thickBot="1">
      <c r="A53" s="1112" t="s">
        <v>781</v>
      </c>
      <c r="B53" s="1113" t="s">
        <v>782</v>
      </c>
      <c r="C53" s="1105">
        <f t="shared" si="10"/>
        <v>0</v>
      </c>
      <c r="D53" s="1106">
        <f t="shared" si="11"/>
        <v>0</v>
      </c>
      <c r="E53" s="1199"/>
      <c r="F53" s="1199"/>
      <c r="G53" s="1199"/>
      <c r="H53" s="1199"/>
      <c r="I53" s="1199"/>
      <c r="J53" s="1199"/>
      <c r="K53" s="1738"/>
      <c r="L53" s="1738"/>
    </row>
    <row r="54" spans="1:12" s="1111" customFormat="1" ht="12" customHeight="1" thickBot="1">
      <c r="A54" s="1099" t="s">
        <v>783</v>
      </c>
      <c r="B54" s="1100" t="s">
        <v>784</v>
      </c>
      <c r="C54" s="1101">
        <f>SUM(C55:C57)</f>
        <v>0</v>
      </c>
      <c r="D54" s="1102">
        <f>SUM(D55:D57)</f>
        <v>0</v>
      </c>
      <c r="E54" s="1199"/>
      <c r="F54" s="1199"/>
      <c r="G54" s="1199"/>
      <c r="H54" s="1199"/>
      <c r="I54" s="1199"/>
      <c r="J54" s="1199"/>
      <c r="K54" s="1738"/>
      <c r="L54" s="1738"/>
    </row>
    <row r="55" spans="1:12" s="1111" customFormat="1" ht="12" customHeight="1">
      <c r="A55" s="1103" t="s">
        <v>785</v>
      </c>
      <c r="B55" s="1104" t="s">
        <v>786</v>
      </c>
      <c r="C55" s="1105">
        <f t="shared" ref="C55:C58" si="12">SUM(E55:K55)</f>
        <v>0</v>
      </c>
      <c r="D55" s="1106">
        <f t="shared" ref="D55:D58" si="13">C55+L55</f>
        <v>0</v>
      </c>
      <c r="E55" s="1199"/>
      <c r="F55" s="1199"/>
      <c r="G55" s="1199"/>
      <c r="H55" s="1199"/>
      <c r="I55" s="1199"/>
      <c r="J55" s="1199"/>
      <c r="K55" s="1738"/>
      <c r="L55" s="1738"/>
    </row>
    <row r="56" spans="1:12" s="1111" customFormat="1" ht="12" customHeight="1">
      <c r="A56" s="1108" t="s">
        <v>787</v>
      </c>
      <c r="B56" s="1109" t="s">
        <v>788</v>
      </c>
      <c r="C56" s="1105">
        <f t="shared" si="12"/>
        <v>0</v>
      </c>
      <c r="D56" s="1106">
        <f t="shared" si="13"/>
        <v>0</v>
      </c>
      <c r="E56" s="1199"/>
      <c r="F56" s="1199"/>
      <c r="G56" s="1199"/>
      <c r="H56" s="1199"/>
      <c r="I56" s="1199"/>
      <c r="J56" s="1199"/>
      <c r="K56" s="1738"/>
      <c r="L56" s="1738"/>
    </row>
    <row r="57" spans="1:12" s="1111" customFormat="1" ht="12" customHeight="1">
      <c r="A57" s="1108" t="s">
        <v>789</v>
      </c>
      <c r="B57" s="1109" t="s">
        <v>790</v>
      </c>
      <c r="C57" s="1105">
        <f t="shared" si="12"/>
        <v>0</v>
      </c>
      <c r="D57" s="1106">
        <f t="shared" si="13"/>
        <v>0</v>
      </c>
      <c r="E57" s="1199"/>
      <c r="F57" s="1199"/>
      <c r="G57" s="1199"/>
      <c r="H57" s="1199"/>
      <c r="I57" s="1199"/>
      <c r="J57" s="1199"/>
      <c r="K57" s="1738"/>
      <c r="L57" s="1738"/>
    </row>
    <row r="58" spans="1:12" s="1111" customFormat="1" ht="12" customHeight="1" thickBot="1">
      <c r="A58" s="1112" t="s">
        <v>791</v>
      </c>
      <c r="B58" s="1113" t="s">
        <v>792</v>
      </c>
      <c r="C58" s="1105">
        <f t="shared" si="12"/>
        <v>0</v>
      </c>
      <c r="D58" s="1106">
        <f t="shared" si="13"/>
        <v>0</v>
      </c>
      <c r="E58" s="1199"/>
      <c r="F58" s="1199"/>
      <c r="G58" s="1199"/>
      <c r="H58" s="1199"/>
      <c r="I58" s="1199"/>
      <c r="J58" s="1199"/>
      <c r="K58" s="1738"/>
      <c r="L58" s="1738"/>
    </row>
    <row r="59" spans="1:12" s="1111" customFormat="1" ht="12" customHeight="1" thickBot="1">
      <c r="A59" s="1099" t="s">
        <v>793</v>
      </c>
      <c r="B59" s="1114" t="s">
        <v>794</v>
      </c>
      <c r="C59" s="1101">
        <f>SUM(C60:C62)</f>
        <v>0</v>
      </c>
      <c r="D59" s="1127">
        <f>SUM(D60:D62)</f>
        <v>0</v>
      </c>
      <c r="E59" s="1199"/>
      <c r="F59" s="1199"/>
      <c r="G59" s="1199"/>
      <c r="H59" s="1199"/>
      <c r="I59" s="1199"/>
      <c r="J59" s="1199"/>
      <c r="K59" s="1738"/>
      <c r="L59" s="1738"/>
    </row>
    <row r="60" spans="1:12" s="1111" customFormat="1" ht="12" customHeight="1">
      <c r="A60" s="1103" t="s">
        <v>795</v>
      </c>
      <c r="B60" s="1104" t="s">
        <v>796</v>
      </c>
      <c r="C60" s="1105">
        <f t="shared" ref="C60:C63" si="14">SUM(E60:K60)</f>
        <v>0</v>
      </c>
      <c r="D60" s="1106">
        <f t="shared" ref="D60:D63" si="15">C60+L60</f>
        <v>0</v>
      </c>
      <c r="E60" s="1199"/>
      <c r="F60" s="1199"/>
      <c r="G60" s="1199"/>
      <c r="H60" s="1199"/>
      <c r="I60" s="1199"/>
      <c r="J60" s="1199"/>
      <c r="K60" s="1738"/>
      <c r="L60" s="1738"/>
    </row>
    <row r="61" spans="1:12" s="1111" customFormat="1" ht="12" customHeight="1">
      <c r="A61" s="1108" t="s">
        <v>797</v>
      </c>
      <c r="B61" s="1109" t="s">
        <v>798</v>
      </c>
      <c r="C61" s="1105">
        <f t="shared" si="14"/>
        <v>0</v>
      </c>
      <c r="D61" s="1106">
        <f t="shared" si="15"/>
        <v>0</v>
      </c>
      <c r="E61" s="1199"/>
      <c r="F61" s="1199"/>
      <c r="G61" s="1199"/>
      <c r="H61" s="1199"/>
      <c r="I61" s="1199"/>
      <c r="J61" s="1199"/>
      <c r="K61" s="1738"/>
      <c r="L61" s="1738"/>
    </row>
    <row r="62" spans="1:12" s="1111" customFormat="1" ht="12" customHeight="1">
      <c r="A62" s="1108" t="s">
        <v>799</v>
      </c>
      <c r="B62" s="1109" t="s">
        <v>800</v>
      </c>
      <c r="C62" s="1105">
        <f t="shared" si="14"/>
        <v>0</v>
      </c>
      <c r="D62" s="1106">
        <f t="shared" si="15"/>
        <v>0</v>
      </c>
      <c r="E62" s="1199"/>
      <c r="F62" s="1199"/>
      <c r="G62" s="1199"/>
      <c r="H62" s="1199"/>
      <c r="I62" s="1199"/>
      <c r="J62" s="1199"/>
      <c r="K62" s="1738"/>
      <c r="L62" s="1738"/>
    </row>
    <row r="63" spans="1:12" s="1111" customFormat="1" ht="12" customHeight="1" thickBot="1">
      <c r="A63" s="1112" t="s">
        <v>801</v>
      </c>
      <c r="B63" s="1113" t="s">
        <v>802</v>
      </c>
      <c r="C63" s="1105">
        <f t="shared" si="14"/>
        <v>0</v>
      </c>
      <c r="D63" s="1106">
        <f t="shared" si="15"/>
        <v>0</v>
      </c>
      <c r="E63" s="1199"/>
      <c r="F63" s="1199"/>
      <c r="G63" s="1199"/>
      <c r="H63" s="1199"/>
      <c r="I63" s="1199"/>
      <c r="J63" s="1199"/>
      <c r="K63" s="1738"/>
      <c r="L63" s="1738"/>
    </row>
    <row r="64" spans="1:12" s="1111" customFormat="1" ht="12" customHeight="1" thickBot="1">
      <c r="A64" s="1099" t="s">
        <v>803</v>
      </c>
      <c r="B64" s="1100" t="s">
        <v>804</v>
      </c>
      <c r="C64" s="1118">
        <f>+C8+C15+C22+C29+C37+C48+C54+C59</f>
        <v>47655800</v>
      </c>
      <c r="D64" s="1119">
        <f>+D8+D15+D22+D29+D37+D48+D54+D59</f>
        <v>52634040</v>
      </c>
      <c r="E64" s="1199"/>
      <c r="F64" s="1199"/>
      <c r="G64" s="1199"/>
      <c r="H64" s="1199"/>
      <c r="I64" s="1199"/>
      <c r="J64" s="1199"/>
      <c r="K64" s="1738"/>
      <c r="L64" s="1738"/>
    </row>
    <row r="65" spans="1:12" s="1111" customFormat="1" ht="12" customHeight="1" thickBot="1">
      <c r="A65" s="1128" t="s">
        <v>805</v>
      </c>
      <c r="B65" s="1114" t="s">
        <v>806</v>
      </c>
      <c r="C65" s="1101">
        <f>SUM(C66:C68)</f>
        <v>0</v>
      </c>
      <c r="D65" s="1102">
        <f>SUM(D66:D68)</f>
        <v>0</v>
      </c>
      <c r="E65" s="1199"/>
      <c r="F65" s="1199"/>
      <c r="G65" s="1199"/>
      <c r="H65" s="1199"/>
      <c r="I65" s="1199"/>
      <c r="J65" s="1199"/>
      <c r="K65" s="1738"/>
      <c r="L65" s="1738"/>
    </row>
    <row r="66" spans="1:12" s="1111" customFormat="1" ht="12" customHeight="1">
      <c r="A66" s="1103" t="s">
        <v>807</v>
      </c>
      <c r="B66" s="1104" t="s">
        <v>808</v>
      </c>
      <c r="C66" s="1105">
        <f t="shared" ref="C66:C68" si="16">SUM(E66:K66)</f>
        <v>0</v>
      </c>
      <c r="D66" s="1106">
        <f t="shared" ref="D66:D68" si="17">C66+L66</f>
        <v>0</v>
      </c>
      <c r="E66" s="1199"/>
      <c r="F66" s="1199"/>
      <c r="G66" s="1199"/>
      <c r="H66" s="1199"/>
      <c r="I66" s="1199"/>
      <c r="J66" s="1199"/>
      <c r="K66" s="1738"/>
      <c r="L66" s="1738"/>
    </row>
    <row r="67" spans="1:12" s="1111" customFormat="1" ht="12" customHeight="1">
      <c r="A67" s="1108" t="s">
        <v>809</v>
      </c>
      <c r="B67" s="1109" t="s">
        <v>810</v>
      </c>
      <c r="C67" s="1105">
        <f t="shared" si="16"/>
        <v>0</v>
      </c>
      <c r="D67" s="1106">
        <f t="shared" si="17"/>
        <v>0</v>
      </c>
      <c r="E67" s="1199"/>
      <c r="F67" s="1199"/>
      <c r="G67" s="1199"/>
      <c r="H67" s="1199"/>
      <c r="I67" s="1199"/>
      <c r="J67" s="1199"/>
      <c r="K67" s="1738"/>
      <c r="L67" s="1738"/>
    </row>
    <row r="68" spans="1:12" s="1111" customFormat="1" ht="12" customHeight="1" thickBot="1">
      <c r="A68" s="1112" t="s">
        <v>811</v>
      </c>
      <c r="B68" s="1129" t="s">
        <v>812</v>
      </c>
      <c r="C68" s="1105">
        <f t="shared" si="16"/>
        <v>0</v>
      </c>
      <c r="D68" s="1106">
        <f t="shared" si="17"/>
        <v>0</v>
      </c>
      <c r="E68" s="1199"/>
      <c r="F68" s="1199"/>
      <c r="G68" s="1199"/>
      <c r="H68" s="1199"/>
      <c r="I68" s="1199"/>
      <c r="J68" s="1199"/>
      <c r="K68" s="1738"/>
      <c r="L68" s="1738"/>
    </row>
    <row r="69" spans="1:12" s="1111" customFormat="1" ht="12" customHeight="1" thickBot="1">
      <c r="A69" s="1128" t="s">
        <v>813</v>
      </c>
      <c r="B69" s="1114" t="s">
        <v>814</v>
      </c>
      <c r="C69" s="1101">
        <f>SUM(C70:C73)</f>
        <v>0</v>
      </c>
      <c r="D69" s="1102">
        <f>SUM(D70:D73)</f>
        <v>0</v>
      </c>
      <c r="E69" s="1199"/>
      <c r="F69" s="1199"/>
      <c r="G69" s="1199"/>
      <c r="H69" s="1199"/>
      <c r="I69" s="1199"/>
      <c r="J69" s="1199"/>
      <c r="K69" s="1738"/>
      <c r="L69" s="1738"/>
    </row>
    <row r="70" spans="1:12" s="1111" customFormat="1" ht="12" customHeight="1">
      <c r="A70" s="1103" t="s">
        <v>815</v>
      </c>
      <c r="B70" s="1104" t="s">
        <v>816</v>
      </c>
      <c r="C70" s="1105">
        <f t="shared" ref="C70:C73" si="18">SUM(E70:K70)</f>
        <v>0</v>
      </c>
      <c r="D70" s="1106">
        <f t="shared" ref="D70:D73" si="19">C70+L70</f>
        <v>0</v>
      </c>
      <c r="E70" s="1199"/>
      <c r="F70" s="1199"/>
      <c r="G70" s="1199"/>
      <c r="H70" s="1199"/>
      <c r="I70" s="1199"/>
      <c r="J70" s="1199"/>
      <c r="K70" s="1738"/>
      <c r="L70" s="1738"/>
    </row>
    <row r="71" spans="1:12" s="1111" customFormat="1" ht="12" customHeight="1">
      <c r="A71" s="1108" t="s">
        <v>817</v>
      </c>
      <c r="B71" s="1109" t="s">
        <v>818</v>
      </c>
      <c r="C71" s="1105">
        <f t="shared" si="18"/>
        <v>0</v>
      </c>
      <c r="D71" s="1106">
        <f t="shared" si="19"/>
        <v>0</v>
      </c>
      <c r="E71" s="1199"/>
      <c r="F71" s="1199"/>
      <c r="G71" s="1199"/>
      <c r="H71" s="1199"/>
      <c r="I71" s="1199"/>
      <c r="J71" s="1199"/>
      <c r="K71" s="1738"/>
      <c r="L71" s="1738"/>
    </row>
    <row r="72" spans="1:12" s="1111" customFormat="1" ht="12" customHeight="1">
      <c r="A72" s="1108" t="s">
        <v>819</v>
      </c>
      <c r="B72" s="1109" t="s">
        <v>820</v>
      </c>
      <c r="C72" s="1105">
        <f t="shared" si="18"/>
        <v>0</v>
      </c>
      <c r="D72" s="1106">
        <f t="shared" si="19"/>
        <v>0</v>
      </c>
      <c r="E72" s="1199"/>
      <c r="F72" s="1199"/>
      <c r="G72" s="1199"/>
      <c r="H72" s="1199"/>
      <c r="I72" s="1199"/>
      <c r="J72" s="1199"/>
      <c r="K72" s="1738"/>
      <c r="L72" s="1738"/>
    </row>
    <row r="73" spans="1:12" s="1111" customFormat="1" ht="12" customHeight="1" thickBot="1">
      <c r="A73" s="1130" t="s">
        <v>821</v>
      </c>
      <c r="B73" s="1131" t="s">
        <v>822</v>
      </c>
      <c r="C73" s="1105">
        <f t="shared" si="18"/>
        <v>0</v>
      </c>
      <c r="D73" s="1106">
        <f t="shared" si="19"/>
        <v>0</v>
      </c>
      <c r="E73" s="1199"/>
      <c r="F73" s="1199"/>
      <c r="G73" s="1199"/>
      <c r="H73" s="1199"/>
      <c r="I73" s="1199"/>
      <c r="J73" s="1199"/>
      <c r="K73" s="1738"/>
      <c r="L73" s="1738"/>
    </row>
    <row r="74" spans="1:12" s="1111" customFormat="1" ht="12" customHeight="1" thickBot="1">
      <c r="A74" s="1128" t="s">
        <v>823</v>
      </c>
      <c r="B74" s="1114" t="s">
        <v>824</v>
      </c>
      <c r="C74" s="1101">
        <f>SUM(C75:C76)</f>
        <v>0</v>
      </c>
      <c r="D74" s="1102">
        <f>SUM(D75:D76)</f>
        <v>0</v>
      </c>
      <c r="E74" s="1199"/>
      <c r="F74" s="1199"/>
      <c r="G74" s="1199"/>
      <c r="H74" s="1199"/>
      <c r="I74" s="1199"/>
      <c r="J74" s="1199"/>
      <c r="K74" s="1738"/>
      <c r="L74" s="1738"/>
    </row>
    <row r="75" spans="1:12" s="1111" customFormat="1" ht="12" customHeight="1">
      <c r="A75" s="1103" t="s">
        <v>825</v>
      </c>
      <c r="B75" s="1104" t="s">
        <v>826</v>
      </c>
      <c r="C75" s="1105">
        <f t="shared" ref="C75:C76" si="20">SUM(E75:K75)</f>
        <v>0</v>
      </c>
      <c r="D75" s="1106">
        <f t="shared" ref="D75:D76" si="21">C75+L75</f>
        <v>0</v>
      </c>
      <c r="E75" s="1199"/>
      <c r="F75" s="1199"/>
      <c r="G75" s="1199"/>
      <c r="H75" s="1199"/>
      <c r="I75" s="1199"/>
      <c r="J75" s="1199"/>
      <c r="K75" s="1738"/>
      <c r="L75" s="1738"/>
    </row>
    <row r="76" spans="1:12" s="1111" customFormat="1" ht="12" customHeight="1" thickBot="1">
      <c r="A76" s="1112" t="s">
        <v>827</v>
      </c>
      <c r="B76" s="1113" t="s">
        <v>828</v>
      </c>
      <c r="C76" s="1105">
        <f t="shared" si="20"/>
        <v>0</v>
      </c>
      <c r="D76" s="1106">
        <f t="shared" si="21"/>
        <v>0</v>
      </c>
      <c r="E76" s="1199"/>
      <c r="F76" s="1199"/>
      <c r="G76" s="1199"/>
      <c r="H76" s="1199"/>
      <c r="I76" s="1199"/>
      <c r="J76" s="1199"/>
      <c r="K76" s="1738"/>
      <c r="L76" s="1738"/>
    </row>
    <row r="77" spans="1:12" s="1107" customFormat="1" ht="12" customHeight="1" thickBot="1">
      <c r="A77" s="1128" t="s">
        <v>829</v>
      </c>
      <c r="B77" s="1114" t="s">
        <v>830</v>
      </c>
      <c r="C77" s="1101">
        <f>SUM(C78:C80)</f>
        <v>0</v>
      </c>
      <c r="D77" s="1102">
        <f>SUM(D78:D80)</f>
        <v>0</v>
      </c>
      <c r="E77" s="1199"/>
      <c r="F77" s="1199"/>
      <c r="G77" s="1206"/>
      <c r="H77" s="1206"/>
      <c r="I77" s="1206"/>
      <c r="J77" s="1206"/>
      <c r="K77" s="1746"/>
      <c r="L77" s="1738"/>
    </row>
    <row r="78" spans="1:12" s="1111" customFormat="1" ht="12" customHeight="1">
      <c r="A78" s="1103" t="s">
        <v>831</v>
      </c>
      <c r="B78" s="1104" t="s">
        <v>832</v>
      </c>
      <c r="C78" s="1105">
        <f t="shared" ref="C78:C80" si="22">SUM(E78:K78)</f>
        <v>0</v>
      </c>
      <c r="D78" s="1106">
        <f t="shared" ref="D78:D80" si="23">C78+L78</f>
        <v>0</v>
      </c>
      <c r="E78" s="1199"/>
      <c r="F78" s="1199"/>
      <c r="G78" s="1199"/>
      <c r="H78" s="1199"/>
      <c r="I78" s="1199"/>
      <c r="J78" s="1199"/>
      <c r="K78" s="1738"/>
      <c r="L78" s="1738"/>
    </row>
    <row r="79" spans="1:12" s="1111" customFormat="1" ht="12" customHeight="1">
      <c r="A79" s="1108" t="s">
        <v>833</v>
      </c>
      <c r="B79" s="1109" t="s">
        <v>834</v>
      </c>
      <c r="C79" s="1105">
        <f t="shared" si="22"/>
        <v>0</v>
      </c>
      <c r="D79" s="1106">
        <f t="shared" si="23"/>
        <v>0</v>
      </c>
      <c r="E79" s="1199"/>
      <c r="F79" s="1199"/>
      <c r="G79" s="1199"/>
      <c r="H79" s="1199"/>
      <c r="I79" s="1199"/>
      <c r="J79" s="1199"/>
      <c r="K79" s="1738"/>
      <c r="L79" s="1738"/>
    </row>
    <row r="80" spans="1:12" s="1111" customFormat="1" ht="12" customHeight="1" thickBot="1">
      <c r="A80" s="1112" t="s">
        <v>835</v>
      </c>
      <c r="B80" s="1113" t="s">
        <v>836</v>
      </c>
      <c r="C80" s="1105">
        <f t="shared" si="22"/>
        <v>0</v>
      </c>
      <c r="D80" s="1106">
        <f t="shared" si="23"/>
        <v>0</v>
      </c>
      <c r="E80" s="1199"/>
      <c r="F80" s="1199"/>
      <c r="G80" s="1199"/>
      <c r="H80" s="1199"/>
      <c r="I80" s="1199"/>
      <c r="J80" s="1199"/>
      <c r="K80" s="1738"/>
      <c r="L80" s="1738"/>
    </row>
    <row r="81" spans="1:15" s="1111" customFormat="1" ht="12" customHeight="1" thickBot="1">
      <c r="A81" s="1128" t="s">
        <v>837</v>
      </c>
      <c r="B81" s="1114" t="s">
        <v>838</v>
      </c>
      <c r="C81" s="1101">
        <f>SUM(C82:C85)</f>
        <v>0</v>
      </c>
      <c r="D81" s="1102">
        <f>SUM(D82:D85)</f>
        <v>0</v>
      </c>
      <c r="E81" s="1199"/>
      <c r="F81" s="1199"/>
      <c r="G81" s="1199"/>
      <c r="H81" s="1199"/>
      <c r="I81" s="1199"/>
      <c r="J81" s="1199"/>
      <c r="K81" s="1738"/>
      <c r="L81" s="1738"/>
    </row>
    <row r="82" spans="1:15" s="1111" customFormat="1" ht="12" customHeight="1">
      <c r="A82" s="1133" t="s">
        <v>839</v>
      </c>
      <c r="B82" s="1104" t="s">
        <v>840</v>
      </c>
      <c r="C82" s="1105">
        <f t="shared" ref="C82:C85" si="24">SUM(E82:K82)</f>
        <v>0</v>
      </c>
      <c r="D82" s="1106">
        <f t="shared" ref="D82:D85" si="25">C82+L82</f>
        <v>0</v>
      </c>
      <c r="E82" s="1199"/>
      <c r="F82" s="1199"/>
      <c r="G82" s="1199"/>
      <c r="H82" s="1199"/>
      <c r="I82" s="1199"/>
      <c r="J82" s="1199"/>
      <c r="K82" s="1738"/>
      <c r="L82" s="1738"/>
    </row>
    <row r="83" spans="1:15" s="1111" customFormat="1" ht="12" customHeight="1">
      <c r="A83" s="1134" t="s">
        <v>841</v>
      </c>
      <c r="B83" s="1109" t="s">
        <v>842</v>
      </c>
      <c r="C83" s="1105">
        <f t="shared" si="24"/>
        <v>0</v>
      </c>
      <c r="D83" s="1106">
        <f t="shared" si="25"/>
        <v>0</v>
      </c>
      <c r="E83" s="1199"/>
      <c r="F83" s="1199"/>
      <c r="G83" s="1199"/>
      <c r="H83" s="1199"/>
      <c r="I83" s="1199"/>
      <c r="J83" s="1199"/>
      <c r="K83" s="1738"/>
      <c r="L83" s="1738"/>
    </row>
    <row r="84" spans="1:15" s="1111" customFormat="1" ht="12" customHeight="1">
      <c r="A84" s="1134" t="s">
        <v>843</v>
      </c>
      <c r="B84" s="1109" t="s">
        <v>844</v>
      </c>
      <c r="C84" s="1105">
        <f t="shared" si="24"/>
        <v>0</v>
      </c>
      <c r="D84" s="1106">
        <f t="shared" si="25"/>
        <v>0</v>
      </c>
      <c r="E84" s="1199"/>
      <c r="F84" s="1199"/>
      <c r="G84" s="1199"/>
      <c r="H84" s="1199"/>
      <c r="I84" s="1199"/>
      <c r="J84" s="1199"/>
      <c r="K84" s="1738"/>
      <c r="L84" s="1738"/>
    </row>
    <row r="85" spans="1:15" s="1107" customFormat="1" ht="12" customHeight="1" thickBot="1">
      <c r="A85" s="1135" t="s">
        <v>845</v>
      </c>
      <c r="B85" s="1113" t="s">
        <v>846</v>
      </c>
      <c r="C85" s="1105">
        <f t="shared" si="24"/>
        <v>0</v>
      </c>
      <c r="D85" s="1106">
        <f t="shared" si="25"/>
        <v>0</v>
      </c>
      <c r="E85" s="1199"/>
      <c r="F85" s="1199"/>
      <c r="G85" s="1206"/>
      <c r="H85" s="1206"/>
      <c r="I85" s="1206"/>
      <c r="J85" s="1206"/>
      <c r="K85" s="1746"/>
      <c r="L85" s="1738"/>
    </row>
    <row r="86" spans="1:15" s="1107" customFormat="1" ht="12" customHeight="1" thickBot="1">
      <c r="A86" s="1128" t="s">
        <v>847</v>
      </c>
      <c r="B86" s="1114" t="s">
        <v>848</v>
      </c>
      <c r="C86" s="1136"/>
      <c r="D86" s="1137"/>
      <c r="E86" s="1199"/>
      <c r="F86" s="1199"/>
      <c r="G86" s="1206"/>
      <c r="H86" s="1206"/>
      <c r="I86" s="1206"/>
      <c r="J86" s="1206"/>
      <c r="K86" s="1746"/>
      <c r="L86" s="1738"/>
    </row>
    <row r="87" spans="1:15" s="1107" customFormat="1" ht="12" customHeight="1" thickBot="1">
      <c r="A87" s="1128" t="s">
        <v>849</v>
      </c>
      <c r="B87" s="1138" t="s">
        <v>850</v>
      </c>
      <c r="C87" s="1118">
        <f>+C65+C69+C74+C77+C81+C86</f>
        <v>0</v>
      </c>
      <c r="D87" s="1119">
        <f>+D65+D69+D74+D77+D81+D86</f>
        <v>0</v>
      </c>
      <c r="E87" s="1199"/>
      <c r="F87" s="1199"/>
      <c r="G87" s="1206"/>
      <c r="H87" s="1206"/>
      <c r="I87" s="1206"/>
      <c r="J87" s="1206"/>
      <c r="K87" s="1746"/>
      <c r="L87" s="1738"/>
    </row>
    <row r="88" spans="1:15" s="1107" customFormat="1" ht="12" customHeight="1" thickBot="1">
      <c r="A88" s="1139" t="s">
        <v>851</v>
      </c>
      <c r="B88" s="1140" t="s">
        <v>852</v>
      </c>
      <c r="C88" s="1118">
        <f>+C64+C87</f>
        <v>47655800</v>
      </c>
      <c r="D88" s="1119">
        <f>+D64+D87</f>
        <v>52634040</v>
      </c>
      <c r="E88" s="1212">
        <f>SUM(E8:E87)</f>
        <v>8078800</v>
      </c>
      <c r="F88" s="1212">
        <f t="shared" ref="F88:K88" si="26">SUM(F8:F87)</f>
        <v>39577000</v>
      </c>
      <c r="G88" s="1212">
        <f t="shared" si="26"/>
        <v>0</v>
      </c>
      <c r="H88" s="1212">
        <f t="shared" si="26"/>
        <v>0</v>
      </c>
      <c r="I88" s="1212">
        <f t="shared" si="26"/>
        <v>0</v>
      </c>
      <c r="J88" s="1212">
        <f t="shared" si="26"/>
        <v>0</v>
      </c>
      <c r="K88" s="1747">
        <f t="shared" si="26"/>
        <v>0</v>
      </c>
      <c r="L88" s="1739"/>
      <c r="M88" s="1212"/>
      <c r="N88" s="1212"/>
      <c r="O88" s="1212"/>
    </row>
    <row r="89" spans="1:15" s="1111" customFormat="1" ht="15" customHeight="1">
      <c r="A89" s="1141"/>
      <c r="B89" s="1142"/>
      <c r="C89" s="1143"/>
      <c r="D89" s="1143"/>
      <c r="E89" s="1213"/>
      <c r="F89" s="1213"/>
      <c r="G89" s="1214"/>
      <c r="H89" s="1214"/>
      <c r="I89" s="1214"/>
      <c r="J89" s="1214"/>
      <c r="K89" s="1748"/>
      <c r="L89" s="1738"/>
    </row>
    <row r="90" spans="1:15" ht="13.5" thickBot="1">
      <c r="A90" s="1144"/>
      <c r="B90" s="1145"/>
      <c r="C90" s="1146"/>
      <c r="D90" s="1146"/>
      <c r="L90" s="1738"/>
    </row>
    <row r="91" spans="1:15" s="1098" customFormat="1" ht="16.5" customHeight="1" thickBot="1">
      <c r="A91" s="1827" t="s">
        <v>853</v>
      </c>
      <c r="B91" s="1828"/>
      <c r="C91" s="1828"/>
      <c r="D91" s="1829"/>
      <c r="E91" s="1201"/>
      <c r="F91" s="1201"/>
      <c r="G91" s="1202"/>
      <c r="H91" s="1202"/>
      <c r="I91" s="1202"/>
      <c r="J91" s="1202"/>
      <c r="K91" s="1745"/>
      <c r="L91" s="1740"/>
    </row>
    <row r="92" spans="1:15" s="1151" customFormat="1" ht="12" customHeight="1" thickBot="1">
      <c r="A92" s="1147" t="s">
        <v>693</v>
      </c>
      <c r="B92" s="1148" t="s">
        <v>854</v>
      </c>
      <c r="C92" s="1149">
        <f>SUM(C93:C97)</f>
        <v>27655800</v>
      </c>
      <c r="D92" s="1150">
        <f>SUM(D93:D97)</f>
        <v>31609800</v>
      </c>
      <c r="E92" s="1199"/>
      <c r="F92" s="1199"/>
      <c r="G92" s="1206"/>
      <c r="H92" s="1206"/>
      <c r="I92" s="1206"/>
      <c r="J92" s="1206"/>
      <c r="K92" s="1746"/>
      <c r="L92" s="1738"/>
    </row>
    <row r="93" spans="1:15" ht="12" customHeight="1">
      <c r="A93" s="1152" t="s">
        <v>695</v>
      </c>
      <c r="B93" s="1153" t="s">
        <v>855</v>
      </c>
      <c r="C93" s="1750">
        <f t="shared" ref="C93:C96" si="27">SUM(E93:K93)</f>
        <v>640000</v>
      </c>
      <c r="D93" s="1749">
        <f t="shared" ref="D93:D96" si="28">C93+L93</f>
        <v>1140000</v>
      </c>
      <c r="F93" s="1199">
        <v>640000</v>
      </c>
      <c r="G93" s="1199"/>
      <c r="H93" s="1199"/>
      <c r="I93" s="1199"/>
      <c r="J93" s="1199"/>
      <c r="K93" s="1738"/>
      <c r="L93" s="1738">
        <v>500000</v>
      </c>
    </row>
    <row r="94" spans="1:15" ht="12" customHeight="1">
      <c r="A94" s="1108" t="s">
        <v>697</v>
      </c>
      <c r="B94" s="1156" t="s">
        <v>30</v>
      </c>
      <c r="C94" s="1105">
        <f t="shared" si="27"/>
        <v>124800</v>
      </c>
      <c r="D94" s="1106">
        <f t="shared" si="28"/>
        <v>224800</v>
      </c>
      <c r="F94" s="1199">
        <v>124800</v>
      </c>
      <c r="G94" s="1199"/>
      <c r="H94" s="1199"/>
      <c r="I94" s="1199"/>
      <c r="J94" s="1199"/>
      <c r="K94" s="1738"/>
      <c r="L94" s="1738">
        <v>100000</v>
      </c>
    </row>
    <row r="95" spans="1:15" ht="12" customHeight="1">
      <c r="A95" s="1108" t="s">
        <v>699</v>
      </c>
      <c r="B95" s="1156" t="s">
        <v>856</v>
      </c>
      <c r="C95" s="1105">
        <f t="shared" si="27"/>
        <v>12651000</v>
      </c>
      <c r="D95" s="1106">
        <f t="shared" si="28"/>
        <v>16005000</v>
      </c>
      <c r="F95" s="1199">
        <v>12651000</v>
      </c>
      <c r="G95" s="1199"/>
      <c r="H95" s="1199"/>
      <c r="I95" s="1199"/>
      <c r="J95" s="1199"/>
      <c r="K95" s="1738"/>
      <c r="L95" s="1738">
        <f>66000+386000+2190000+712000</f>
        <v>3354000</v>
      </c>
    </row>
    <row r="96" spans="1:15" ht="12" customHeight="1">
      <c r="A96" s="1108" t="s">
        <v>701</v>
      </c>
      <c r="B96" s="1158" t="s">
        <v>244</v>
      </c>
      <c r="C96" s="1105">
        <f t="shared" si="27"/>
        <v>0</v>
      </c>
      <c r="D96" s="1106">
        <f t="shared" si="28"/>
        <v>0</v>
      </c>
      <c r="G96" s="1199"/>
      <c r="H96" s="1199"/>
      <c r="I96" s="1199"/>
      <c r="J96" s="1199"/>
      <c r="K96" s="1738"/>
      <c r="L96" s="1738"/>
    </row>
    <row r="97" spans="1:12" ht="12" customHeight="1">
      <c r="A97" s="1108" t="s">
        <v>857</v>
      </c>
      <c r="B97" s="1159" t="s">
        <v>63</v>
      </c>
      <c r="C97" s="1215">
        <f>SUM(C98:C107)</f>
        <v>14240000</v>
      </c>
      <c r="D97" s="1117">
        <f>SUM(D98:D107)</f>
        <v>14240000</v>
      </c>
      <c r="G97" s="1199"/>
      <c r="H97" s="1199"/>
      <c r="I97" s="1199"/>
      <c r="J97" s="1199"/>
      <c r="K97" s="1738"/>
      <c r="L97" s="1738"/>
    </row>
    <row r="98" spans="1:12" ht="12" customHeight="1">
      <c r="A98" s="1108" t="s">
        <v>705</v>
      </c>
      <c r="B98" s="1156" t="s">
        <v>858</v>
      </c>
      <c r="C98" s="1208">
        <f t="shared" ref="C98:C107" si="29">SUM(E98:K98)</f>
        <v>0</v>
      </c>
      <c r="D98" s="1110">
        <f t="shared" ref="D98:D107" si="30">C98+L98</f>
        <v>0</v>
      </c>
      <c r="G98" s="1199"/>
      <c r="H98" s="1199"/>
      <c r="I98" s="1199"/>
      <c r="J98" s="1199"/>
      <c r="K98" s="1738"/>
      <c r="L98" s="1738"/>
    </row>
    <row r="99" spans="1:12" ht="12" customHeight="1">
      <c r="A99" s="1108" t="s">
        <v>859</v>
      </c>
      <c r="B99" s="1160" t="s">
        <v>860</v>
      </c>
      <c r="C99" s="1105">
        <f t="shared" si="29"/>
        <v>0</v>
      </c>
      <c r="D99" s="1106">
        <f t="shared" si="30"/>
        <v>0</v>
      </c>
      <c r="G99" s="1199"/>
      <c r="H99" s="1199"/>
      <c r="I99" s="1199"/>
      <c r="J99" s="1199"/>
      <c r="K99" s="1738"/>
      <c r="L99" s="1738"/>
    </row>
    <row r="100" spans="1:12" ht="12" customHeight="1">
      <c r="A100" s="1108" t="s">
        <v>861</v>
      </c>
      <c r="B100" s="1161" t="s">
        <v>862</v>
      </c>
      <c r="C100" s="1105">
        <f t="shared" si="29"/>
        <v>0</v>
      </c>
      <c r="D100" s="1106">
        <f t="shared" si="30"/>
        <v>0</v>
      </c>
      <c r="G100" s="1199"/>
      <c r="H100" s="1199"/>
      <c r="I100" s="1199"/>
      <c r="J100" s="1199"/>
      <c r="K100" s="1738"/>
      <c r="L100" s="1738"/>
    </row>
    <row r="101" spans="1:12" ht="20.25" customHeight="1">
      <c r="A101" s="1108" t="s">
        <v>863</v>
      </c>
      <c r="B101" s="1161" t="s">
        <v>864</v>
      </c>
      <c r="C101" s="1105">
        <f t="shared" si="29"/>
        <v>0</v>
      </c>
      <c r="D101" s="1106">
        <f t="shared" si="30"/>
        <v>0</v>
      </c>
      <c r="G101" s="1199"/>
      <c r="H101" s="1199"/>
      <c r="I101" s="1199"/>
      <c r="J101" s="1199"/>
      <c r="K101" s="1738"/>
      <c r="L101" s="1738"/>
    </row>
    <row r="102" spans="1:12" ht="12" customHeight="1">
      <c r="A102" s="1108" t="s">
        <v>865</v>
      </c>
      <c r="B102" s="1160" t="s">
        <v>866</v>
      </c>
      <c r="C102" s="1105">
        <f t="shared" si="29"/>
        <v>0</v>
      </c>
      <c r="D102" s="1106">
        <f t="shared" si="30"/>
        <v>0</v>
      </c>
      <c r="G102" s="1199"/>
      <c r="H102" s="1199"/>
      <c r="I102" s="1199"/>
      <c r="J102" s="1199"/>
      <c r="K102" s="1738"/>
      <c r="L102" s="1738"/>
    </row>
    <row r="103" spans="1:12" ht="12" customHeight="1">
      <c r="A103" s="1108" t="s">
        <v>867</v>
      </c>
      <c r="B103" s="1160" t="s">
        <v>868</v>
      </c>
      <c r="C103" s="1105">
        <f t="shared" si="29"/>
        <v>0</v>
      </c>
      <c r="D103" s="1106">
        <f t="shared" si="30"/>
        <v>0</v>
      </c>
      <c r="G103" s="1199"/>
      <c r="H103" s="1199"/>
      <c r="I103" s="1199"/>
      <c r="J103" s="1199"/>
      <c r="K103" s="1738"/>
      <c r="L103" s="1738"/>
    </row>
    <row r="104" spans="1:12" ht="12" customHeight="1">
      <c r="A104" s="1108" t="s">
        <v>869</v>
      </c>
      <c r="B104" s="1161" t="s">
        <v>870</v>
      </c>
      <c r="C104" s="1105">
        <f t="shared" si="29"/>
        <v>0</v>
      </c>
      <c r="D104" s="1106">
        <f t="shared" si="30"/>
        <v>0</v>
      </c>
      <c r="G104" s="1199"/>
      <c r="H104" s="1199"/>
      <c r="I104" s="1199"/>
      <c r="J104" s="1199"/>
      <c r="K104" s="1738"/>
      <c r="L104" s="1738"/>
    </row>
    <row r="105" spans="1:12" ht="12" customHeight="1">
      <c r="A105" s="1162" t="s">
        <v>871</v>
      </c>
      <c r="B105" s="1163" t="s">
        <v>872</v>
      </c>
      <c r="C105" s="1105">
        <f t="shared" si="29"/>
        <v>0</v>
      </c>
      <c r="D105" s="1106">
        <f t="shared" si="30"/>
        <v>0</v>
      </c>
      <c r="G105" s="1199"/>
      <c r="H105" s="1199"/>
      <c r="I105" s="1199"/>
      <c r="J105" s="1199"/>
      <c r="K105" s="1738"/>
      <c r="L105" s="1738"/>
    </row>
    <row r="106" spans="1:12" ht="12" customHeight="1">
      <c r="A106" s="1108" t="s">
        <v>873</v>
      </c>
      <c r="B106" s="1163" t="s">
        <v>874</v>
      </c>
      <c r="C106" s="1105">
        <f t="shared" si="29"/>
        <v>0</v>
      </c>
      <c r="D106" s="1106">
        <f t="shared" si="30"/>
        <v>0</v>
      </c>
      <c r="G106" s="1199"/>
      <c r="H106" s="1199"/>
      <c r="I106" s="1199"/>
      <c r="J106" s="1199"/>
      <c r="K106" s="1738"/>
      <c r="L106" s="1738"/>
    </row>
    <row r="107" spans="1:12" ht="12" customHeight="1" thickBot="1">
      <c r="A107" s="1130" t="s">
        <v>875</v>
      </c>
      <c r="B107" s="1164" t="s">
        <v>876</v>
      </c>
      <c r="C107" s="1105">
        <f t="shared" si="29"/>
        <v>14240000</v>
      </c>
      <c r="D107" s="1106">
        <f t="shared" si="30"/>
        <v>14240000</v>
      </c>
      <c r="G107" s="1199">
        <v>1850000</v>
      </c>
      <c r="H107" s="1199">
        <v>450000</v>
      </c>
      <c r="I107" s="1199">
        <v>6120000</v>
      </c>
      <c r="J107" s="1199">
        <v>1020000</v>
      </c>
      <c r="K107" s="1738">
        <v>4800000</v>
      </c>
      <c r="L107" s="1738"/>
    </row>
    <row r="108" spans="1:12" ht="12" customHeight="1" thickBot="1">
      <c r="A108" s="1099" t="s">
        <v>707</v>
      </c>
      <c r="B108" s="1167" t="s">
        <v>877</v>
      </c>
      <c r="C108" s="1101">
        <f>+C109+C111+C113</f>
        <v>20000000</v>
      </c>
      <c r="D108" s="1102">
        <f>+D109+D111+D113</f>
        <v>21024240</v>
      </c>
      <c r="G108" s="1199"/>
      <c r="H108" s="1199"/>
      <c r="I108" s="1199"/>
      <c r="J108" s="1199"/>
      <c r="K108" s="1738"/>
      <c r="L108" s="1738"/>
    </row>
    <row r="109" spans="1:12" ht="12" customHeight="1">
      <c r="A109" s="1103" t="s">
        <v>709</v>
      </c>
      <c r="B109" s="1156" t="s">
        <v>72</v>
      </c>
      <c r="C109" s="1105">
        <f t="shared" ref="C109:C112" si="31">SUM(E109:K109)</f>
        <v>20000000</v>
      </c>
      <c r="D109" s="1106">
        <f t="shared" ref="D109:D112" si="32">C109+L109</f>
        <v>21024240</v>
      </c>
      <c r="F109" s="1199">
        <v>20000000</v>
      </c>
      <c r="G109" s="1199"/>
      <c r="H109" s="1199"/>
      <c r="I109" s="1199"/>
      <c r="J109" s="1199"/>
      <c r="K109" s="1738"/>
      <c r="L109" s="1738">
        <f>250000+570000+204240</f>
        <v>1024240</v>
      </c>
    </row>
    <row r="110" spans="1:12" ht="12" customHeight="1">
      <c r="A110" s="1103" t="s">
        <v>711</v>
      </c>
      <c r="B110" s="1168" t="s">
        <v>878</v>
      </c>
      <c r="C110" s="1105">
        <f t="shared" si="31"/>
        <v>0</v>
      </c>
      <c r="D110" s="1106">
        <f t="shared" si="32"/>
        <v>0</v>
      </c>
      <c r="G110" s="1199"/>
      <c r="H110" s="1199"/>
      <c r="I110" s="1199"/>
      <c r="J110" s="1199"/>
      <c r="K110" s="1738"/>
      <c r="L110" s="1738"/>
    </row>
    <row r="111" spans="1:12" ht="12" customHeight="1">
      <c r="A111" s="1103" t="s">
        <v>713</v>
      </c>
      <c r="B111" s="1168" t="s">
        <v>172</v>
      </c>
      <c r="C111" s="1105">
        <f t="shared" si="31"/>
        <v>0</v>
      </c>
      <c r="D111" s="1106">
        <f t="shared" si="32"/>
        <v>0</v>
      </c>
      <c r="G111" s="1199"/>
      <c r="H111" s="1199"/>
      <c r="I111" s="1199"/>
      <c r="J111" s="1199"/>
      <c r="K111" s="1738"/>
      <c r="L111" s="1738"/>
    </row>
    <row r="112" spans="1:12" ht="12" customHeight="1">
      <c r="A112" s="1103" t="s">
        <v>715</v>
      </c>
      <c r="B112" s="1168" t="s">
        <v>879</v>
      </c>
      <c r="C112" s="1105">
        <f t="shared" si="31"/>
        <v>0</v>
      </c>
      <c r="D112" s="1106">
        <f t="shared" si="32"/>
        <v>0</v>
      </c>
      <c r="G112" s="1199"/>
      <c r="H112" s="1199"/>
      <c r="I112" s="1199"/>
      <c r="J112" s="1199"/>
      <c r="K112" s="1738"/>
      <c r="L112" s="1738"/>
    </row>
    <row r="113" spans="1:12" ht="12" customHeight="1">
      <c r="A113" s="1103" t="s">
        <v>717</v>
      </c>
      <c r="B113" s="1169" t="s">
        <v>880</v>
      </c>
      <c r="C113" s="1217">
        <f>SUM(C114:C121)</f>
        <v>0</v>
      </c>
      <c r="D113" s="1116">
        <f>SUM(D114:D121)</f>
        <v>0</v>
      </c>
      <c r="G113" s="1199"/>
      <c r="H113" s="1199"/>
      <c r="I113" s="1199"/>
      <c r="J113" s="1199"/>
      <c r="K113" s="1738"/>
      <c r="L113" s="1738"/>
    </row>
    <row r="114" spans="1:12" ht="12" customHeight="1">
      <c r="A114" s="1103" t="s">
        <v>719</v>
      </c>
      <c r="B114" s="1170" t="s">
        <v>881</v>
      </c>
      <c r="C114" s="1105">
        <f t="shared" ref="C114:C121" si="33">SUM(E114:K114)</f>
        <v>0</v>
      </c>
      <c r="D114" s="1106">
        <f t="shared" ref="D114:D121" si="34">C114+L114</f>
        <v>0</v>
      </c>
      <c r="G114" s="1199"/>
      <c r="H114" s="1199"/>
      <c r="I114" s="1199"/>
      <c r="J114" s="1199"/>
      <c r="K114" s="1738"/>
      <c r="L114" s="1738"/>
    </row>
    <row r="115" spans="1:12" ht="12" customHeight="1">
      <c r="A115" s="1103" t="s">
        <v>882</v>
      </c>
      <c r="B115" s="1171" t="s">
        <v>883</v>
      </c>
      <c r="C115" s="1105">
        <f t="shared" si="33"/>
        <v>0</v>
      </c>
      <c r="D115" s="1106">
        <f t="shared" si="34"/>
        <v>0</v>
      </c>
      <c r="G115" s="1199"/>
      <c r="H115" s="1199"/>
      <c r="I115" s="1199"/>
      <c r="J115" s="1199"/>
      <c r="K115" s="1738"/>
      <c r="L115" s="1738"/>
    </row>
    <row r="116" spans="1:12" ht="12" customHeight="1">
      <c r="A116" s="1103" t="s">
        <v>884</v>
      </c>
      <c r="B116" s="1161" t="s">
        <v>864</v>
      </c>
      <c r="C116" s="1105">
        <f t="shared" si="33"/>
        <v>0</v>
      </c>
      <c r="D116" s="1106">
        <f t="shared" si="34"/>
        <v>0</v>
      </c>
      <c r="G116" s="1199"/>
      <c r="H116" s="1199"/>
      <c r="I116" s="1199"/>
      <c r="J116" s="1199"/>
      <c r="K116" s="1738"/>
      <c r="L116" s="1738"/>
    </row>
    <row r="117" spans="1:12" ht="12" customHeight="1">
      <c r="A117" s="1103" t="s">
        <v>885</v>
      </c>
      <c r="B117" s="1161" t="s">
        <v>886</v>
      </c>
      <c r="C117" s="1105">
        <f t="shared" si="33"/>
        <v>0</v>
      </c>
      <c r="D117" s="1106">
        <f t="shared" si="34"/>
        <v>0</v>
      </c>
      <c r="G117" s="1199"/>
      <c r="H117" s="1199"/>
      <c r="I117" s="1199"/>
      <c r="J117" s="1199"/>
      <c r="K117" s="1738"/>
      <c r="L117" s="1738"/>
    </row>
    <row r="118" spans="1:12" ht="12" customHeight="1">
      <c r="A118" s="1103" t="s">
        <v>887</v>
      </c>
      <c r="B118" s="1161" t="s">
        <v>888</v>
      </c>
      <c r="C118" s="1105">
        <f t="shared" si="33"/>
        <v>0</v>
      </c>
      <c r="D118" s="1106">
        <f t="shared" si="34"/>
        <v>0</v>
      </c>
      <c r="G118" s="1199"/>
      <c r="H118" s="1199"/>
      <c r="I118" s="1199"/>
      <c r="J118" s="1199"/>
      <c r="K118" s="1738"/>
      <c r="L118" s="1738"/>
    </row>
    <row r="119" spans="1:12" ht="12" customHeight="1">
      <c r="A119" s="1103" t="s">
        <v>889</v>
      </c>
      <c r="B119" s="1161" t="s">
        <v>870</v>
      </c>
      <c r="C119" s="1105">
        <f t="shared" si="33"/>
        <v>0</v>
      </c>
      <c r="D119" s="1106">
        <f t="shared" si="34"/>
        <v>0</v>
      </c>
      <c r="G119" s="1199"/>
      <c r="H119" s="1199"/>
      <c r="I119" s="1199"/>
      <c r="J119" s="1199"/>
      <c r="K119" s="1738"/>
      <c r="L119" s="1738"/>
    </row>
    <row r="120" spans="1:12" ht="12" customHeight="1">
      <c r="A120" s="1103" t="s">
        <v>890</v>
      </c>
      <c r="B120" s="1161" t="s">
        <v>891</v>
      </c>
      <c r="C120" s="1105">
        <f t="shared" si="33"/>
        <v>0</v>
      </c>
      <c r="D120" s="1106">
        <f t="shared" si="34"/>
        <v>0</v>
      </c>
      <c r="G120" s="1199"/>
      <c r="H120" s="1199"/>
      <c r="I120" s="1199"/>
      <c r="J120" s="1199"/>
      <c r="K120" s="1738"/>
      <c r="L120" s="1738"/>
    </row>
    <row r="121" spans="1:12" ht="12" customHeight="1" thickBot="1">
      <c r="A121" s="1162" t="s">
        <v>892</v>
      </c>
      <c r="B121" s="1161" t="s">
        <v>893</v>
      </c>
      <c r="C121" s="1105">
        <f t="shared" si="33"/>
        <v>0</v>
      </c>
      <c r="D121" s="1106">
        <f t="shared" si="34"/>
        <v>0</v>
      </c>
      <c r="G121" s="1199"/>
      <c r="H121" s="1199"/>
      <c r="I121" s="1199"/>
      <c r="J121" s="1199"/>
      <c r="K121" s="1738"/>
      <c r="L121" s="1738"/>
    </row>
    <row r="122" spans="1:12" ht="12" customHeight="1" thickBot="1">
      <c r="A122" s="1099" t="s">
        <v>721</v>
      </c>
      <c r="B122" s="1172" t="s">
        <v>894</v>
      </c>
      <c r="C122" s="1101">
        <f>+C123+C124</f>
        <v>0</v>
      </c>
      <c r="D122" s="1102">
        <f>+D123+D124</f>
        <v>0</v>
      </c>
      <c r="G122" s="1199"/>
      <c r="H122" s="1199"/>
      <c r="I122" s="1199"/>
      <c r="J122" s="1199"/>
      <c r="K122" s="1738"/>
      <c r="L122" s="1738"/>
    </row>
    <row r="123" spans="1:12" ht="12" customHeight="1">
      <c r="A123" s="1103" t="s">
        <v>723</v>
      </c>
      <c r="B123" s="1173" t="s">
        <v>895</v>
      </c>
      <c r="C123" s="1105">
        <f t="shared" ref="C123:C124" si="35">SUM(E123:K123)</f>
        <v>0</v>
      </c>
      <c r="D123" s="1106">
        <f t="shared" ref="D123:D124" si="36">C123+L123</f>
        <v>0</v>
      </c>
      <c r="G123" s="1199"/>
      <c r="H123" s="1199"/>
      <c r="I123" s="1199"/>
      <c r="J123" s="1199"/>
      <c r="K123" s="1738"/>
      <c r="L123" s="1738"/>
    </row>
    <row r="124" spans="1:12" ht="12" customHeight="1" thickBot="1">
      <c r="A124" s="1112" t="s">
        <v>725</v>
      </c>
      <c r="B124" s="1168" t="s">
        <v>896</v>
      </c>
      <c r="C124" s="1105">
        <f t="shared" si="35"/>
        <v>0</v>
      </c>
      <c r="D124" s="1106">
        <f t="shared" si="36"/>
        <v>0</v>
      </c>
      <c r="G124" s="1199"/>
      <c r="H124" s="1199"/>
      <c r="I124" s="1199"/>
      <c r="J124" s="1199"/>
      <c r="K124" s="1738"/>
      <c r="L124" s="1738"/>
    </row>
    <row r="125" spans="1:12" ht="12" customHeight="1" thickBot="1">
      <c r="A125" s="1099" t="s">
        <v>897</v>
      </c>
      <c r="B125" s="1172" t="s">
        <v>898</v>
      </c>
      <c r="C125" s="1101">
        <f>+C92+C108+C122</f>
        <v>47655800</v>
      </c>
      <c r="D125" s="1102">
        <f>+D92+D108+D122</f>
        <v>52634040</v>
      </c>
      <c r="G125" s="1199"/>
      <c r="H125" s="1199"/>
      <c r="I125" s="1199"/>
      <c r="J125" s="1199"/>
      <c r="K125" s="1738"/>
      <c r="L125" s="1738"/>
    </row>
    <row r="126" spans="1:12" ht="12" customHeight="1" thickBot="1">
      <c r="A126" s="1099" t="s">
        <v>750</v>
      </c>
      <c r="B126" s="1172" t="s">
        <v>899</v>
      </c>
      <c r="C126" s="1101">
        <f>+C127+C128+C129</f>
        <v>0</v>
      </c>
      <c r="D126" s="1102">
        <f>+D127+D128+D129</f>
        <v>0</v>
      </c>
      <c r="G126" s="1199"/>
      <c r="H126" s="1199"/>
      <c r="I126" s="1199"/>
      <c r="J126" s="1199"/>
      <c r="K126" s="1738"/>
      <c r="L126" s="1738"/>
    </row>
    <row r="127" spans="1:12" s="1151" customFormat="1" ht="12" customHeight="1">
      <c r="A127" s="1103" t="s">
        <v>752</v>
      </c>
      <c r="B127" s="1173" t="s">
        <v>900</v>
      </c>
      <c r="C127" s="1105">
        <f t="shared" ref="C127:C129" si="37">SUM(E127:K127)</f>
        <v>0</v>
      </c>
      <c r="D127" s="1106">
        <f t="shared" ref="D127:D129" si="38">C127+L127</f>
        <v>0</v>
      </c>
      <c r="E127" s="1199"/>
      <c r="F127" s="1199"/>
      <c r="G127" s="1206"/>
      <c r="H127" s="1206"/>
      <c r="I127" s="1206"/>
      <c r="J127" s="1206"/>
      <c r="K127" s="1746"/>
      <c r="L127" s="1738"/>
    </row>
    <row r="128" spans="1:12" ht="12" customHeight="1">
      <c r="A128" s="1103" t="s">
        <v>754</v>
      </c>
      <c r="B128" s="1173" t="s">
        <v>901</v>
      </c>
      <c r="C128" s="1105">
        <f t="shared" si="37"/>
        <v>0</v>
      </c>
      <c r="D128" s="1106">
        <f t="shared" si="38"/>
        <v>0</v>
      </c>
      <c r="G128" s="1199"/>
      <c r="H128" s="1199"/>
      <c r="I128" s="1199"/>
      <c r="J128" s="1199"/>
      <c r="K128" s="1738"/>
      <c r="L128" s="1738"/>
    </row>
    <row r="129" spans="1:12" ht="12" customHeight="1" thickBot="1">
      <c r="A129" s="1162" t="s">
        <v>756</v>
      </c>
      <c r="B129" s="1175" t="s">
        <v>902</v>
      </c>
      <c r="C129" s="1105">
        <f t="shared" si="37"/>
        <v>0</v>
      </c>
      <c r="D129" s="1106">
        <f t="shared" si="38"/>
        <v>0</v>
      </c>
      <c r="G129" s="1199"/>
      <c r="H129" s="1199"/>
      <c r="I129" s="1199"/>
      <c r="J129" s="1199"/>
      <c r="K129" s="1738"/>
      <c r="L129" s="1738"/>
    </row>
    <row r="130" spans="1:12" ht="12" customHeight="1" thickBot="1">
      <c r="A130" s="1099" t="s">
        <v>772</v>
      </c>
      <c r="B130" s="1172" t="s">
        <v>903</v>
      </c>
      <c r="C130" s="1101">
        <f>+C131+C132+C133+C134</f>
        <v>0</v>
      </c>
      <c r="D130" s="1102">
        <f>+D131+D132+D133+D134</f>
        <v>0</v>
      </c>
      <c r="G130" s="1199"/>
      <c r="H130" s="1199"/>
      <c r="I130" s="1199"/>
      <c r="J130" s="1199"/>
      <c r="K130" s="1738"/>
      <c r="L130" s="1738"/>
    </row>
    <row r="131" spans="1:12" ht="12" customHeight="1">
      <c r="A131" s="1103" t="s">
        <v>774</v>
      </c>
      <c r="B131" s="1173" t="s">
        <v>904</v>
      </c>
      <c r="C131" s="1105">
        <f t="shared" ref="C131:C134" si="39">SUM(E131:K131)</f>
        <v>0</v>
      </c>
      <c r="D131" s="1106">
        <f t="shared" ref="D131:D134" si="40">C131+L131</f>
        <v>0</v>
      </c>
      <c r="G131" s="1199"/>
      <c r="H131" s="1199"/>
      <c r="I131" s="1199"/>
      <c r="J131" s="1199"/>
      <c r="K131" s="1738"/>
      <c r="L131" s="1738"/>
    </row>
    <row r="132" spans="1:12" ht="12" customHeight="1">
      <c r="A132" s="1103" t="s">
        <v>776</v>
      </c>
      <c r="B132" s="1173" t="s">
        <v>905</v>
      </c>
      <c r="C132" s="1105">
        <f t="shared" si="39"/>
        <v>0</v>
      </c>
      <c r="D132" s="1106">
        <f t="shared" si="40"/>
        <v>0</v>
      </c>
      <c r="G132" s="1199"/>
      <c r="H132" s="1199"/>
      <c r="I132" s="1199"/>
      <c r="J132" s="1199"/>
      <c r="K132" s="1738"/>
      <c r="L132" s="1738"/>
    </row>
    <row r="133" spans="1:12" ht="12" customHeight="1">
      <c r="A133" s="1103" t="s">
        <v>777</v>
      </c>
      <c r="B133" s="1173" t="s">
        <v>906</v>
      </c>
      <c r="C133" s="1105">
        <f t="shared" si="39"/>
        <v>0</v>
      </c>
      <c r="D133" s="1106">
        <f t="shared" si="40"/>
        <v>0</v>
      </c>
      <c r="G133" s="1199"/>
      <c r="H133" s="1199"/>
      <c r="I133" s="1199"/>
      <c r="J133" s="1199"/>
      <c r="K133" s="1738"/>
      <c r="L133" s="1738"/>
    </row>
    <row r="134" spans="1:12" s="1151" customFormat="1" ht="12" customHeight="1" thickBot="1">
      <c r="A134" s="1162" t="s">
        <v>779</v>
      </c>
      <c r="B134" s="1175" t="s">
        <v>907</v>
      </c>
      <c r="C134" s="1105">
        <f t="shared" si="39"/>
        <v>0</v>
      </c>
      <c r="D134" s="1106">
        <f t="shared" si="40"/>
        <v>0</v>
      </c>
      <c r="E134" s="1199"/>
      <c r="F134" s="1199"/>
      <c r="G134" s="1206"/>
      <c r="H134" s="1206"/>
      <c r="I134" s="1206"/>
      <c r="J134" s="1206"/>
      <c r="K134" s="1746"/>
      <c r="L134" s="1738"/>
    </row>
    <row r="135" spans="1:12" ht="12" customHeight="1" thickBot="1">
      <c r="A135" s="1099" t="s">
        <v>908</v>
      </c>
      <c r="B135" s="1172" t="s">
        <v>909</v>
      </c>
      <c r="C135" s="1118">
        <f>+C136+C137+C138+C139</f>
        <v>0</v>
      </c>
      <c r="D135" s="1119">
        <f>+D136+D137+D138+D139</f>
        <v>0</v>
      </c>
      <c r="G135" s="1199"/>
      <c r="H135" s="1199"/>
      <c r="I135" s="1199"/>
      <c r="J135" s="1199"/>
      <c r="K135" s="1738"/>
      <c r="L135" s="1738"/>
    </row>
    <row r="136" spans="1:12">
      <c r="A136" s="1103" t="s">
        <v>785</v>
      </c>
      <c r="B136" s="1173" t="s">
        <v>910</v>
      </c>
      <c r="C136" s="1105">
        <f t="shared" ref="C136:C139" si="41">SUM(E136:K136)</f>
        <v>0</v>
      </c>
      <c r="D136" s="1106">
        <f t="shared" ref="D136:D139" si="42">C136+L136</f>
        <v>0</v>
      </c>
      <c r="G136" s="1199"/>
      <c r="H136" s="1199"/>
      <c r="I136" s="1199"/>
      <c r="J136" s="1199"/>
      <c r="K136" s="1738"/>
      <c r="L136" s="1738"/>
    </row>
    <row r="137" spans="1:12" ht="12" customHeight="1">
      <c r="A137" s="1103" t="s">
        <v>787</v>
      </c>
      <c r="B137" s="1173" t="s">
        <v>911</v>
      </c>
      <c r="C137" s="1105">
        <f t="shared" si="41"/>
        <v>0</v>
      </c>
      <c r="D137" s="1106">
        <f t="shared" si="42"/>
        <v>0</v>
      </c>
      <c r="G137" s="1199"/>
      <c r="H137" s="1199"/>
      <c r="I137" s="1199"/>
      <c r="J137" s="1199"/>
      <c r="K137" s="1738"/>
      <c r="L137" s="1738"/>
    </row>
    <row r="138" spans="1:12" s="1151" customFormat="1" ht="12" customHeight="1">
      <c r="A138" s="1103" t="s">
        <v>789</v>
      </c>
      <c r="B138" s="1173" t="s">
        <v>912</v>
      </c>
      <c r="C138" s="1105">
        <f t="shared" si="41"/>
        <v>0</v>
      </c>
      <c r="D138" s="1106">
        <f t="shared" si="42"/>
        <v>0</v>
      </c>
      <c r="E138" s="1199"/>
      <c r="F138" s="1199"/>
      <c r="G138" s="1206"/>
      <c r="H138" s="1206"/>
      <c r="I138" s="1206"/>
      <c r="J138" s="1206"/>
      <c r="K138" s="1746"/>
      <c r="L138" s="1738"/>
    </row>
    <row r="139" spans="1:12" s="1151" customFormat="1" ht="12" customHeight="1" thickBot="1">
      <c r="A139" s="1162" t="s">
        <v>791</v>
      </c>
      <c r="B139" s="1175" t="s">
        <v>913</v>
      </c>
      <c r="C139" s="1105">
        <f t="shared" si="41"/>
        <v>0</v>
      </c>
      <c r="D139" s="1106">
        <f t="shared" si="42"/>
        <v>0</v>
      </c>
      <c r="E139" s="1199"/>
      <c r="F139" s="1199"/>
      <c r="G139" s="1206"/>
      <c r="H139" s="1206"/>
      <c r="I139" s="1206"/>
      <c r="J139" s="1206"/>
      <c r="K139" s="1746"/>
      <c r="L139" s="1738"/>
    </row>
    <row r="140" spans="1:12" s="1151" customFormat="1" ht="12" customHeight="1" thickBot="1">
      <c r="A140" s="1099" t="s">
        <v>793</v>
      </c>
      <c r="B140" s="1172" t="s">
        <v>914</v>
      </c>
      <c r="C140" s="1178">
        <f>+C141+C142+C143+C144</f>
        <v>0</v>
      </c>
      <c r="D140" s="1179">
        <f>+D141+D142+D143+D144</f>
        <v>0</v>
      </c>
      <c r="E140" s="1199"/>
      <c r="F140" s="1199"/>
      <c r="G140" s="1206"/>
      <c r="H140" s="1206"/>
      <c r="I140" s="1206"/>
      <c r="J140" s="1206"/>
      <c r="K140" s="1746"/>
      <c r="L140" s="1738"/>
    </row>
    <row r="141" spans="1:12" s="1151" customFormat="1" ht="12" customHeight="1">
      <c r="A141" s="1103" t="s">
        <v>795</v>
      </c>
      <c r="B141" s="1173" t="s">
        <v>915</v>
      </c>
      <c r="C141" s="1105">
        <f t="shared" ref="C141:C144" si="43">SUM(E141:K141)</f>
        <v>0</v>
      </c>
      <c r="D141" s="1106">
        <f t="shared" ref="D141:D144" si="44">C141+L141</f>
        <v>0</v>
      </c>
      <c r="E141" s="1199"/>
      <c r="F141" s="1199"/>
      <c r="G141" s="1206"/>
      <c r="H141" s="1206"/>
      <c r="I141" s="1206"/>
      <c r="J141" s="1206"/>
      <c r="K141" s="1746"/>
      <c r="L141" s="1738"/>
    </row>
    <row r="142" spans="1:12" s="1151" customFormat="1" ht="12" customHeight="1">
      <c r="A142" s="1103" t="s">
        <v>797</v>
      </c>
      <c r="B142" s="1173" t="s">
        <v>916</v>
      </c>
      <c r="C142" s="1105">
        <f t="shared" si="43"/>
        <v>0</v>
      </c>
      <c r="D142" s="1106">
        <f t="shared" si="44"/>
        <v>0</v>
      </c>
      <c r="E142" s="1199"/>
      <c r="F142" s="1199"/>
      <c r="G142" s="1206"/>
      <c r="H142" s="1206"/>
      <c r="I142" s="1206"/>
      <c r="J142" s="1206"/>
      <c r="K142" s="1746"/>
      <c r="L142" s="1738"/>
    </row>
    <row r="143" spans="1:12" s="1151" customFormat="1" ht="12" customHeight="1">
      <c r="A143" s="1103" t="s">
        <v>799</v>
      </c>
      <c r="B143" s="1173" t="s">
        <v>917</v>
      </c>
      <c r="C143" s="1105">
        <f t="shared" si="43"/>
        <v>0</v>
      </c>
      <c r="D143" s="1106">
        <f t="shared" si="44"/>
        <v>0</v>
      </c>
      <c r="E143" s="1199"/>
      <c r="F143" s="1199"/>
      <c r="G143" s="1206"/>
      <c r="H143" s="1206"/>
      <c r="I143" s="1206"/>
      <c r="J143" s="1206"/>
      <c r="K143" s="1746"/>
      <c r="L143" s="1738"/>
    </row>
    <row r="144" spans="1:12" ht="12.75" customHeight="1" thickBot="1">
      <c r="A144" s="1103" t="s">
        <v>801</v>
      </c>
      <c r="B144" s="1173" t="s">
        <v>918</v>
      </c>
      <c r="C144" s="1105">
        <f t="shared" si="43"/>
        <v>0</v>
      </c>
      <c r="D144" s="1106">
        <f t="shared" si="44"/>
        <v>0</v>
      </c>
      <c r="G144" s="1199"/>
      <c r="H144" s="1199"/>
      <c r="I144" s="1199"/>
      <c r="J144" s="1199"/>
      <c r="K144" s="1738"/>
      <c r="L144" s="1738"/>
    </row>
    <row r="145" spans="1:15" ht="12" customHeight="1" thickBot="1">
      <c r="A145" s="1099" t="s">
        <v>803</v>
      </c>
      <c r="B145" s="1172" t="s">
        <v>919</v>
      </c>
      <c r="C145" s="1180">
        <f>+C126+C130+C135+C140</f>
        <v>0</v>
      </c>
      <c r="D145" s="1181">
        <f>+D126+D130+D135+D140</f>
        <v>0</v>
      </c>
      <c r="G145" s="1199"/>
      <c r="H145" s="1199"/>
      <c r="I145" s="1199"/>
      <c r="J145" s="1199"/>
      <c r="K145" s="1738"/>
      <c r="L145" s="1738"/>
    </row>
    <row r="146" spans="1:15" s="1219" customFormat="1" ht="15" customHeight="1" thickBot="1">
      <c r="A146" s="1182" t="s">
        <v>920</v>
      </c>
      <c r="B146" s="1183" t="s">
        <v>921</v>
      </c>
      <c r="C146" s="1180">
        <f>+C125+C145</f>
        <v>47655800</v>
      </c>
      <c r="D146" s="1181">
        <f>+D125+D145</f>
        <v>52634040</v>
      </c>
      <c r="E146" s="1218"/>
      <c r="F146" s="1218">
        <f t="shared" ref="F146:K146" si="45">SUM(F93:F145)</f>
        <v>33415800</v>
      </c>
      <c r="G146" s="1218">
        <f t="shared" si="45"/>
        <v>1850000</v>
      </c>
      <c r="H146" s="1218">
        <f t="shared" si="45"/>
        <v>450000</v>
      </c>
      <c r="I146" s="1218">
        <f t="shared" si="45"/>
        <v>6120000</v>
      </c>
      <c r="J146" s="1218">
        <f t="shared" si="45"/>
        <v>1020000</v>
      </c>
      <c r="K146" s="1739">
        <f t="shared" si="45"/>
        <v>4800000</v>
      </c>
      <c r="L146" s="1739"/>
      <c r="M146" s="1218"/>
      <c r="N146" s="1218"/>
      <c r="O146" s="1218"/>
    </row>
    <row r="147" spans="1:15" ht="13.5" thickBot="1">
      <c r="L147" s="1738"/>
    </row>
    <row r="148" spans="1:15" ht="15" customHeight="1" thickBot="1">
      <c r="A148" s="1220" t="s">
        <v>964</v>
      </c>
      <c r="B148" s="1221"/>
      <c r="C148" s="1222">
        <v>0</v>
      </c>
      <c r="D148" s="1223">
        <v>0</v>
      </c>
      <c r="L148" s="1738"/>
    </row>
    <row r="149" spans="1:15" ht="14.25" customHeight="1" thickBot="1">
      <c r="A149" s="1220" t="s">
        <v>965</v>
      </c>
      <c r="B149" s="1221"/>
      <c r="C149" s="1222">
        <v>0</v>
      </c>
      <c r="D149" s="1223">
        <v>0</v>
      </c>
      <c r="L149" s="1738"/>
    </row>
    <row r="150" spans="1:15">
      <c r="A150" s="1224"/>
      <c r="L150" s="1738"/>
    </row>
    <row r="151" spans="1:15">
      <c r="L151" s="1738"/>
    </row>
  </sheetData>
  <sheetProtection selectLockedCells="1" selectUnlockedCells="1"/>
  <mergeCells count="5">
    <mergeCell ref="A1:D1"/>
    <mergeCell ref="C2:D3"/>
    <mergeCell ref="C4:D4"/>
    <mergeCell ref="A7:D7"/>
    <mergeCell ref="A91:D9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2" manualBreakCount="2">
    <brk id="69" max="3" man="1"/>
    <brk id="8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C000"/>
  </sheetPr>
  <dimension ref="A1:X62"/>
  <sheetViews>
    <sheetView view="pageBreakPreview" zoomScaleNormal="100" zoomScaleSheetLayoutView="100" workbookViewId="0">
      <selection activeCell="C2" sqref="C2:D3"/>
    </sheetView>
  </sheetViews>
  <sheetFormatPr defaultRowHeight="12.75"/>
  <cols>
    <col min="1" max="1" width="11.85546875" style="1268" customWidth="1"/>
    <col min="2" max="2" width="56.28515625" style="1269" customWidth="1"/>
    <col min="3" max="3" width="14.7109375" style="1269" customWidth="1"/>
    <col min="4" max="4" width="15.140625" style="1269" customWidth="1"/>
    <col min="5" max="10" width="9.140625" style="1271" hidden="1" customWidth="1"/>
    <col min="11" max="11" width="9.140625" style="1710" hidden="1" customWidth="1"/>
    <col min="12" max="12" width="9.140625" style="1271" hidden="1" customWidth="1"/>
    <col min="13" max="14" width="9.140625" style="1233" hidden="1" customWidth="1"/>
    <col min="15" max="15" width="9.140625" style="1717" hidden="1" customWidth="1"/>
    <col min="16" max="16" width="9.140625" style="1233" customWidth="1"/>
    <col min="17" max="253" width="9.140625" style="1233"/>
    <col min="254" max="254" width="11.85546875" style="1233" customWidth="1"/>
    <col min="255" max="255" width="56.28515625" style="1233" customWidth="1"/>
    <col min="256" max="256" width="14.7109375" style="1233" customWidth="1"/>
    <col min="257" max="257" width="15.140625" style="1233" customWidth="1"/>
    <col min="258" max="265" width="9.140625" style="1233" customWidth="1"/>
    <col min="266" max="509" width="9.140625" style="1233"/>
    <col min="510" max="510" width="11.85546875" style="1233" customWidth="1"/>
    <col min="511" max="511" width="56.28515625" style="1233" customWidth="1"/>
    <col min="512" max="512" width="14.7109375" style="1233" customWidth="1"/>
    <col min="513" max="513" width="15.140625" style="1233" customWidth="1"/>
    <col min="514" max="521" width="9.140625" style="1233" customWidth="1"/>
    <col min="522" max="765" width="9.140625" style="1233"/>
    <col min="766" max="766" width="11.85546875" style="1233" customWidth="1"/>
    <col min="767" max="767" width="56.28515625" style="1233" customWidth="1"/>
    <col min="768" max="768" width="14.7109375" style="1233" customWidth="1"/>
    <col min="769" max="769" width="15.140625" style="1233" customWidth="1"/>
    <col min="770" max="777" width="9.140625" style="1233" customWidth="1"/>
    <col min="778" max="1021" width="9.140625" style="1233"/>
    <col min="1022" max="1022" width="11.85546875" style="1233" customWidth="1"/>
    <col min="1023" max="1023" width="56.28515625" style="1233" customWidth="1"/>
    <col min="1024" max="1024" width="14.7109375" style="1233" customWidth="1"/>
    <col min="1025" max="1025" width="15.140625" style="1233" customWidth="1"/>
    <col min="1026" max="1033" width="9.140625" style="1233" customWidth="1"/>
    <col min="1034" max="1277" width="9.140625" style="1233"/>
    <col min="1278" max="1278" width="11.85546875" style="1233" customWidth="1"/>
    <col min="1279" max="1279" width="56.28515625" style="1233" customWidth="1"/>
    <col min="1280" max="1280" width="14.7109375" style="1233" customWidth="1"/>
    <col min="1281" max="1281" width="15.140625" style="1233" customWidth="1"/>
    <col min="1282" max="1289" width="9.140625" style="1233" customWidth="1"/>
    <col min="1290" max="1533" width="9.140625" style="1233"/>
    <col min="1534" max="1534" width="11.85546875" style="1233" customWidth="1"/>
    <col min="1535" max="1535" width="56.28515625" style="1233" customWidth="1"/>
    <col min="1536" max="1536" width="14.7109375" style="1233" customWidth="1"/>
    <col min="1537" max="1537" width="15.140625" style="1233" customWidth="1"/>
    <col min="1538" max="1545" width="9.140625" style="1233" customWidth="1"/>
    <col min="1546" max="1789" width="9.140625" style="1233"/>
    <col min="1790" max="1790" width="11.85546875" style="1233" customWidth="1"/>
    <col min="1791" max="1791" width="56.28515625" style="1233" customWidth="1"/>
    <col min="1792" max="1792" width="14.7109375" style="1233" customWidth="1"/>
    <col min="1793" max="1793" width="15.140625" style="1233" customWidth="1"/>
    <col min="1794" max="1801" width="9.140625" style="1233" customWidth="1"/>
    <col min="1802" max="2045" width="9.140625" style="1233"/>
    <col min="2046" max="2046" width="11.85546875" style="1233" customWidth="1"/>
    <col min="2047" max="2047" width="56.28515625" style="1233" customWidth="1"/>
    <col min="2048" max="2048" width="14.7109375" style="1233" customWidth="1"/>
    <col min="2049" max="2049" width="15.140625" style="1233" customWidth="1"/>
    <col min="2050" max="2057" width="9.140625" style="1233" customWidth="1"/>
    <col min="2058" max="2301" width="9.140625" style="1233"/>
    <col min="2302" max="2302" width="11.85546875" style="1233" customWidth="1"/>
    <col min="2303" max="2303" width="56.28515625" style="1233" customWidth="1"/>
    <col min="2304" max="2304" width="14.7109375" style="1233" customWidth="1"/>
    <col min="2305" max="2305" width="15.140625" style="1233" customWidth="1"/>
    <col min="2306" max="2313" width="9.140625" style="1233" customWidth="1"/>
    <col min="2314" max="2557" width="9.140625" style="1233"/>
    <col min="2558" max="2558" width="11.85546875" style="1233" customWidth="1"/>
    <col min="2559" max="2559" width="56.28515625" style="1233" customWidth="1"/>
    <col min="2560" max="2560" width="14.7109375" style="1233" customWidth="1"/>
    <col min="2561" max="2561" width="15.140625" style="1233" customWidth="1"/>
    <col min="2562" max="2569" width="9.140625" style="1233" customWidth="1"/>
    <col min="2570" max="2813" width="9.140625" style="1233"/>
    <col min="2814" max="2814" width="11.85546875" style="1233" customWidth="1"/>
    <col min="2815" max="2815" width="56.28515625" style="1233" customWidth="1"/>
    <col min="2816" max="2816" width="14.7109375" style="1233" customWidth="1"/>
    <col min="2817" max="2817" width="15.140625" style="1233" customWidth="1"/>
    <col min="2818" max="2825" width="9.140625" style="1233" customWidth="1"/>
    <col min="2826" max="3069" width="9.140625" style="1233"/>
    <col min="3070" max="3070" width="11.85546875" style="1233" customWidth="1"/>
    <col min="3071" max="3071" width="56.28515625" style="1233" customWidth="1"/>
    <col min="3072" max="3072" width="14.7109375" style="1233" customWidth="1"/>
    <col min="3073" max="3073" width="15.140625" style="1233" customWidth="1"/>
    <col min="3074" max="3081" width="9.140625" style="1233" customWidth="1"/>
    <col min="3082" max="3325" width="9.140625" style="1233"/>
    <col min="3326" max="3326" width="11.85546875" style="1233" customWidth="1"/>
    <col min="3327" max="3327" width="56.28515625" style="1233" customWidth="1"/>
    <col min="3328" max="3328" width="14.7109375" style="1233" customWidth="1"/>
    <col min="3329" max="3329" width="15.140625" style="1233" customWidth="1"/>
    <col min="3330" max="3337" width="9.140625" style="1233" customWidth="1"/>
    <col min="3338" max="3581" width="9.140625" style="1233"/>
    <col min="3582" max="3582" width="11.85546875" style="1233" customWidth="1"/>
    <col min="3583" max="3583" width="56.28515625" style="1233" customWidth="1"/>
    <col min="3584" max="3584" width="14.7109375" style="1233" customWidth="1"/>
    <col min="3585" max="3585" width="15.140625" style="1233" customWidth="1"/>
    <col min="3586" max="3593" width="9.140625" style="1233" customWidth="1"/>
    <col min="3594" max="3837" width="9.140625" style="1233"/>
    <col min="3838" max="3838" width="11.85546875" style="1233" customWidth="1"/>
    <col min="3839" max="3839" width="56.28515625" style="1233" customWidth="1"/>
    <col min="3840" max="3840" width="14.7109375" style="1233" customWidth="1"/>
    <col min="3841" max="3841" width="15.140625" style="1233" customWidth="1"/>
    <col min="3842" max="3849" width="9.140625" style="1233" customWidth="1"/>
    <col min="3850" max="4093" width="9.140625" style="1233"/>
    <col min="4094" max="4094" width="11.85546875" style="1233" customWidth="1"/>
    <col min="4095" max="4095" width="56.28515625" style="1233" customWidth="1"/>
    <col min="4096" max="4096" width="14.7109375" style="1233" customWidth="1"/>
    <col min="4097" max="4097" width="15.140625" style="1233" customWidth="1"/>
    <col min="4098" max="4105" width="9.140625" style="1233" customWidth="1"/>
    <col min="4106" max="4349" width="9.140625" style="1233"/>
    <col min="4350" max="4350" width="11.85546875" style="1233" customWidth="1"/>
    <col min="4351" max="4351" width="56.28515625" style="1233" customWidth="1"/>
    <col min="4352" max="4352" width="14.7109375" style="1233" customWidth="1"/>
    <col min="4353" max="4353" width="15.140625" style="1233" customWidth="1"/>
    <col min="4354" max="4361" width="9.140625" style="1233" customWidth="1"/>
    <col min="4362" max="4605" width="9.140625" style="1233"/>
    <col min="4606" max="4606" width="11.85546875" style="1233" customWidth="1"/>
    <col min="4607" max="4607" width="56.28515625" style="1233" customWidth="1"/>
    <col min="4608" max="4608" width="14.7109375" style="1233" customWidth="1"/>
    <col min="4609" max="4609" width="15.140625" style="1233" customWidth="1"/>
    <col min="4610" max="4617" width="9.140625" style="1233" customWidth="1"/>
    <col min="4618" max="4861" width="9.140625" style="1233"/>
    <col min="4862" max="4862" width="11.85546875" style="1233" customWidth="1"/>
    <col min="4863" max="4863" width="56.28515625" style="1233" customWidth="1"/>
    <col min="4864" max="4864" width="14.7109375" style="1233" customWidth="1"/>
    <col min="4865" max="4865" width="15.140625" style="1233" customWidth="1"/>
    <col min="4866" max="4873" width="9.140625" style="1233" customWidth="1"/>
    <col min="4874" max="5117" width="9.140625" style="1233"/>
    <col min="5118" max="5118" width="11.85546875" style="1233" customWidth="1"/>
    <col min="5119" max="5119" width="56.28515625" style="1233" customWidth="1"/>
    <col min="5120" max="5120" width="14.7109375" style="1233" customWidth="1"/>
    <col min="5121" max="5121" width="15.140625" style="1233" customWidth="1"/>
    <col min="5122" max="5129" width="9.140625" style="1233" customWidth="1"/>
    <col min="5130" max="5373" width="9.140625" style="1233"/>
    <col min="5374" max="5374" width="11.85546875" style="1233" customWidth="1"/>
    <col min="5375" max="5375" width="56.28515625" style="1233" customWidth="1"/>
    <col min="5376" max="5376" width="14.7109375" style="1233" customWidth="1"/>
    <col min="5377" max="5377" width="15.140625" style="1233" customWidth="1"/>
    <col min="5378" max="5385" width="9.140625" style="1233" customWidth="1"/>
    <col min="5386" max="5629" width="9.140625" style="1233"/>
    <col min="5630" max="5630" width="11.85546875" style="1233" customWidth="1"/>
    <col min="5631" max="5631" width="56.28515625" style="1233" customWidth="1"/>
    <col min="5632" max="5632" width="14.7109375" style="1233" customWidth="1"/>
    <col min="5633" max="5633" width="15.140625" style="1233" customWidth="1"/>
    <col min="5634" max="5641" width="9.140625" style="1233" customWidth="1"/>
    <col min="5642" max="5885" width="9.140625" style="1233"/>
    <col min="5886" max="5886" width="11.85546875" style="1233" customWidth="1"/>
    <col min="5887" max="5887" width="56.28515625" style="1233" customWidth="1"/>
    <col min="5888" max="5888" width="14.7109375" style="1233" customWidth="1"/>
    <col min="5889" max="5889" width="15.140625" style="1233" customWidth="1"/>
    <col min="5890" max="5897" width="9.140625" style="1233" customWidth="1"/>
    <col min="5898" max="6141" width="9.140625" style="1233"/>
    <col min="6142" max="6142" width="11.85546875" style="1233" customWidth="1"/>
    <col min="6143" max="6143" width="56.28515625" style="1233" customWidth="1"/>
    <col min="6144" max="6144" width="14.7109375" style="1233" customWidth="1"/>
    <col min="6145" max="6145" width="15.140625" style="1233" customWidth="1"/>
    <col min="6146" max="6153" width="9.140625" style="1233" customWidth="1"/>
    <col min="6154" max="6397" width="9.140625" style="1233"/>
    <col min="6398" max="6398" width="11.85546875" style="1233" customWidth="1"/>
    <col min="6399" max="6399" width="56.28515625" style="1233" customWidth="1"/>
    <col min="6400" max="6400" width="14.7109375" style="1233" customWidth="1"/>
    <col min="6401" max="6401" width="15.140625" style="1233" customWidth="1"/>
    <col min="6402" max="6409" width="9.140625" style="1233" customWidth="1"/>
    <col min="6410" max="6653" width="9.140625" style="1233"/>
    <col min="6654" max="6654" width="11.85546875" style="1233" customWidth="1"/>
    <col min="6655" max="6655" width="56.28515625" style="1233" customWidth="1"/>
    <col min="6656" max="6656" width="14.7109375" style="1233" customWidth="1"/>
    <col min="6657" max="6657" width="15.140625" style="1233" customWidth="1"/>
    <col min="6658" max="6665" width="9.140625" style="1233" customWidth="1"/>
    <col min="6666" max="6909" width="9.140625" style="1233"/>
    <col min="6910" max="6910" width="11.85546875" style="1233" customWidth="1"/>
    <col min="6911" max="6911" width="56.28515625" style="1233" customWidth="1"/>
    <col min="6912" max="6912" width="14.7109375" style="1233" customWidth="1"/>
    <col min="6913" max="6913" width="15.140625" style="1233" customWidth="1"/>
    <col min="6914" max="6921" width="9.140625" style="1233" customWidth="1"/>
    <col min="6922" max="7165" width="9.140625" style="1233"/>
    <col min="7166" max="7166" width="11.85546875" style="1233" customWidth="1"/>
    <col min="7167" max="7167" width="56.28515625" style="1233" customWidth="1"/>
    <col min="7168" max="7168" width="14.7109375" style="1233" customWidth="1"/>
    <col min="7169" max="7169" width="15.140625" style="1233" customWidth="1"/>
    <col min="7170" max="7177" width="9.140625" style="1233" customWidth="1"/>
    <col min="7178" max="7421" width="9.140625" style="1233"/>
    <col min="7422" max="7422" width="11.85546875" style="1233" customWidth="1"/>
    <col min="7423" max="7423" width="56.28515625" style="1233" customWidth="1"/>
    <col min="7424" max="7424" width="14.7109375" style="1233" customWidth="1"/>
    <col min="7425" max="7425" width="15.140625" style="1233" customWidth="1"/>
    <col min="7426" max="7433" width="9.140625" style="1233" customWidth="1"/>
    <col min="7434" max="7677" width="9.140625" style="1233"/>
    <col min="7678" max="7678" width="11.85546875" style="1233" customWidth="1"/>
    <col min="7679" max="7679" width="56.28515625" style="1233" customWidth="1"/>
    <col min="7680" max="7680" width="14.7109375" style="1233" customWidth="1"/>
    <col min="7681" max="7681" width="15.140625" style="1233" customWidth="1"/>
    <col min="7682" max="7689" width="9.140625" style="1233" customWidth="1"/>
    <col min="7690" max="7933" width="9.140625" style="1233"/>
    <col min="7934" max="7934" width="11.85546875" style="1233" customWidth="1"/>
    <col min="7935" max="7935" width="56.28515625" style="1233" customWidth="1"/>
    <col min="7936" max="7936" width="14.7109375" style="1233" customWidth="1"/>
    <col min="7937" max="7937" width="15.140625" style="1233" customWidth="1"/>
    <col min="7938" max="7945" width="9.140625" style="1233" customWidth="1"/>
    <col min="7946" max="8189" width="9.140625" style="1233"/>
    <col min="8190" max="8190" width="11.85546875" style="1233" customWidth="1"/>
    <col min="8191" max="8191" width="56.28515625" style="1233" customWidth="1"/>
    <col min="8192" max="8192" width="14.7109375" style="1233" customWidth="1"/>
    <col min="8193" max="8193" width="15.140625" style="1233" customWidth="1"/>
    <col min="8194" max="8201" width="9.140625" style="1233" customWidth="1"/>
    <col min="8202" max="8445" width="9.140625" style="1233"/>
    <col min="8446" max="8446" width="11.85546875" style="1233" customWidth="1"/>
    <col min="8447" max="8447" width="56.28515625" style="1233" customWidth="1"/>
    <col min="8448" max="8448" width="14.7109375" style="1233" customWidth="1"/>
    <col min="8449" max="8449" width="15.140625" style="1233" customWidth="1"/>
    <col min="8450" max="8457" width="9.140625" style="1233" customWidth="1"/>
    <col min="8458" max="8701" width="9.140625" style="1233"/>
    <col min="8702" max="8702" width="11.85546875" style="1233" customWidth="1"/>
    <col min="8703" max="8703" width="56.28515625" style="1233" customWidth="1"/>
    <col min="8704" max="8704" width="14.7109375" style="1233" customWidth="1"/>
    <col min="8705" max="8705" width="15.140625" style="1233" customWidth="1"/>
    <col min="8706" max="8713" width="9.140625" style="1233" customWidth="1"/>
    <col min="8714" max="8957" width="9.140625" style="1233"/>
    <col min="8958" max="8958" width="11.85546875" style="1233" customWidth="1"/>
    <col min="8959" max="8959" width="56.28515625" style="1233" customWidth="1"/>
    <col min="8960" max="8960" width="14.7109375" style="1233" customWidth="1"/>
    <col min="8961" max="8961" width="15.140625" style="1233" customWidth="1"/>
    <col min="8962" max="8969" width="9.140625" style="1233" customWidth="1"/>
    <col min="8970" max="9213" width="9.140625" style="1233"/>
    <col min="9214" max="9214" width="11.85546875" style="1233" customWidth="1"/>
    <col min="9215" max="9215" width="56.28515625" style="1233" customWidth="1"/>
    <col min="9216" max="9216" width="14.7109375" style="1233" customWidth="1"/>
    <col min="9217" max="9217" width="15.140625" style="1233" customWidth="1"/>
    <col min="9218" max="9225" width="9.140625" style="1233" customWidth="1"/>
    <col min="9226" max="9469" width="9.140625" style="1233"/>
    <col min="9470" max="9470" width="11.85546875" style="1233" customWidth="1"/>
    <col min="9471" max="9471" width="56.28515625" style="1233" customWidth="1"/>
    <col min="9472" max="9472" width="14.7109375" style="1233" customWidth="1"/>
    <col min="9473" max="9473" width="15.140625" style="1233" customWidth="1"/>
    <col min="9474" max="9481" width="9.140625" style="1233" customWidth="1"/>
    <col min="9482" max="9725" width="9.140625" style="1233"/>
    <col min="9726" max="9726" width="11.85546875" style="1233" customWidth="1"/>
    <col min="9727" max="9727" width="56.28515625" style="1233" customWidth="1"/>
    <col min="9728" max="9728" width="14.7109375" style="1233" customWidth="1"/>
    <col min="9729" max="9729" width="15.140625" style="1233" customWidth="1"/>
    <col min="9730" max="9737" width="9.140625" style="1233" customWidth="1"/>
    <col min="9738" max="9981" width="9.140625" style="1233"/>
    <col min="9982" max="9982" width="11.85546875" style="1233" customWidth="1"/>
    <col min="9983" max="9983" width="56.28515625" style="1233" customWidth="1"/>
    <col min="9984" max="9984" width="14.7109375" style="1233" customWidth="1"/>
    <col min="9985" max="9985" width="15.140625" style="1233" customWidth="1"/>
    <col min="9986" max="9993" width="9.140625" style="1233" customWidth="1"/>
    <col min="9994" max="10237" width="9.140625" style="1233"/>
    <col min="10238" max="10238" width="11.85546875" style="1233" customWidth="1"/>
    <col min="10239" max="10239" width="56.28515625" style="1233" customWidth="1"/>
    <col min="10240" max="10240" width="14.7109375" style="1233" customWidth="1"/>
    <col min="10241" max="10241" width="15.140625" style="1233" customWidth="1"/>
    <col min="10242" max="10249" width="9.140625" style="1233" customWidth="1"/>
    <col min="10250" max="10493" width="9.140625" style="1233"/>
    <col min="10494" max="10494" width="11.85546875" style="1233" customWidth="1"/>
    <col min="10495" max="10495" width="56.28515625" style="1233" customWidth="1"/>
    <col min="10496" max="10496" width="14.7109375" style="1233" customWidth="1"/>
    <col min="10497" max="10497" width="15.140625" style="1233" customWidth="1"/>
    <col min="10498" max="10505" width="9.140625" style="1233" customWidth="1"/>
    <col min="10506" max="10749" width="9.140625" style="1233"/>
    <col min="10750" max="10750" width="11.85546875" style="1233" customWidth="1"/>
    <col min="10751" max="10751" width="56.28515625" style="1233" customWidth="1"/>
    <col min="10752" max="10752" width="14.7109375" style="1233" customWidth="1"/>
    <col min="10753" max="10753" width="15.140625" style="1233" customWidth="1"/>
    <col min="10754" max="10761" width="9.140625" style="1233" customWidth="1"/>
    <col min="10762" max="11005" width="9.140625" style="1233"/>
    <col min="11006" max="11006" width="11.85546875" style="1233" customWidth="1"/>
    <col min="11007" max="11007" width="56.28515625" style="1233" customWidth="1"/>
    <col min="11008" max="11008" width="14.7109375" style="1233" customWidth="1"/>
    <col min="11009" max="11009" width="15.140625" style="1233" customWidth="1"/>
    <col min="11010" max="11017" width="9.140625" style="1233" customWidth="1"/>
    <col min="11018" max="11261" width="9.140625" style="1233"/>
    <col min="11262" max="11262" width="11.85546875" style="1233" customWidth="1"/>
    <col min="11263" max="11263" width="56.28515625" style="1233" customWidth="1"/>
    <col min="11264" max="11264" width="14.7109375" style="1233" customWidth="1"/>
    <col min="11265" max="11265" width="15.140625" style="1233" customWidth="1"/>
    <col min="11266" max="11273" width="9.140625" style="1233" customWidth="1"/>
    <col min="11274" max="11517" width="9.140625" style="1233"/>
    <col min="11518" max="11518" width="11.85546875" style="1233" customWidth="1"/>
    <col min="11519" max="11519" width="56.28515625" style="1233" customWidth="1"/>
    <col min="11520" max="11520" width="14.7109375" style="1233" customWidth="1"/>
    <col min="11521" max="11521" width="15.140625" style="1233" customWidth="1"/>
    <col min="11522" max="11529" width="9.140625" style="1233" customWidth="1"/>
    <col min="11530" max="11773" width="9.140625" style="1233"/>
    <col min="11774" max="11774" width="11.85546875" style="1233" customWidth="1"/>
    <col min="11775" max="11775" width="56.28515625" style="1233" customWidth="1"/>
    <col min="11776" max="11776" width="14.7109375" style="1233" customWidth="1"/>
    <col min="11777" max="11777" width="15.140625" style="1233" customWidth="1"/>
    <col min="11778" max="11785" width="9.140625" style="1233" customWidth="1"/>
    <col min="11786" max="12029" width="9.140625" style="1233"/>
    <col min="12030" max="12030" width="11.85546875" style="1233" customWidth="1"/>
    <col min="12031" max="12031" width="56.28515625" style="1233" customWidth="1"/>
    <col min="12032" max="12032" width="14.7109375" style="1233" customWidth="1"/>
    <col min="12033" max="12033" width="15.140625" style="1233" customWidth="1"/>
    <col min="12034" max="12041" width="9.140625" style="1233" customWidth="1"/>
    <col min="12042" max="12285" width="9.140625" style="1233"/>
    <col min="12286" max="12286" width="11.85546875" style="1233" customWidth="1"/>
    <col min="12287" max="12287" width="56.28515625" style="1233" customWidth="1"/>
    <col min="12288" max="12288" width="14.7109375" style="1233" customWidth="1"/>
    <col min="12289" max="12289" width="15.140625" style="1233" customWidth="1"/>
    <col min="12290" max="12297" width="9.140625" style="1233" customWidth="1"/>
    <col min="12298" max="12541" width="9.140625" style="1233"/>
    <col min="12542" max="12542" width="11.85546875" style="1233" customWidth="1"/>
    <col min="12543" max="12543" width="56.28515625" style="1233" customWidth="1"/>
    <col min="12544" max="12544" width="14.7109375" style="1233" customWidth="1"/>
    <col min="12545" max="12545" width="15.140625" style="1233" customWidth="1"/>
    <col min="12546" max="12553" width="9.140625" style="1233" customWidth="1"/>
    <col min="12554" max="12797" width="9.140625" style="1233"/>
    <col min="12798" max="12798" width="11.85546875" style="1233" customWidth="1"/>
    <col min="12799" max="12799" width="56.28515625" style="1233" customWidth="1"/>
    <col min="12800" max="12800" width="14.7109375" style="1233" customWidth="1"/>
    <col min="12801" max="12801" width="15.140625" style="1233" customWidth="1"/>
    <col min="12802" max="12809" width="9.140625" style="1233" customWidth="1"/>
    <col min="12810" max="13053" width="9.140625" style="1233"/>
    <col min="13054" max="13054" width="11.85546875" style="1233" customWidth="1"/>
    <col min="13055" max="13055" width="56.28515625" style="1233" customWidth="1"/>
    <col min="13056" max="13056" width="14.7109375" style="1233" customWidth="1"/>
    <col min="13057" max="13057" width="15.140625" style="1233" customWidth="1"/>
    <col min="13058" max="13065" width="9.140625" style="1233" customWidth="1"/>
    <col min="13066" max="13309" width="9.140625" style="1233"/>
    <col min="13310" max="13310" width="11.85546875" style="1233" customWidth="1"/>
    <col min="13311" max="13311" width="56.28515625" style="1233" customWidth="1"/>
    <col min="13312" max="13312" width="14.7109375" style="1233" customWidth="1"/>
    <col min="13313" max="13313" width="15.140625" style="1233" customWidth="1"/>
    <col min="13314" max="13321" width="9.140625" style="1233" customWidth="1"/>
    <col min="13322" max="13565" width="9.140625" style="1233"/>
    <col min="13566" max="13566" width="11.85546875" style="1233" customWidth="1"/>
    <col min="13567" max="13567" width="56.28515625" style="1233" customWidth="1"/>
    <col min="13568" max="13568" width="14.7109375" style="1233" customWidth="1"/>
    <col min="13569" max="13569" width="15.140625" style="1233" customWidth="1"/>
    <col min="13570" max="13577" width="9.140625" style="1233" customWidth="1"/>
    <col min="13578" max="13821" width="9.140625" style="1233"/>
    <col min="13822" max="13822" width="11.85546875" style="1233" customWidth="1"/>
    <col min="13823" max="13823" width="56.28515625" style="1233" customWidth="1"/>
    <col min="13824" max="13824" width="14.7109375" style="1233" customWidth="1"/>
    <col min="13825" max="13825" width="15.140625" style="1233" customWidth="1"/>
    <col min="13826" max="13833" width="9.140625" style="1233" customWidth="1"/>
    <col min="13834" max="14077" width="9.140625" style="1233"/>
    <col min="14078" max="14078" width="11.85546875" style="1233" customWidth="1"/>
    <col min="14079" max="14079" width="56.28515625" style="1233" customWidth="1"/>
    <col min="14080" max="14080" width="14.7109375" style="1233" customWidth="1"/>
    <col min="14081" max="14081" width="15.140625" style="1233" customWidth="1"/>
    <col min="14082" max="14089" width="9.140625" style="1233" customWidth="1"/>
    <col min="14090" max="14333" width="9.140625" style="1233"/>
    <col min="14334" max="14334" width="11.85546875" style="1233" customWidth="1"/>
    <col min="14335" max="14335" width="56.28515625" style="1233" customWidth="1"/>
    <col min="14336" max="14336" width="14.7109375" style="1233" customWidth="1"/>
    <col min="14337" max="14337" width="15.140625" style="1233" customWidth="1"/>
    <col min="14338" max="14345" width="9.140625" style="1233" customWidth="1"/>
    <col min="14346" max="14589" width="9.140625" style="1233"/>
    <col min="14590" max="14590" width="11.85546875" style="1233" customWidth="1"/>
    <col min="14591" max="14591" width="56.28515625" style="1233" customWidth="1"/>
    <col min="14592" max="14592" width="14.7109375" style="1233" customWidth="1"/>
    <col min="14593" max="14593" width="15.140625" style="1233" customWidth="1"/>
    <col min="14594" max="14601" width="9.140625" style="1233" customWidth="1"/>
    <col min="14602" max="14845" width="9.140625" style="1233"/>
    <col min="14846" max="14846" width="11.85546875" style="1233" customWidth="1"/>
    <col min="14847" max="14847" width="56.28515625" style="1233" customWidth="1"/>
    <col min="14848" max="14848" width="14.7109375" style="1233" customWidth="1"/>
    <col min="14849" max="14849" width="15.140625" style="1233" customWidth="1"/>
    <col min="14850" max="14857" width="9.140625" style="1233" customWidth="1"/>
    <col min="14858" max="15101" width="9.140625" style="1233"/>
    <col min="15102" max="15102" width="11.85546875" style="1233" customWidth="1"/>
    <col min="15103" max="15103" width="56.28515625" style="1233" customWidth="1"/>
    <col min="15104" max="15104" width="14.7109375" style="1233" customWidth="1"/>
    <col min="15105" max="15105" width="15.140625" style="1233" customWidth="1"/>
    <col min="15106" max="15113" width="9.140625" style="1233" customWidth="1"/>
    <col min="15114" max="15357" width="9.140625" style="1233"/>
    <col min="15358" max="15358" width="11.85546875" style="1233" customWidth="1"/>
    <col min="15359" max="15359" width="56.28515625" style="1233" customWidth="1"/>
    <col min="15360" max="15360" width="14.7109375" style="1233" customWidth="1"/>
    <col min="15361" max="15361" width="15.140625" style="1233" customWidth="1"/>
    <col min="15362" max="15369" width="9.140625" style="1233" customWidth="1"/>
    <col min="15370" max="15613" width="9.140625" style="1233"/>
    <col min="15614" max="15614" width="11.85546875" style="1233" customWidth="1"/>
    <col min="15615" max="15615" width="56.28515625" style="1233" customWidth="1"/>
    <col min="15616" max="15616" width="14.7109375" style="1233" customWidth="1"/>
    <col min="15617" max="15617" width="15.140625" style="1233" customWidth="1"/>
    <col min="15618" max="15625" width="9.140625" style="1233" customWidth="1"/>
    <col min="15626" max="15869" width="9.140625" style="1233"/>
    <col min="15870" max="15870" width="11.85546875" style="1233" customWidth="1"/>
    <col min="15871" max="15871" width="56.28515625" style="1233" customWidth="1"/>
    <col min="15872" max="15872" width="14.7109375" style="1233" customWidth="1"/>
    <col min="15873" max="15873" width="15.140625" style="1233" customWidth="1"/>
    <col min="15874" max="15881" width="9.140625" style="1233" customWidth="1"/>
    <col min="15882" max="16125" width="9.140625" style="1233"/>
    <col min="16126" max="16126" width="11.85546875" style="1233" customWidth="1"/>
    <col min="16127" max="16127" width="56.28515625" style="1233" customWidth="1"/>
    <col min="16128" max="16128" width="14.7109375" style="1233" customWidth="1"/>
    <col min="16129" max="16129" width="15.140625" style="1233" customWidth="1"/>
    <col min="16130" max="16137" width="9.140625" style="1233" customWidth="1"/>
    <col min="16138" max="16384" width="9.140625" style="1233"/>
  </cols>
  <sheetData>
    <row r="1" spans="1:24" s="1226" customFormat="1" ht="21" customHeight="1" thickBot="1">
      <c r="A1" s="1868" t="s">
        <v>1248</v>
      </c>
      <c r="B1" s="1868"/>
      <c r="C1" s="1868"/>
      <c r="D1" s="1868"/>
      <c r="E1" s="1225"/>
      <c r="F1" s="1225"/>
      <c r="G1" s="1225"/>
      <c r="H1" s="1225"/>
      <c r="I1" s="1225"/>
      <c r="J1" s="1225"/>
      <c r="K1" s="1704"/>
      <c r="L1" s="1225"/>
      <c r="O1" s="1713"/>
    </row>
    <row r="2" spans="1:24" s="1229" customFormat="1" ht="25.5" customHeight="1">
      <c r="A2" s="1227" t="s">
        <v>966</v>
      </c>
      <c r="B2" s="1082" t="s">
        <v>967</v>
      </c>
      <c r="C2" s="1869" t="s">
        <v>968</v>
      </c>
      <c r="D2" s="1870"/>
      <c r="E2" s="1228"/>
      <c r="F2" s="1228"/>
      <c r="G2" s="1228"/>
      <c r="H2" s="1228"/>
      <c r="I2" s="1228"/>
      <c r="J2" s="1228"/>
      <c r="K2" s="1705"/>
      <c r="L2" s="1228"/>
      <c r="O2" s="1714"/>
    </row>
    <row r="3" spans="1:24" s="1229" customFormat="1" ht="24.75" thickBot="1">
      <c r="A3" s="1230" t="s">
        <v>685</v>
      </c>
      <c r="B3" s="1085" t="s">
        <v>686</v>
      </c>
      <c r="C3" s="1871"/>
      <c r="D3" s="1872"/>
      <c r="E3" s="1228"/>
      <c r="F3" s="1228"/>
      <c r="G3" s="1228"/>
      <c r="H3" s="1228"/>
      <c r="I3" s="1228"/>
      <c r="J3" s="1228"/>
      <c r="K3" s="1705"/>
      <c r="L3" s="1228"/>
      <c r="O3" s="1714"/>
    </row>
    <row r="4" spans="1:24" s="1231" customFormat="1" ht="15.95" customHeight="1" thickBot="1">
      <c r="A4" s="1086"/>
      <c r="B4" s="1087"/>
      <c r="C4" s="1825" t="s">
        <v>687</v>
      </c>
      <c r="D4" s="1826"/>
      <c r="E4" s="1228"/>
      <c r="F4" s="1228"/>
      <c r="G4" s="1228"/>
      <c r="H4" s="1228"/>
      <c r="I4" s="1228"/>
      <c r="J4" s="1228"/>
      <c r="K4" s="1705"/>
      <c r="L4" s="1228"/>
      <c r="O4" s="1715"/>
    </row>
    <row r="5" spans="1:24" ht="36.75" thickBot="1">
      <c r="A5" s="1089" t="s">
        <v>688</v>
      </c>
      <c r="B5" s="1090" t="s">
        <v>689</v>
      </c>
      <c r="C5" s="1091" t="s">
        <v>690</v>
      </c>
      <c r="D5" s="1092" t="s">
        <v>691</v>
      </c>
      <c r="E5" s="1276" t="s">
        <v>925</v>
      </c>
      <c r="F5" s="1276" t="s">
        <v>969</v>
      </c>
      <c r="G5" s="1276" t="s">
        <v>928</v>
      </c>
      <c r="H5" s="1276" t="s">
        <v>932</v>
      </c>
      <c r="I5" s="1276" t="s">
        <v>954</v>
      </c>
      <c r="J5" s="1276" t="s">
        <v>957</v>
      </c>
      <c r="K5" s="1711" t="s">
        <v>970</v>
      </c>
      <c r="L5" s="1276" t="s">
        <v>925</v>
      </c>
      <c r="M5" s="1276" t="s">
        <v>932</v>
      </c>
      <c r="N5" s="1276" t="s">
        <v>954</v>
      </c>
      <c r="O5" s="1711" t="s">
        <v>970</v>
      </c>
      <c r="P5" s="1234"/>
      <c r="Q5" s="1234"/>
      <c r="R5" s="1234"/>
      <c r="S5" s="1234"/>
      <c r="T5" s="1234"/>
      <c r="U5" s="1234"/>
      <c r="V5" s="1234"/>
      <c r="W5" s="1234"/>
      <c r="X5" s="1234"/>
    </row>
    <row r="6" spans="1:24" s="1235" customFormat="1" ht="12.95" customHeight="1" thickBot="1">
      <c r="A6" s="1094">
        <v>1</v>
      </c>
      <c r="B6" s="1095">
        <v>2</v>
      </c>
      <c r="C6" s="1096">
        <v>3</v>
      </c>
      <c r="D6" s="1097">
        <v>4</v>
      </c>
      <c r="E6" s="1234"/>
      <c r="F6" s="1234"/>
      <c r="G6" s="1234"/>
      <c r="H6" s="1234"/>
      <c r="I6" s="1234"/>
      <c r="J6" s="1234"/>
      <c r="K6" s="1706"/>
      <c r="L6" s="1712"/>
      <c r="M6" s="1712"/>
      <c r="N6" s="1712"/>
      <c r="O6" s="1716"/>
    </row>
    <row r="7" spans="1:24" s="1235" customFormat="1" ht="15.95" customHeight="1" thickBot="1">
      <c r="A7" s="1827" t="s">
        <v>692</v>
      </c>
      <c r="B7" s="1828"/>
      <c r="C7" s="1828"/>
      <c r="D7" s="1829"/>
      <c r="E7" s="1234"/>
      <c r="F7" s="1234"/>
      <c r="G7" s="1234"/>
      <c r="H7" s="1234"/>
      <c r="I7" s="1234"/>
      <c r="J7" s="1234"/>
      <c r="K7" s="1706"/>
      <c r="L7" s="1712"/>
      <c r="M7" s="1712"/>
      <c r="N7" s="1712"/>
      <c r="O7" s="1716"/>
    </row>
    <row r="8" spans="1:24" s="1239" customFormat="1" ht="12" customHeight="1" thickBot="1">
      <c r="A8" s="1094" t="s">
        <v>693</v>
      </c>
      <c r="B8" s="1236" t="s">
        <v>971</v>
      </c>
      <c r="C8" s="1331">
        <f>SUM(C9:C18)</f>
        <v>17354000</v>
      </c>
      <c r="D8" s="1237">
        <f>SUM(D9:D18)</f>
        <v>17354000</v>
      </c>
      <c r="E8" s="1238"/>
      <c r="F8" s="1238"/>
      <c r="G8" s="1238"/>
      <c r="H8" s="1238"/>
      <c r="I8" s="1238"/>
      <c r="J8" s="1238"/>
      <c r="K8" s="1707"/>
      <c r="L8" s="1243"/>
      <c r="M8" s="1243"/>
      <c r="N8" s="1243"/>
      <c r="O8" s="1708"/>
    </row>
    <row r="9" spans="1:24" s="1239" customFormat="1" ht="12" customHeight="1">
      <c r="A9" s="1240" t="s">
        <v>695</v>
      </c>
      <c r="B9" s="1153" t="s">
        <v>753</v>
      </c>
      <c r="C9" s="1355">
        <f>SUM(E9:K9)</f>
        <v>0</v>
      </c>
      <c r="D9" s="1242">
        <f>C9+SUM(L9:O9)</f>
        <v>0</v>
      </c>
      <c r="E9" s="1243"/>
      <c r="F9" s="1243"/>
      <c r="G9" s="1243"/>
      <c r="H9" s="1243"/>
      <c r="I9" s="1243"/>
      <c r="J9" s="1243"/>
      <c r="K9" s="1708"/>
      <c r="L9" s="1243"/>
      <c r="M9" s="1243"/>
      <c r="N9" s="1243"/>
      <c r="O9" s="1708"/>
    </row>
    <row r="10" spans="1:24" s="1239" customFormat="1" ht="12" customHeight="1">
      <c r="A10" s="1244" t="s">
        <v>697</v>
      </c>
      <c r="B10" s="1156" t="s">
        <v>755</v>
      </c>
      <c r="C10" s="1355">
        <f t="shared" ref="C10:C18" si="0">SUM(E10:K10)</f>
        <v>6856700</v>
      </c>
      <c r="D10" s="1245">
        <f t="shared" ref="D10:D18" si="1">C10+SUM(L10:O10)</f>
        <v>6856700</v>
      </c>
      <c r="E10" s="1243"/>
      <c r="F10" s="1243"/>
      <c r="G10" s="1243"/>
      <c r="H10" s="1243"/>
      <c r="I10" s="1243">
        <v>6856700</v>
      </c>
      <c r="J10" s="1243"/>
      <c r="K10" s="1708"/>
      <c r="L10" s="1243"/>
      <c r="M10" s="1243"/>
      <c r="N10" s="1243"/>
      <c r="O10" s="1708"/>
    </row>
    <row r="11" spans="1:24" s="1239" customFormat="1" ht="12" customHeight="1">
      <c r="A11" s="1244" t="s">
        <v>699</v>
      </c>
      <c r="B11" s="1156" t="s">
        <v>757</v>
      </c>
      <c r="C11" s="1355">
        <f t="shared" si="0"/>
        <v>100000</v>
      </c>
      <c r="D11" s="1245">
        <f t="shared" si="1"/>
        <v>100000</v>
      </c>
      <c r="E11" s="1243">
        <v>100000</v>
      </c>
      <c r="F11" s="1243"/>
      <c r="G11" s="1243"/>
      <c r="H11" s="1243"/>
      <c r="I11" s="1243"/>
      <c r="J11" s="1243"/>
      <c r="K11" s="1708"/>
      <c r="L11" s="1243"/>
      <c r="M11" s="1243"/>
      <c r="N11" s="1243"/>
      <c r="O11" s="1708"/>
    </row>
    <row r="12" spans="1:24" s="1239" customFormat="1" ht="12" customHeight="1">
      <c r="A12" s="1244" t="s">
        <v>701</v>
      </c>
      <c r="B12" s="1156" t="s">
        <v>759</v>
      </c>
      <c r="C12" s="1355">
        <f t="shared" si="0"/>
        <v>0</v>
      </c>
      <c r="D12" s="1245">
        <f t="shared" si="1"/>
        <v>0</v>
      </c>
      <c r="E12" s="1243"/>
      <c r="F12" s="1243"/>
      <c r="G12" s="1243"/>
      <c r="H12" s="1243"/>
      <c r="I12" s="1243"/>
      <c r="J12" s="1243"/>
      <c r="K12" s="1708"/>
      <c r="L12" s="1243"/>
      <c r="M12" s="1243"/>
      <c r="N12" s="1243"/>
      <c r="O12" s="1708"/>
    </row>
    <row r="13" spans="1:24" s="1239" customFormat="1" ht="12" customHeight="1">
      <c r="A13" s="1244" t="s">
        <v>703</v>
      </c>
      <c r="B13" s="1156" t="s">
        <v>761</v>
      </c>
      <c r="C13" s="1355">
        <f t="shared" si="0"/>
        <v>6700000</v>
      </c>
      <c r="D13" s="1245">
        <f t="shared" si="1"/>
        <v>6700000</v>
      </c>
      <c r="E13" s="1243"/>
      <c r="F13" s="1243"/>
      <c r="G13" s="1243"/>
      <c r="H13" s="1243"/>
      <c r="I13" s="1243">
        <v>6700000</v>
      </c>
      <c r="J13" s="1243"/>
      <c r="K13" s="1708"/>
      <c r="L13" s="1243"/>
      <c r="M13" s="1243"/>
      <c r="N13" s="1243"/>
      <c r="O13" s="1708"/>
    </row>
    <row r="14" spans="1:24" s="1239" customFormat="1" ht="12" customHeight="1">
      <c r="A14" s="1244" t="s">
        <v>705</v>
      </c>
      <c r="B14" s="1156" t="s">
        <v>972</v>
      </c>
      <c r="C14" s="1355">
        <f t="shared" si="0"/>
        <v>3687300</v>
      </c>
      <c r="D14" s="1245">
        <f t="shared" si="1"/>
        <v>3687300</v>
      </c>
      <c r="E14" s="1243">
        <v>27000</v>
      </c>
      <c r="F14" s="1243"/>
      <c r="G14" s="1243"/>
      <c r="H14" s="1243"/>
      <c r="I14" s="1243">
        <v>3660300</v>
      </c>
      <c r="J14" s="1243"/>
      <c r="K14" s="1708"/>
      <c r="L14" s="1243"/>
      <c r="M14" s="1243"/>
      <c r="N14" s="1243"/>
      <c r="O14" s="1708"/>
    </row>
    <row r="15" spans="1:24" s="1239" customFormat="1" ht="12" customHeight="1">
      <c r="A15" s="1244" t="s">
        <v>859</v>
      </c>
      <c r="B15" s="1175" t="s">
        <v>973</v>
      </c>
      <c r="C15" s="1355">
        <f t="shared" si="0"/>
        <v>0</v>
      </c>
      <c r="D15" s="1245">
        <f t="shared" si="1"/>
        <v>0</v>
      </c>
      <c r="E15" s="1243"/>
      <c r="F15" s="1243"/>
      <c r="G15" s="1243"/>
      <c r="H15" s="1243"/>
      <c r="I15" s="1243"/>
      <c r="J15" s="1243"/>
      <c r="K15" s="1708"/>
      <c r="L15" s="1243"/>
      <c r="M15" s="1243"/>
      <c r="N15" s="1243"/>
      <c r="O15" s="1708"/>
    </row>
    <row r="16" spans="1:24" s="1239" customFormat="1" ht="12" customHeight="1">
      <c r="A16" s="1244" t="s">
        <v>861</v>
      </c>
      <c r="B16" s="1156" t="s">
        <v>767</v>
      </c>
      <c r="C16" s="1355">
        <f t="shared" si="0"/>
        <v>0</v>
      </c>
      <c r="D16" s="1245">
        <f t="shared" si="1"/>
        <v>0</v>
      </c>
      <c r="E16" s="1243"/>
      <c r="F16" s="1243"/>
      <c r="G16" s="1243"/>
      <c r="H16" s="1243"/>
      <c r="I16" s="1243"/>
      <c r="J16" s="1243"/>
      <c r="K16" s="1708"/>
      <c r="L16" s="1243"/>
      <c r="M16" s="1243"/>
      <c r="N16" s="1243"/>
      <c r="O16" s="1708"/>
    </row>
    <row r="17" spans="1:15" s="1247" customFormat="1" ht="12" customHeight="1">
      <c r="A17" s="1244" t="s">
        <v>863</v>
      </c>
      <c r="B17" s="1156" t="s">
        <v>769</v>
      </c>
      <c r="C17" s="1355">
        <f t="shared" si="0"/>
        <v>0</v>
      </c>
      <c r="D17" s="1245">
        <f t="shared" si="1"/>
        <v>0</v>
      </c>
      <c r="E17" s="1243"/>
      <c r="F17" s="1243"/>
      <c r="G17" s="1243"/>
      <c r="H17" s="1243"/>
      <c r="I17" s="1243"/>
      <c r="J17" s="1243"/>
      <c r="K17" s="1708"/>
      <c r="L17" s="1243"/>
      <c r="M17" s="1243"/>
      <c r="N17" s="1243"/>
      <c r="O17" s="1708"/>
    </row>
    <row r="18" spans="1:15" s="1247" customFormat="1" ht="12" customHeight="1" thickBot="1">
      <c r="A18" s="1244" t="s">
        <v>865</v>
      </c>
      <c r="B18" s="1175" t="s">
        <v>771</v>
      </c>
      <c r="C18" s="1355">
        <f t="shared" si="0"/>
        <v>10000</v>
      </c>
      <c r="D18" s="1725">
        <f t="shared" si="1"/>
        <v>10000</v>
      </c>
      <c r="E18" s="1243">
        <v>10000</v>
      </c>
      <c r="F18" s="1243"/>
      <c r="G18" s="1243"/>
      <c r="H18" s="1243"/>
      <c r="I18" s="1243"/>
      <c r="J18" s="1243"/>
      <c r="K18" s="1708"/>
      <c r="L18" s="1243"/>
      <c r="M18" s="1243"/>
      <c r="N18" s="1243"/>
      <c r="O18" s="1708"/>
    </row>
    <row r="19" spans="1:15" s="1239" customFormat="1" ht="12" customHeight="1" thickBot="1">
      <c r="A19" s="1094" t="s">
        <v>707</v>
      </c>
      <c r="B19" s="1236" t="s">
        <v>974</v>
      </c>
      <c r="C19" s="1331">
        <f>SUM(C20:C22)</f>
        <v>0</v>
      </c>
      <c r="D19" s="1237">
        <f>SUM(D20:D22)</f>
        <v>956104</v>
      </c>
      <c r="E19" s="1243"/>
      <c r="F19" s="1243"/>
      <c r="G19" s="1243"/>
      <c r="H19" s="1243"/>
      <c r="I19" s="1243"/>
      <c r="J19" s="1243"/>
      <c r="K19" s="1708"/>
      <c r="L19" s="1243"/>
      <c r="M19" s="1243"/>
      <c r="N19" s="1243"/>
      <c r="O19" s="1708"/>
    </row>
    <row r="20" spans="1:15" s="1247" customFormat="1" ht="12" customHeight="1">
      <c r="A20" s="1244" t="s">
        <v>709</v>
      </c>
      <c r="B20" s="1173" t="s">
        <v>710</v>
      </c>
      <c r="C20" s="1355">
        <f t="shared" ref="C20:C23" si="2">SUM(E20:K20)</f>
        <v>0</v>
      </c>
      <c r="D20" s="1242">
        <f t="shared" ref="D20:D23" si="3">C20+SUM(L20:O20)</f>
        <v>0</v>
      </c>
      <c r="E20" s="1243"/>
      <c r="F20" s="1243"/>
      <c r="G20" s="1243"/>
      <c r="H20" s="1243"/>
      <c r="I20" s="1243"/>
      <c r="J20" s="1243"/>
      <c r="K20" s="1708"/>
      <c r="L20" s="1243"/>
      <c r="M20" s="1243"/>
      <c r="N20" s="1243"/>
      <c r="O20" s="1708"/>
    </row>
    <row r="21" spans="1:15" s="1247" customFormat="1" ht="12" customHeight="1">
      <c r="A21" s="1244" t="s">
        <v>711</v>
      </c>
      <c r="B21" s="1156" t="s">
        <v>975</v>
      </c>
      <c r="C21" s="1355">
        <f t="shared" si="2"/>
        <v>0</v>
      </c>
      <c r="D21" s="1245">
        <f t="shared" si="3"/>
        <v>0</v>
      </c>
      <c r="E21" s="1243"/>
      <c r="F21" s="1243"/>
      <c r="G21" s="1243"/>
      <c r="H21" s="1243"/>
      <c r="I21" s="1243"/>
      <c r="J21" s="1243"/>
      <c r="K21" s="1708"/>
      <c r="L21" s="1243"/>
      <c r="M21" s="1243"/>
      <c r="N21" s="1243"/>
      <c r="O21" s="1708"/>
    </row>
    <row r="22" spans="1:15" s="1247" customFormat="1" ht="12" customHeight="1">
      <c r="A22" s="1244" t="s">
        <v>713</v>
      </c>
      <c r="B22" s="1156" t="s">
        <v>976</v>
      </c>
      <c r="C22" s="1355">
        <f t="shared" si="2"/>
        <v>0</v>
      </c>
      <c r="D22" s="1245">
        <f t="shared" si="3"/>
        <v>956104</v>
      </c>
      <c r="E22" s="1243"/>
      <c r="F22" s="1243"/>
      <c r="G22" s="1243"/>
      <c r="H22" s="1243"/>
      <c r="I22" s="1243"/>
      <c r="J22" s="1243"/>
      <c r="K22" s="1708"/>
      <c r="L22" s="1243"/>
      <c r="M22" s="1243"/>
      <c r="N22" s="1243"/>
      <c r="O22" s="1708">
        <v>956104</v>
      </c>
    </row>
    <row r="23" spans="1:15" s="1247" customFormat="1" ht="12" customHeight="1" thickBot="1">
      <c r="A23" s="1244" t="s">
        <v>715</v>
      </c>
      <c r="B23" s="1156" t="s">
        <v>977</v>
      </c>
      <c r="C23" s="1355">
        <f t="shared" si="2"/>
        <v>0</v>
      </c>
      <c r="D23" s="1725">
        <f t="shared" si="3"/>
        <v>0</v>
      </c>
      <c r="E23" s="1243"/>
      <c r="F23" s="1243"/>
      <c r="G23" s="1243"/>
      <c r="H23" s="1243"/>
      <c r="I23" s="1243"/>
      <c r="J23" s="1243"/>
      <c r="K23" s="1708"/>
      <c r="L23" s="1243"/>
      <c r="M23" s="1243"/>
      <c r="N23" s="1243"/>
      <c r="O23" s="1708"/>
    </row>
    <row r="24" spans="1:15" s="1247" customFormat="1" ht="12" customHeight="1" thickBot="1">
      <c r="A24" s="1249" t="s">
        <v>721</v>
      </c>
      <c r="B24" s="1172" t="s">
        <v>282</v>
      </c>
      <c r="C24" s="1721"/>
      <c r="D24" s="1250"/>
      <c r="E24" s="1243"/>
      <c r="F24" s="1243"/>
      <c r="G24" s="1243"/>
      <c r="H24" s="1243"/>
      <c r="I24" s="1243"/>
      <c r="J24" s="1243"/>
      <c r="K24" s="1708"/>
      <c r="L24" s="1243"/>
      <c r="M24" s="1243"/>
      <c r="N24" s="1243"/>
      <c r="O24" s="1708"/>
    </row>
    <row r="25" spans="1:15" s="1247" customFormat="1" ht="12" customHeight="1" thickBot="1">
      <c r="A25" s="1249" t="s">
        <v>897</v>
      </c>
      <c r="B25" s="1172" t="s">
        <v>978</v>
      </c>
      <c r="C25" s="1331">
        <f>+C26+C27</f>
        <v>0</v>
      </c>
      <c r="D25" s="1237">
        <f>+D26+D27</f>
        <v>0</v>
      </c>
      <c r="E25" s="1243"/>
      <c r="F25" s="1243"/>
      <c r="G25" s="1243"/>
      <c r="H25" s="1243"/>
      <c r="I25" s="1243"/>
      <c r="J25" s="1243"/>
      <c r="K25" s="1708"/>
      <c r="L25" s="1243"/>
      <c r="M25" s="1243"/>
      <c r="N25" s="1243"/>
      <c r="O25" s="1708"/>
    </row>
    <row r="26" spans="1:15" s="1247" customFormat="1" ht="12" customHeight="1">
      <c r="A26" s="1251" t="s">
        <v>737</v>
      </c>
      <c r="B26" s="1252" t="s">
        <v>975</v>
      </c>
      <c r="C26" s="1355">
        <f t="shared" ref="C26:C28" si="4">SUM(E26:K26)</f>
        <v>0</v>
      </c>
      <c r="D26" s="1242">
        <f t="shared" ref="D26:D28" si="5">C26+SUM(L26:O26)</f>
        <v>0</v>
      </c>
      <c r="E26" s="1243"/>
      <c r="F26" s="1243"/>
      <c r="G26" s="1243"/>
      <c r="H26" s="1243"/>
      <c r="I26" s="1243"/>
      <c r="J26" s="1243"/>
      <c r="K26" s="1708"/>
      <c r="L26" s="1243"/>
      <c r="M26" s="1243"/>
      <c r="N26" s="1243"/>
      <c r="O26" s="1708"/>
    </row>
    <row r="27" spans="1:15" s="1247" customFormat="1" ht="12" customHeight="1">
      <c r="A27" s="1251" t="s">
        <v>749</v>
      </c>
      <c r="B27" s="1253" t="s">
        <v>979</v>
      </c>
      <c r="C27" s="1355">
        <f t="shared" si="4"/>
        <v>0</v>
      </c>
      <c r="D27" s="1245">
        <f t="shared" si="5"/>
        <v>0</v>
      </c>
      <c r="E27" s="1243"/>
      <c r="F27" s="1243"/>
      <c r="G27" s="1243"/>
      <c r="H27" s="1243"/>
      <c r="I27" s="1243"/>
      <c r="J27" s="1243"/>
      <c r="K27" s="1708"/>
      <c r="L27" s="1243"/>
      <c r="M27" s="1243"/>
      <c r="N27" s="1243"/>
      <c r="O27" s="1708"/>
    </row>
    <row r="28" spans="1:15" s="1247" customFormat="1" ht="12" customHeight="1" thickBot="1">
      <c r="A28" s="1244" t="s">
        <v>980</v>
      </c>
      <c r="B28" s="1255" t="s">
        <v>981</v>
      </c>
      <c r="C28" s="1355">
        <f t="shared" si="4"/>
        <v>0</v>
      </c>
      <c r="D28" s="1725">
        <f t="shared" si="5"/>
        <v>0</v>
      </c>
      <c r="E28" s="1243"/>
      <c r="F28" s="1243"/>
      <c r="G28" s="1243"/>
      <c r="H28" s="1243"/>
      <c r="I28" s="1243"/>
      <c r="J28" s="1243"/>
      <c r="K28" s="1708"/>
      <c r="L28" s="1243"/>
      <c r="M28" s="1243"/>
      <c r="N28" s="1243"/>
      <c r="O28" s="1708"/>
    </row>
    <row r="29" spans="1:15" s="1247" customFormat="1" ht="12" customHeight="1" thickBot="1">
      <c r="A29" s="1249" t="s">
        <v>750</v>
      </c>
      <c r="B29" s="1172" t="s">
        <v>982</v>
      </c>
      <c r="C29" s="1331">
        <f>+C30+C31+C32</f>
        <v>0</v>
      </c>
      <c r="D29" s="1237">
        <f>+D30+D31+D32</f>
        <v>0</v>
      </c>
      <c r="E29" s="1243"/>
      <c r="F29" s="1243"/>
      <c r="G29" s="1243"/>
      <c r="H29" s="1243"/>
      <c r="I29" s="1243"/>
      <c r="J29" s="1243"/>
      <c r="K29" s="1708"/>
      <c r="L29" s="1243"/>
      <c r="M29" s="1243"/>
      <c r="N29" s="1243"/>
      <c r="O29" s="1708"/>
    </row>
    <row r="30" spans="1:15" s="1247" customFormat="1" ht="12" customHeight="1">
      <c r="A30" s="1251" t="s">
        <v>752</v>
      </c>
      <c r="B30" s="1252" t="s">
        <v>775</v>
      </c>
      <c r="C30" s="1355">
        <f t="shared" ref="C30:C32" si="6">SUM(E30:K30)</f>
        <v>0</v>
      </c>
      <c r="D30" s="1242">
        <f t="shared" ref="D30:D32" si="7">C30+SUM(L30:O30)</f>
        <v>0</v>
      </c>
      <c r="E30" s="1243"/>
      <c r="F30" s="1243"/>
      <c r="G30" s="1243"/>
      <c r="H30" s="1243"/>
      <c r="I30" s="1243"/>
      <c r="J30" s="1243"/>
      <c r="K30" s="1708"/>
      <c r="L30" s="1243"/>
      <c r="M30" s="1243"/>
      <c r="N30" s="1243"/>
      <c r="O30" s="1708"/>
    </row>
    <row r="31" spans="1:15" s="1247" customFormat="1" ht="12" customHeight="1">
      <c r="A31" s="1251" t="s">
        <v>754</v>
      </c>
      <c r="B31" s="1253" t="s">
        <v>655</v>
      </c>
      <c r="C31" s="1355">
        <f t="shared" si="6"/>
        <v>0</v>
      </c>
      <c r="D31" s="1245">
        <f t="shared" si="7"/>
        <v>0</v>
      </c>
      <c r="E31" s="1243"/>
      <c r="F31" s="1243"/>
      <c r="G31" s="1243"/>
      <c r="H31" s="1243"/>
      <c r="I31" s="1243"/>
      <c r="J31" s="1243"/>
      <c r="K31" s="1708"/>
      <c r="L31" s="1243"/>
      <c r="M31" s="1243"/>
      <c r="N31" s="1243"/>
      <c r="O31" s="1708"/>
    </row>
    <row r="32" spans="1:15" s="1247" customFormat="1" ht="12" customHeight="1" thickBot="1">
      <c r="A32" s="1244" t="s">
        <v>756</v>
      </c>
      <c r="B32" s="1256" t="s">
        <v>778</v>
      </c>
      <c r="C32" s="1355">
        <f t="shared" si="6"/>
        <v>0</v>
      </c>
      <c r="D32" s="1725">
        <f t="shared" si="7"/>
        <v>0</v>
      </c>
      <c r="E32" s="1243"/>
      <c r="F32" s="1243"/>
      <c r="G32" s="1243"/>
      <c r="H32" s="1243"/>
      <c r="I32" s="1243"/>
      <c r="J32" s="1243"/>
      <c r="K32" s="1708"/>
      <c r="L32" s="1243"/>
      <c r="M32" s="1243"/>
      <c r="N32" s="1243"/>
      <c r="O32" s="1708"/>
    </row>
    <row r="33" spans="1:15" s="1239" customFormat="1" ht="12" customHeight="1" thickBot="1">
      <c r="A33" s="1249" t="s">
        <v>772</v>
      </c>
      <c r="B33" s="1172" t="s">
        <v>983</v>
      </c>
      <c r="C33" s="1721"/>
      <c r="D33" s="1250"/>
      <c r="E33" s="1243"/>
      <c r="F33" s="1243"/>
      <c r="G33" s="1243"/>
      <c r="H33" s="1243"/>
      <c r="I33" s="1243"/>
      <c r="J33" s="1243"/>
      <c r="K33" s="1708"/>
      <c r="L33" s="1243"/>
      <c r="M33" s="1243"/>
      <c r="N33" s="1243"/>
      <c r="O33" s="1708"/>
    </row>
    <row r="34" spans="1:15" s="1239" customFormat="1" ht="12" customHeight="1" thickBot="1">
      <c r="A34" s="1249" t="s">
        <v>908</v>
      </c>
      <c r="B34" s="1172" t="s">
        <v>984</v>
      </c>
      <c r="C34" s="1722"/>
      <c r="D34" s="1250"/>
      <c r="E34" s="1243"/>
      <c r="F34" s="1243"/>
      <c r="G34" s="1243"/>
      <c r="H34" s="1243"/>
      <c r="I34" s="1243"/>
      <c r="J34" s="1243"/>
      <c r="K34" s="1708"/>
      <c r="L34" s="1243"/>
      <c r="M34" s="1243"/>
      <c r="N34" s="1243"/>
      <c r="O34" s="1708"/>
    </row>
    <row r="35" spans="1:15" s="1239" customFormat="1" ht="12" customHeight="1" thickBot="1">
      <c r="A35" s="1094" t="s">
        <v>793</v>
      </c>
      <c r="B35" s="1172" t="s">
        <v>985</v>
      </c>
      <c r="C35" s="1723">
        <f>+C8+C19+C24+C25+C29+C33+C34</f>
        <v>17354000</v>
      </c>
      <c r="D35" s="1237">
        <f>+D8+D19+D24+D25+D29+D33+D34</f>
        <v>18310104</v>
      </c>
      <c r="E35" s="1243"/>
      <c r="F35" s="1243"/>
      <c r="G35" s="1243"/>
      <c r="H35" s="1243"/>
      <c r="I35" s="1243"/>
      <c r="J35" s="1243"/>
      <c r="K35" s="1708"/>
      <c r="L35" s="1243"/>
      <c r="M35" s="1243"/>
      <c r="N35" s="1243"/>
      <c r="O35" s="1708"/>
    </row>
    <row r="36" spans="1:15" s="1239" customFormat="1" ht="12" customHeight="1" thickBot="1">
      <c r="A36" s="1259" t="s">
        <v>803</v>
      </c>
      <c r="B36" s="1172" t="s">
        <v>986</v>
      </c>
      <c r="C36" s="1723">
        <f>+C37+C38+C39</f>
        <v>68522545</v>
      </c>
      <c r="D36" s="1237">
        <f>+D37+D38+D39</f>
        <v>70514347</v>
      </c>
      <c r="E36" s="1243"/>
      <c r="F36" s="1243"/>
      <c r="G36" s="1243"/>
      <c r="H36" s="1243"/>
      <c r="I36" s="1243"/>
      <c r="J36" s="1243"/>
      <c r="K36" s="1708"/>
      <c r="L36" s="1243"/>
      <c r="M36" s="1243"/>
      <c r="N36" s="1243"/>
      <c r="O36" s="1708"/>
    </row>
    <row r="37" spans="1:15" s="1239" customFormat="1" ht="12" customHeight="1">
      <c r="A37" s="1251" t="s">
        <v>987</v>
      </c>
      <c r="B37" s="1252" t="s">
        <v>988</v>
      </c>
      <c r="C37" s="1355">
        <f t="shared" ref="C37:C39" si="8">SUM(E37:K37)</f>
        <v>0</v>
      </c>
      <c r="D37" s="1242">
        <f t="shared" ref="D37:D39" si="9">C37+SUM(L37:O37)</f>
        <v>1991802</v>
      </c>
      <c r="E37" s="1243"/>
      <c r="F37" s="1243"/>
      <c r="G37" s="1243"/>
      <c r="H37" s="1243"/>
      <c r="I37" s="1243"/>
      <c r="J37" s="1243"/>
      <c r="K37" s="1708"/>
      <c r="L37" s="1243"/>
      <c r="M37" s="1243">
        <v>1991802</v>
      </c>
      <c r="N37" s="1243"/>
      <c r="O37" s="1708"/>
    </row>
    <row r="38" spans="1:15" s="1239" customFormat="1" ht="12" customHeight="1">
      <c r="A38" s="1251" t="s">
        <v>989</v>
      </c>
      <c r="B38" s="1253" t="s">
        <v>990</v>
      </c>
      <c r="C38" s="1355">
        <f t="shared" si="8"/>
        <v>0</v>
      </c>
      <c r="D38" s="1245">
        <f t="shared" si="9"/>
        <v>0</v>
      </c>
      <c r="E38" s="1243"/>
      <c r="F38" s="1243"/>
      <c r="G38" s="1243"/>
      <c r="H38" s="1243"/>
      <c r="I38" s="1243"/>
      <c r="J38" s="1243"/>
      <c r="K38" s="1708"/>
      <c r="L38" s="1243"/>
      <c r="M38" s="1243"/>
      <c r="N38" s="1243"/>
      <c r="O38" s="1708"/>
    </row>
    <row r="39" spans="1:15" s="1247" customFormat="1" ht="12" customHeight="1" thickBot="1">
      <c r="A39" s="1244" t="s">
        <v>991</v>
      </c>
      <c r="B39" s="1256" t="s">
        <v>992</v>
      </c>
      <c r="C39" s="1355">
        <f t="shared" si="8"/>
        <v>68522545</v>
      </c>
      <c r="D39" s="1725">
        <f t="shared" si="9"/>
        <v>68522545</v>
      </c>
      <c r="E39" s="1243"/>
      <c r="F39" s="1243"/>
      <c r="G39" s="1243"/>
      <c r="H39" s="1243">
        <v>68522545</v>
      </c>
      <c r="I39" s="1243"/>
      <c r="J39" s="1243"/>
      <c r="K39" s="1708"/>
      <c r="L39" s="1243"/>
      <c r="M39" s="1243"/>
      <c r="N39" s="1243"/>
      <c r="O39" s="1708"/>
    </row>
    <row r="40" spans="1:15" s="1247" customFormat="1" ht="15" customHeight="1" thickBot="1">
      <c r="A40" s="1259" t="s">
        <v>920</v>
      </c>
      <c r="B40" s="1260" t="s">
        <v>993</v>
      </c>
      <c r="C40" s="1724">
        <f>+C35+C36</f>
        <v>85876545</v>
      </c>
      <c r="D40" s="1267">
        <f>+D35+D36</f>
        <v>88824451</v>
      </c>
      <c r="E40" s="1243">
        <f>SUM(E8:E39)</f>
        <v>137000</v>
      </c>
      <c r="F40" s="1243">
        <f t="shared" ref="F40:K40" si="10">SUM(F8:F39)</f>
        <v>0</v>
      </c>
      <c r="G40" s="1243">
        <f t="shared" si="10"/>
        <v>0</v>
      </c>
      <c r="H40" s="1243">
        <f t="shared" si="10"/>
        <v>68522545</v>
      </c>
      <c r="I40" s="1243">
        <f t="shared" si="10"/>
        <v>17217000</v>
      </c>
      <c r="J40" s="1243">
        <f t="shared" si="10"/>
        <v>0</v>
      </c>
      <c r="K40" s="1708">
        <f t="shared" si="10"/>
        <v>0</v>
      </c>
      <c r="L40" s="1243"/>
      <c r="M40" s="1243"/>
      <c r="N40" s="1243"/>
      <c r="O40" s="1708"/>
    </row>
    <row r="41" spans="1:15" s="1247" customFormat="1" ht="15" customHeight="1">
      <c r="A41" s="1141"/>
      <c r="B41" s="1142"/>
      <c r="C41" s="1143"/>
      <c r="D41" s="1143"/>
      <c r="E41" s="1243"/>
      <c r="F41" s="1243"/>
      <c r="G41" s="1243"/>
      <c r="H41" s="1243"/>
      <c r="I41" s="1243"/>
      <c r="J41" s="1243"/>
      <c r="K41" s="1708"/>
      <c r="L41" s="1243"/>
      <c r="M41" s="1243"/>
      <c r="N41" s="1243"/>
      <c r="O41" s="1708"/>
    </row>
    <row r="42" spans="1:15" ht="13.5" thickBot="1">
      <c r="A42" s="1262"/>
      <c r="B42" s="1145"/>
      <c r="C42" s="1146"/>
      <c r="D42" s="1146"/>
      <c r="E42" s="1243"/>
      <c r="F42" s="1243"/>
      <c r="G42" s="1243"/>
      <c r="H42" s="1243"/>
      <c r="I42" s="1243"/>
      <c r="J42" s="1243"/>
      <c r="K42" s="1708"/>
      <c r="L42" s="1243"/>
      <c r="M42" s="1243"/>
      <c r="N42" s="1243"/>
      <c r="O42" s="1708"/>
    </row>
    <row r="43" spans="1:15" s="1235" customFormat="1" ht="16.5" customHeight="1" thickBot="1">
      <c r="A43" s="1827" t="s">
        <v>853</v>
      </c>
      <c r="B43" s="1828"/>
      <c r="C43" s="1828"/>
      <c r="D43" s="1829"/>
      <c r="E43" s="1263"/>
      <c r="F43" s="1263"/>
      <c r="G43" s="1263"/>
      <c r="H43" s="1263"/>
      <c r="I43" s="1263"/>
      <c r="J43" s="1263"/>
      <c r="K43" s="1709"/>
      <c r="L43" s="1712"/>
      <c r="M43" s="1712"/>
      <c r="N43" s="1712"/>
      <c r="O43" s="1716"/>
    </row>
    <row r="44" spans="1:15" s="1264" customFormat="1" ht="12" customHeight="1" thickBot="1">
      <c r="A44" s="1249" t="s">
        <v>693</v>
      </c>
      <c r="B44" s="1172" t="s">
        <v>994</v>
      </c>
      <c r="C44" s="1331">
        <f>SUM(C45:C49)</f>
        <v>85118355</v>
      </c>
      <c r="D44" s="1237">
        <f>SUM(D45:D49)</f>
        <v>86074459</v>
      </c>
      <c r="E44" s="1243"/>
      <c r="F44" s="1243"/>
      <c r="G44" s="1243"/>
      <c r="H44" s="1243"/>
      <c r="I44" s="1243"/>
      <c r="J44" s="1243"/>
      <c r="K44" s="1708"/>
      <c r="L44" s="1243"/>
      <c r="M44" s="1243"/>
      <c r="N44" s="1243"/>
      <c r="O44" s="1708"/>
    </row>
    <row r="45" spans="1:15" ht="12" customHeight="1">
      <c r="A45" s="1244" t="s">
        <v>695</v>
      </c>
      <c r="B45" s="1173" t="s">
        <v>855</v>
      </c>
      <c r="C45" s="1355">
        <f t="shared" ref="C45:C49" si="11">SUM(E45:K45)</f>
        <v>42768381</v>
      </c>
      <c r="D45" s="1242">
        <f t="shared" ref="D45:D49" si="12">C45+SUM(L45:O45)</f>
        <v>43457281</v>
      </c>
      <c r="E45" s="1243">
        <v>27137829</v>
      </c>
      <c r="F45" s="1243">
        <v>4305538</v>
      </c>
      <c r="G45" s="1243"/>
      <c r="H45" s="1243"/>
      <c r="I45" s="1243">
        <v>11325014</v>
      </c>
      <c r="J45" s="1243"/>
      <c r="K45" s="1708"/>
      <c r="L45" s="1243"/>
      <c r="M45" s="1243"/>
      <c r="N45" s="1243"/>
      <c r="O45" s="1708">
        <f>355000+315000+18900</f>
        <v>688900</v>
      </c>
    </row>
    <row r="46" spans="1:15" ht="12" customHeight="1">
      <c r="A46" s="1244" t="s">
        <v>697</v>
      </c>
      <c r="B46" s="1156" t="s">
        <v>30</v>
      </c>
      <c r="C46" s="1355">
        <f t="shared" si="11"/>
        <v>8521394</v>
      </c>
      <c r="D46" s="1245">
        <f t="shared" si="12"/>
        <v>8661815</v>
      </c>
      <c r="E46" s="1243">
        <v>5449178</v>
      </c>
      <c r="F46" s="1243">
        <v>797597</v>
      </c>
      <c r="G46" s="1243"/>
      <c r="H46" s="1243"/>
      <c r="I46" s="1243">
        <v>2274619</v>
      </c>
      <c r="J46" s="1243"/>
      <c r="K46" s="1708"/>
      <c r="L46" s="1243"/>
      <c r="M46" s="1243"/>
      <c r="N46" s="1243"/>
      <c r="O46" s="1708">
        <f>130650+4800+4971</f>
        <v>140421</v>
      </c>
    </row>
    <row r="47" spans="1:15" ht="12" customHeight="1">
      <c r="A47" s="1244" t="s">
        <v>699</v>
      </c>
      <c r="B47" s="1156" t="s">
        <v>856</v>
      </c>
      <c r="C47" s="1355">
        <f t="shared" si="11"/>
        <v>33708580</v>
      </c>
      <c r="D47" s="1245">
        <f t="shared" si="12"/>
        <v>33835363</v>
      </c>
      <c r="E47" s="1243">
        <v>9714660</v>
      </c>
      <c r="F47" s="1243">
        <v>582450</v>
      </c>
      <c r="G47" s="1243"/>
      <c r="H47" s="1243"/>
      <c r="I47" s="1243">
        <v>23411470</v>
      </c>
      <c r="J47" s="1243"/>
      <c r="K47" s="1708"/>
      <c r="L47" s="1243"/>
      <c r="M47" s="1243"/>
      <c r="N47" s="1243"/>
      <c r="O47" s="1708">
        <f>28346+23622+19436+31000+24379</f>
        <v>126783</v>
      </c>
    </row>
    <row r="48" spans="1:15" ht="12" customHeight="1">
      <c r="A48" s="1244" t="s">
        <v>701</v>
      </c>
      <c r="B48" s="1156" t="s">
        <v>244</v>
      </c>
      <c r="C48" s="1355">
        <f t="shared" si="11"/>
        <v>120000</v>
      </c>
      <c r="D48" s="1245">
        <f t="shared" si="12"/>
        <v>120000</v>
      </c>
      <c r="E48" s="1243"/>
      <c r="F48" s="1243"/>
      <c r="G48" s="1243"/>
      <c r="H48" s="1243"/>
      <c r="I48" s="1243"/>
      <c r="J48" s="1243">
        <v>120000</v>
      </c>
      <c r="K48" s="1708"/>
      <c r="L48" s="1243"/>
      <c r="M48" s="1243"/>
      <c r="N48" s="1243"/>
      <c r="O48" s="1708"/>
    </row>
    <row r="49" spans="1:15" ht="12" customHeight="1" thickBot="1">
      <c r="A49" s="1244" t="s">
        <v>703</v>
      </c>
      <c r="B49" s="1156" t="s">
        <v>63</v>
      </c>
      <c r="C49" s="1355">
        <f t="shared" si="11"/>
        <v>0</v>
      </c>
      <c r="D49" s="1725">
        <f t="shared" si="12"/>
        <v>0</v>
      </c>
      <c r="E49" s="1243"/>
      <c r="F49" s="1243"/>
      <c r="G49" s="1243"/>
      <c r="H49" s="1243"/>
      <c r="I49" s="1243"/>
      <c r="J49" s="1243"/>
      <c r="K49" s="1708"/>
      <c r="L49" s="1243"/>
      <c r="M49" s="1243"/>
      <c r="N49" s="1243"/>
      <c r="O49" s="1708"/>
    </row>
    <row r="50" spans="1:15" ht="12" customHeight="1" thickBot="1">
      <c r="A50" s="1249" t="s">
        <v>707</v>
      </c>
      <c r="B50" s="1172" t="s">
        <v>995</v>
      </c>
      <c r="C50" s="1331">
        <f>SUM(C51:C53)</f>
        <v>758190</v>
      </c>
      <c r="D50" s="1237">
        <f>SUM(D51:D53)</f>
        <v>2749992</v>
      </c>
      <c r="E50" s="1243"/>
      <c r="F50" s="1243"/>
      <c r="G50" s="1243"/>
      <c r="H50" s="1243"/>
      <c r="I50" s="1243"/>
      <c r="J50" s="1243"/>
      <c r="K50" s="1708"/>
      <c r="L50" s="1243"/>
      <c r="M50" s="1243"/>
      <c r="N50" s="1243"/>
      <c r="O50" s="1708"/>
    </row>
    <row r="51" spans="1:15" s="1264" customFormat="1" ht="12" customHeight="1">
      <c r="A51" s="1244" t="s">
        <v>709</v>
      </c>
      <c r="B51" s="1173" t="s">
        <v>72</v>
      </c>
      <c r="C51" s="1355">
        <f t="shared" ref="C51:C54" si="13">SUM(E51:K51)</f>
        <v>758190</v>
      </c>
      <c r="D51" s="1242">
        <f t="shared" ref="D51:D54" si="14">C51+SUM(L51:O51)</f>
        <v>2749992</v>
      </c>
      <c r="E51" s="1243"/>
      <c r="F51" s="1243"/>
      <c r="G51" s="1243"/>
      <c r="H51" s="1243"/>
      <c r="I51" s="1243">
        <v>758190</v>
      </c>
      <c r="J51" s="1243"/>
      <c r="K51" s="1708"/>
      <c r="L51" s="1243">
        <v>635000</v>
      </c>
      <c r="M51" s="1243"/>
      <c r="N51" s="1243">
        <v>1356802</v>
      </c>
      <c r="O51" s="1708"/>
    </row>
    <row r="52" spans="1:15" ht="12" customHeight="1">
      <c r="A52" s="1244" t="s">
        <v>711</v>
      </c>
      <c r="B52" s="1156" t="s">
        <v>172</v>
      </c>
      <c r="C52" s="1355">
        <f t="shared" si="13"/>
        <v>0</v>
      </c>
      <c r="D52" s="1245">
        <f t="shared" si="14"/>
        <v>0</v>
      </c>
      <c r="E52" s="1243"/>
      <c r="F52" s="1243"/>
      <c r="G52" s="1243"/>
      <c r="H52" s="1243"/>
      <c r="I52" s="1243"/>
      <c r="J52" s="1243"/>
      <c r="K52" s="1708"/>
      <c r="L52" s="1243"/>
      <c r="M52" s="1243"/>
      <c r="N52" s="1243"/>
      <c r="O52" s="1708"/>
    </row>
    <row r="53" spans="1:15" ht="12" customHeight="1">
      <c r="A53" s="1244" t="s">
        <v>713</v>
      </c>
      <c r="B53" s="1156" t="s">
        <v>996</v>
      </c>
      <c r="C53" s="1355">
        <f t="shared" si="13"/>
        <v>0</v>
      </c>
      <c r="D53" s="1245">
        <f t="shared" si="14"/>
        <v>0</v>
      </c>
      <c r="E53" s="1243"/>
      <c r="F53" s="1243"/>
      <c r="G53" s="1243"/>
      <c r="H53" s="1243"/>
      <c r="I53" s="1243"/>
      <c r="J53" s="1243"/>
      <c r="K53" s="1708"/>
      <c r="L53" s="1243"/>
      <c r="M53" s="1243"/>
      <c r="N53" s="1243"/>
      <c r="O53" s="1708"/>
    </row>
    <row r="54" spans="1:15" ht="12" customHeight="1" thickBot="1">
      <c r="A54" s="1244" t="s">
        <v>715</v>
      </c>
      <c r="B54" s="1156" t="s">
        <v>997</v>
      </c>
      <c r="C54" s="1355">
        <f t="shared" si="13"/>
        <v>0</v>
      </c>
      <c r="D54" s="1725">
        <f t="shared" si="14"/>
        <v>0</v>
      </c>
      <c r="E54" s="1243"/>
      <c r="F54" s="1243"/>
      <c r="G54" s="1243"/>
      <c r="H54" s="1243"/>
      <c r="I54" s="1243"/>
      <c r="J54" s="1243"/>
      <c r="K54" s="1708"/>
      <c r="L54" s="1243"/>
      <c r="M54" s="1243"/>
      <c r="N54" s="1243"/>
      <c r="O54" s="1708"/>
    </row>
    <row r="55" spans="1:15" ht="15" customHeight="1" thickBot="1">
      <c r="A55" s="1249" t="s">
        <v>721</v>
      </c>
      <c r="B55" s="1266" t="s">
        <v>998</v>
      </c>
      <c r="C55" s="1726">
        <f>+C44+C50</f>
        <v>85876545</v>
      </c>
      <c r="D55" s="1267">
        <f>+D44+D50</f>
        <v>88824451</v>
      </c>
      <c r="E55" s="1243">
        <f>SUM(E45:E54)</f>
        <v>42301667</v>
      </c>
      <c r="F55" s="1243">
        <f t="shared" ref="F55:K55" si="15">SUM(F45:F54)</f>
        <v>5685585</v>
      </c>
      <c r="G55" s="1243">
        <f t="shared" si="15"/>
        <v>0</v>
      </c>
      <c r="H55" s="1243">
        <f t="shared" si="15"/>
        <v>0</v>
      </c>
      <c r="I55" s="1243">
        <f t="shared" si="15"/>
        <v>37769293</v>
      </c>
      <c r="J55" s="1243">
        <f t="shared" si="15"/>
        <v>120000</v>
      </c>
      <c r="K55" s="1708">
        <f t="shared" si="15"/>
        <v>0</v>
      </c>
      <c r="L55" s="1243"/>
      <c r="M55" s="1243"/>
      <c r="N55" s="1243"/>
      <c r="O55" s="1708"/>
    </row>
    <row r="56" spans="1:15" ht="13.5" thickBot="1">
      <c r="C56" s="1270"/>
      <c r="D56" s="1270"/>
      <c r="E56" s="1243"/>
      <c r="F56" s="1243"/>
      <c r="G56" s="1243"/>
      <c r="H56" s="1243"/>
      <c r="I56" s="1243"/>
      <c r="J56" s="1243"/>
      <c r="K56" s="1708"/>
      <c r="L56" s="1243"/>
      <c r="M56" s="1243"/>
      <c r="N56" s="1243"/>
      <c r="O56" s="1708"/>
    </row>
    <row r="57" spans="1:15" ht="15" customHeight="1" thickBot="1">
      <c r="A57" s="1220" t="s">
        <v>964</v>
      </c>
      <c r="B57" s="1221"/>
      <c r="C57" s="1222">
        <v>11</v>
      </c>
      <c r="D57" s="1223">
        <v>11</v>
      </c>
      <c r="E57" s="1243"/>
      <c r="F57" s="1243"/>
      <c r="G57" s="1243"/>
      <c r="H57" s="1243"/>
      <c r="I57" s="1243"/>
      <c r="J57" s="1243"/>
      <c r="K57" s="1708"/>
      <c r="L57" s="1243"/>
      <c r="M57" s="1243"/>
      <c r="N57" s="1243"/>
      <c r="O57" s="1708"/>
    </row>
    <row r="58" spans="1:15" ht="14.25" customHeight="1" thickBot="1">
      <c r="A58" s="1220" t="s">
        <v>965</v>
      </c>
      <c r="B58" s="1221"/>
      <c r="C58" s="1222">
        <v>0</v>
      </c>
      <c r="D58" s="1223">
        <v>0</v>
      </c>
      <c r="E58" s="1243"/>
      <c r="F58" s="1243"/>
      <c r="G58" s="1243"/>
      <c r="H58" s="1243"/>
      <c r="I58" s="1243"/>
      <c r="J58" s="1243"/>
      <c r="K58" s="1708"/>
      <c r="L58" s="1243"/>
      <c r="M58" s="1243"/>
      <c r="N58" s="1243"/>
      <c r="O58" s="1710"/>
    </row>
    <row r="59" spans="1:15" ht="12.75" customHeight="1">
      <c r="A59" s="1867"/>
      <c r="B59" s="1867"/>
      <c r="C59" s="1867"/>
      <c r="D59" s="1867"/>
      <c r="E59" s="1243"/>
      <c r="F59" s="1243"/>
      <c r="G59" s="1243"/>
      <c r="H59" s="1243"/>
      <c r="I59" s="1243"/>
      <c r="J59" s="1243"/>
      <c r="K59" s="1708"/>
      <c r="L59" s="1243"/>
      <c r="M59" s="1271"/>
      <c r="N59" s="1271"/>
      <c r="O59" s="1710"/>
    </row>
    <row r="60" spans="1:15">
      <c r="E60" s="1243"/>
      <c r="F60" s="1243"/>
      <c r="G60" s="1243"/>
      <c r="H60" s="1243"/>
      <c r="I60" s="1243"/>
      <c r="J60" s="1243"/>
      <c r="K60" s="1708"/>
      <c r="L60" s="1243"/>
      <c r="M60" s="1271"/>
      <c r="N60" s="1271"/>
      <c r="O60" s="1710"/>
    </row>
    <row r="61" spans="1:15">
      <c r="E61" s="1243"/>
      <c r="F61" s="1243"/>
      <c r="G61" s="1243"/>
      <c r="H61" s="1243"/>
      <c r="I61" s="1243"/>
      <c r="J61" s="1243"/>
      <c r="K61" s="1708"/>
      <c r="L61" s="1243"/>
      <c r="M61" s="1271"/>
      <c r="N61" s="1271"/>
      <c r="O61" s="1710"/>
    </row>
    <row r="62" spans="1:15">
      <c r="M62" s="1271"/>
      <c r="N62" s="1271"/>
      <c r="O62" s="1710"/>
    </row>
  </sheetData>
  <sheetProtection selectLockedCells="1" selectUnlockedCells="1"/>
  <mergeCells count="6">
    <mergeCell ref="A59:D59"/>
    <mergeCell ref="A1:D1"/>
    <mergeCell ref="C2:D3"/>
    <mergeCell ref="C4:D4"/>
    <mergeCell ref="A7:D7"/>
    <mergeCell ref="A43:D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C000"/>
  </sheetPr>
  <dimension ref="A1:I61"/>
  <sheetViews>
    <sheetView view="pageBreakPreview" zoomScaleNormal="100" zoomScaleSheetLayoutView="100" workbookViewId="0">
      <selection activeCell="C2" sqref="C2:D3"/>
    </sheetView>
  </sheetViews>
  <sheetFormatPr defaultRowHeight="12.75"/>
  <cols>
    <col min="1" max="1" width="11.85546875" style="1268" customWidth="1"/>
    <col min="2" max="2" width="56.28515625" style="1269" customWidth="1"/>
    <col min="3" max="3" width="14.7109375" style="1269" customWidth="1"/>
    <col min="4" max="4" width="15.140625" style="1269" customWidth="1"/>
    <col min="5" max="5" width="9.140625" style="1271" hidden="1" customWidth="1"/>
    <col min="6" max="6" width="9.140625" style="1710" hidden="1" customWidth="1"/>
    <col min="7" max="7" width="9.140625" style="1271" hidden="1" customWidth="1"/>
    <col min="8" max="8" width="9.140625" style="1717" hidden="1" customWidth="1"/>
    <col min="9" max="14" width="9.140625" style="1233" customWidth="1"/>
    <col min="15" max="251" width="9.140625" style="1233"/>
    <col min="252" max="252" width="11.85546875" style="1233" customWidth="1"/>
    <col min="253" max="253" width="56.28515625" style="1233" customWidth="1"/>
    <col min="254" max="254" width="14.7109375" style="1233" customWidth="1"/>
    <col min="255" max="255" width="15.140625" style="1233" customWidth="1"/>
    <col min="256" max="263" width="9.140625" style="1233" customWidth="1"/>
    <col min="264" max="507" width="9.140625" style="1233"/>
    <col min="508" max="508" width="11.85546875" style="1233" customWidth="1"/>
    <col min="509" max="509" width="56.28515625" style="1233" customWidth="1"/>
    <col min="510" max="510" width="14.7109375" style="1233" customWidth="1"/>
    <col min="511" max="511" width="15.140625" style="1233" customWidth="1"/>
    <col min="512" max="519" width="9.140625" style="1233" customWidth="1"/>
    <col min="520" max="763" width="9.140625" style="1233"/>
    <col min="764" max="764" width="11.85546875" style="1233" customWidth="1"/>
    <col min="765" max="765" width="56.28515625" style="1233" customWidth="1"/>
    <col min="766" max="766" width="14.7109375" style="1233" customWidth="1"/>
    <col min="767" max="767" width="15.140625" style="1233" customWidth="1"/>
    <col min="768" max="775" width="9.140625" style="1233" customWidth="1"/>
    <col min="776" max="1019" width="9.140625" style="1233"/>
    <col min="1020" max="1020" width="11.85546875" style="1233" customWidth="1"/>
    <col min="1021" max="1021" width="56.28515625" style="1233" customWidth="1"/>
    <col min="1022" max="1022" width="14.7109375" style="1233" customWidth="1"/>
    <col min="1023" max="1023" width="15.140625" style="1233" customWidth="1"/>
    <col min="1024" max="1031" width="9.140625" style="1233" customWidth="1"/>
    <col min="1032" max="1275" width="9.140625" style="1233"/>
    <col min="1276" max="1276" width="11.85546875" style="1233" customWidth="1"/>
    <col min="1277" max="1277" width="56.28515625" style="1233" customWidth="1"/>
    <col min="1278" max="1278" width="14.7109375" style="1233" customWidth="1"/>
    <col min="1279" max="1279" width="15.140625" style="1233" customWidth="1"/>
    <col min="1280" max="1287" width="9.140625" style="1233" customWidth="1"/>
    <col min="1288" max="1531" width="9.140625" style="1233"/>
    <col min="1532" max="1532" width="11.85546875" style="1233" customWidth="1"/>
    <col min="1533" max="1533" width="56.28515625" style="1233" customWidth="1"/>
    <col min="1534" max="1534" width="14.7109375" style="1233" customWidth="1"/>
    <col min="1535" max="1535" width="15.140625" style="1233" customWidth="1"/>
    <col min="1536" max="1543" width="9.140625" style="1233" customWidth="1"/>
    <col min="1544" max="1787" width="9.140625" style="1233"/>
    <col min="1788" max="1788" width="11.85546875" style="1233" customWidth="1"/>
    <col min="1789" max="1789" width="56.28515625" style="1233" customWidth="1"/>
    <col min="1790" max="1790" width="14.7109375" style="1233" customWidth="1"/>
    <col min="1791" max="1791" width="15.140625" style="1233" customWidth="1"/>
    <col min="1792" max="1799" width="9.140625" style="1233" customWidth="1"/>
    <col min="1800" max="2043" width="9.140625" style="1233"/>
    <col min="2044" max="2044" width="11.85546875" style="1233" customWidth="1"/>
    <col min="2045" max="2045" width="56.28515625" style="1233" customWidth="1"/>
    <col min="2046" max="2046" width="14.7109375" style="1233" customWidth="1"/>
    <col min="2047" max="2047" width="15.140625" style="1233" customWidth="1"/>
    <col min="2048" max="2055" width="9.140625" style="1233" customWidth="1"/>
    <col min="2056" max="2299" width="9.140625" style="1233"/>
    <col min="2300" max="2300" width="11.85546875" style="1233" customWidth="1"/>
    <col min="2301" max="2301" width="56.28515625" style="1233" customWidth="1"/>
    <col min="2302" max="2302" width="14.7109375" style="1233" customWidth="1"/>
    <col min="2303" max="2303" width="15.140625" style="1233" customWidth="1"/>
    <col min="2304" max="2311" width="9.140625" style="1233" customWidth="1"/>
    <col min="2312" max="2555" width="9.140625" style="1233"/>
    <col min="2556" max="2556" width="11.85546875" style="1233" customWidth="1"/>
    <col min="2557" max="2557" width="56.28515625" style="1233" customWidth="1"/>
    <col min="2558" max="2558" width="14.7109375" style="1233" customWidth="1"/>
    <col min="2559" max="2559" width="15.140625" style="1233" customWidth="1"/>
    <col min="2560" max="2567" width="9.140625" style="1233" customWidth="1"/>
    <col min="2568" max="2811" width="9.140625" style="1233"/>
    <col min="2812" max="2812" width="11.85546875" style="1233" customWidth="1"/>
    <col min="2813" max="2813" width="56.28515625" style="1233" customWidth="1"/>
    <col min="2814" max="2814" width="14.7109375" style="1233" customWidth="1"/>
    <col min="2815" max="2815" width="15.140625" style="1233" customWidth="1"/>
    <col min="2816" max="2823" width="9.140625" style="1233" customWidth="1"/>
    <col min="2824" max="3067" width="9.140625" style="1233"/>
    <col min="3068" max="3068" width="11.85546875" style="1233" customWidth="1"/>
    <col min="3069" max="3069" width="56.28515625" style="1233" customWidth="1"/>
    <col min="3070" max="3070" width="14.7109375" style="1233" customWidth="1"/>
    <col min="3071" max="3071" width="15.140625" style="1233" customWidth="1"/>
    <col min="3072" max="3079" width="9.140625" style="1233" customWidth="1"/>
    <col min="3080" max="3323" width="9.140625" style="1233"/>
    <col min="3324" max="3324" width="11.85546875" style="1233" customWidth="1"/>
    <col min="3325" max="3325" width="56.28515625" style="1233" customWidth="1"/>
    <col min="3326" max="3326" width="14.7109375" style="1233" customWidth="1"/>
    <col min="3327" max="3327" width="15.140625" style="1233" customWidth="1"/>
    <col min="3328" max="3335" width="9.140625" style="1233" customWidth="1"/>
    <col min="3336" max="3579" width="9.140625" style="1233"/>
    <col min="3580" max="3580" width="11.85546875" style="1233" customWidth="1"/>
    <col min="3581" max="3581" width="56.28515625" style="1233" customWidth="1"/>
    <col min="3582" max="3582" width="14.7109375" style="1233" customWidth="1"/>
    <col min="3583" max="3583" width="15.140625" style="1233" customWidth="1"/>
    <col min="3584" max="3591" width="9.140625" style="1233" customWidth="1"/>
    <col min="3592" max="3835" width="9.140625" style="1233"/>
    <col min="3836" max="3836" width="11.85546875" style="1233" customWidth="1"/>
    <col min="3837" max="3837" width="56.28515625" style="1233" customWidth="1"/>
    <col min="3838" max="3838" width="14.7109375" style="1233" customWidth="1"/>
    <col min="3839" max="3839" width="15.140625" style="1233" customWidth="1"/>
    <col min="3840" max="3847" width="9.140625" style="1233" customWidth="1"/>
    <col min="3848" max="4091" width="9.140625" style="1233"/>
    <col min="4092" max="4092" width="11.85546875" style="1233" customWidth="1"/>
    <col min="4093" max="4093" width="56.28515625" style="1233" customWidth="1"/>
    <col min="4094" max="4094" width="14.7109375" style="1233" customWidth="1"/>
    <col min="4095" max="4095" width="15.140625" style="1233" customWidth="1"/>
    <col min="4096" max="4103" width="9.140625" style="1233" customWidth="1"/>
    <col min="4104" max="4347" width="9.140625" style="1233"/>
    <col min="4348" max="4348" width="11.85546875" style="1233" customWidth="1"/>
    <col min="4349" max="4349" width="56.28515625" style="1233" customWidth="1"/>
    <col min="4350" max="4350" width="14.7109375" style="1233" customWidth="1"/>
    <col min="4351" max="4351" width="15.140625" style="1233" customWidth="1"/>
    <col min="4352" max="4359" width="9.140625" style="1233" customWidth="1"/>
    <col min="4360" max="4603" width="9.140625" style="1233"/>
    <col min="4604" max="4604" width="11.85546875" style="1233" customWidth="1"/>
    <col min="4605" max="4605" width="56.28515625" style="1233" customWidth="1"/>
    <col min="4606" max="4606" width="14.7109375" style="1233" customWidth="1"/>
    <col min="4607" max="4607" width="15.140625" style="1233" customWidth="1"/>
    <col min="4608" max="4615" width="9.140625" style="1233" customWidth="1"/>
    <col min="4616" max="4859" width="9.140625" style="1233"/>
    <col min="4860" max="4860" width="11.85546875" style="1233" customWidth="1"/>
    <col min="4861" max="4861" width="56.28515625" style="1233" customWidth="1"/>
    <col min="4862" max="4862" width="14.7109375" style="1233" customWidth="1"/>
    <col min="4863" max="4863" width="15.140625" style="1233" customWidth="1"/>
    <col min="4864" max="4871" width="9.140625" style="1233" customWidth="1"/>
    <col min="4872" max="5115" width="9.140625" style="1233"/>
    <col min="5116" max="5116" width="11.85546875" style="1233" customWidth="1"/>
    <col min="5117" max="5117" width="56.28515625" style="1233" customWidth="1"/>
    <col min="5118" max="5118" width="14.7109375" style="1233" customWidth="1"/>
    <col min="5119" max="5119" width="15.140625" style="1233" customWidth="1"/>
    <col min="5120" max="5127" width="9.140625" style="1233" customWidth="1"/>
    <col min="5128" max="5371" width="9.140625" style="1233"/>
    <col min="5372" max="5372" width="11.85546875" style="1233" customWidth="1"/>
    <col min="5373" max="5373" width="56.28515625" style="1233" customWidth="1"/>
    <col min="5374" max="5374" width="14.7109375" style="1233" customWidth="1"/>
    <col min="5375" max="5375" width="15.140625" style="1233" customWidth="1"/>
    <col min="5376" max="5383" width="9.140625" style="1233" customWidth="1"/>
    <col min="5384" max="5627" width="9.140625" style="1233"/>
    <col min="5628" max="5628" width="11.85546875" style="1233" customWidth="1"/>
    <col min="5629" max="5629" width="56.28515625" style="1233" customWidth="1"/>
    <col min="5630" max="5630" width="14.7109375" style="1233" customWidth="1"/>
    <col min="5631" max="5631" width="15.140625" style="1233" customWidth="1"/>
    <col min="5632" max="5639" width="9.140625" style="1233" customWidth="1"/>
    <col min="5640" max="5883" width="9.140625" style="1233"/>
    <col min="5884" max="5884" width="11.85546875" style="1233" customWidth="1"/>
    <col min="5885" max="5885" width="56.28515625" style="1233" customWidth="1"/>
    <col min="5886" max="5886" width="14.7109375" style="1233" customWidth="1"/>
    <col min="5887" max="5887" width="15.140625" style="1233" customWidth="1"/>
    <col min="5888" max="5895" width="9.140625" style="1233" customWidth="1"/>
    <col min="5896" max="6139" width="9.140625" style="1233"/>
    <col min="6140" max="6140" width="11.85546875" style="1233" customWidth="1"/>
    <col min="6141" max="6141" width="56.28515625" style="1233" customWidth="1"/>
    <col min="6142" max="6142" width="14.7109375" style="1233" customWidth="1"/>
    <col min="6143" max="6143" width="15.140625" style="1233" customWidth="1"/>
    <col min="6144" max="6151" width="9.140625" style="1233" customWidth="1"/>
    <col min="6152" max="6395" width="9.140625" style="1233"/>
    <col min="6396" max="6396" width="11.85546875" style="1233" customWidth="1"/>
    <col min="6397" max="6397" width="56.28515625" style="1233" customWidth="1"/>
    <col min="6398" max="6398" width="14.7109375" style="1233" customWidth="1"/>
    <col min="6399" max="6399" width="15.140625" style="1233" customWidth="1"/>
    <col min="6400" max="6407" width="9.140625" style="1233" customWidth="1"/>
    <col min="6408" max="6651" width="9.140625" style="1233"/>
    <col min="6652" max="6652" width="11.85546875" style="1233" customWidth="1"/>
    <col min="6653" max="6653" width="56.28515625" style="1233" customWidth="1"/>
    <col min="6654" max="6654" width="14.7109375" style="1233" customWidth="1"/>
    <col min="6655" max="6655" width="15.140625" style="1233" customWidth="1"/>
    <col min="6656" max="6663" width="9.140625" style="1233" customWidth="1"/>
    <col min="6664" max="6907" width="9.140625" style="1233"/>
    <col min="6908" max="6908" width="11.85546875" style="1233" customWidth="1"/>
    <col min="6909" max="6909" width="56.28515625" style="1233" customWidth="1"/>
    <col min="6910" max="6910" width="14.7109375" style="1233" customWidth="1"/>
    <col min="6911" max="6911" width="15.140625" style="1233" customWidth="1"/>
    <col min="6912" max="6919" width="9.140625" style="1233" customWidth="1"/>
    <col min="6920" max="7163" width="9.140625" style="1233"/>
    <col min="7164" max="7164" width="11.85546875" style="1233" customWidth="1"/>
    <col min="7165" max="7165" width="56.28515625" style="1233" customWidth="1"/>
    <col min="7166" max="7166" width="14.7109375" style="1233" customWidth="1"/>
    <col min="7167" max="7167" width="15.140625" style="1233" customWidth="1"/>
    <col min="7168" max="7175" width="9.140625" style="1233" customWidth="1"/>
    <col min="7176" max="7419" width="9.140625" style="1233"/>
    <col min="7420" max="7420" width="11.85546875" style="1233" customWidth="1"/>
    <col min="7421" max="7421" width="56.28515625" style="1233" customWidth="1"/>
    <col min="7422" max="7422" width="14.7109375" style="1233" customWidth="1"/>
    <col min="7423" max="7423" width="15.140625" style="1233" customWidth="1"/>
    <col min="7424" max="7431" width="9.140625" style="1233" customWidth="1"/>
    <col min="7432" max="7675" width="9.140625" style="1233"/>
    <col min="7676" max="7676" width="11.85546875" style="1233" customWidth="1"/>
    <col min="7677" max="7677" width="56.28515625" style="1233" customWidth="1"/>
    <col min="7678" max="7678" width="14.7109375" style="1233" customWidth="1"/>
    <col min="7679" max="7679" width="15.140625" style="1233" customWidth="1"/>
    <col min="7680" max="7687" width="9.140625" style="1233" customWidth="1"/>
    <col min="7688" max="7931" width="9.140625" style="1233"/>
    <col min="7932" max="7932" width="11.85546875" style="1233" customWidth="1"/>
    <col min="7933" max="7933" width="56.28515625" style="1233" customWidth="1"/>
    <col min="7934" max="7934" width="14.7109375" style="1233" customWidth="1"/>
    <col min="7935" max="7935" width="15.140625" style="1233" customWidth="1"/>
    <col min="7936" max="7943" width="9.140625" style="1233" customWidth="1"/>
    <col min="7944" max="8187" width="9.140625" style="1233"/>
    <col min="8188" max="8188" width="11.85546875" style="1233" customWidth="1"/>
    <col min="8189" max="8189" width="56.28515625" style="1233" customWidth="1"/>
    <col min="8190" max="8190" width="14.7109375" style="1233" customWidth="1"/>
    <col min="8191" max="8191" width="15.140625" style="1233" customWidth="1"/>
    <col min="8192" max="8199" width="9.140625" style="1233" customWidth="1"/>
    <col min="8200" max="8443" width="9.140625" style="1233"/>
    <col min="8444" max="8444" width="11.85546875" style="1233" customWidth="1"/>
    <col min="8445" max="8445" width="56.28515625" style="1233" customWidth="1"/>
    <col min="8446" max="8446" width="14.7109375" style="1233" customWidth="1"/>
    <col min="8447" max="8447" width="15.140625" style="1233" customWidth="1"/>
    <col min="8448" max="8455" width="9.140625" style="1233" customWidth="1"/>
    <col min="8456" max="8699" width="9.140625" style="1233"/>
    <col min="8700" max="8700" width="11.85546875" style="1233" customWidth="1"/>
    <col min="8701" max="8701" width="56.28515625" style="1233" customWidth="1"/>
    <col min="8702" max="8702" width="14.7109375" style="1233" customWidth="1"/>
    <col min="8703" max="8703" width="15.140625" style="1233" customWidth="1"/>
    <col min="8704" max="8711" width="9.140625" style="1233" customWidth="1"/>
    <col min="8712" max="8955" width="9.140625" style="1233"/>
    <col min="8956" max="8956" width="11.85546875" style="1233" customWidth="1"/>
    <col min="8957" max="8957" width="56.28515625" style="1233" customWidth="1"/>
    <col min="8958" max="8958" width="14.7109375" style="1233" customWidth="1"/>
    <col min="8959" max="8959" width="15.140625" style="1233" customWidth="1"/>
    <col min="8960" max="8967" width="9.140625" style="1233" customWidth="1"/>
    <col min="8968" max="9211" width="9.140625" style="1233"/>
    <col min="9212" max="9212" width="11.85546875" style="1233" customWidth="1"/>
    <col min="9213" max="9213" width="56.28515625" style="1233" customWidth="1"/>
    <col min="9214" max="9214" width="14.7109375" style="1233" customWidth="1"/>
    <col min="9215" max="9215" width="15.140625" style="1233" customWidth="1"/>
    <col min="9216" max="9223" width="9.140625" style="1233" customWidth="1"/>
    <col min="9224" max="9467" width="9.140625" style="1233"/>
    <col min="9468" max="9468" width="11.85546875" style="1233" customWidth="1"/>
    <col min="9469" max="9469" width="56.28515625" style="1233" customWidth="1"/>
    <col min="9470" max="9470" width="14.7109375" style="1233" customWidth="1"/>
    <col min="9471" max="9471" width="15.140625" style="1233" customWidth="1"/>
    <col min="9472" max="9479" width="9.140625" style="1233" customWidth="1"/>
    <col min="9480" max="9723" width="9.140625" style="1233"/>
    <col min="9724" max="9724" width="11.85546875" style="1233" customWidth="1"/>
    <col min="9725" max="9725" width="56.28515625" style="1233" customWidth="1"/>
    <col min="9726" max="9726" width="14.7109375" style="1233" customWidth="1"/>
    <col min="9727" max="9727" width="15.140625" style="1233" customWidth="1"/>
    <col min="9728" max="9735" width="9.140625" style="1233" customWidth="1"/>
    <col min="9736" max="9979" width="9.140625" style="1233"/>
    <col min="9980" max="9980" width="11.85546875" style="1233" customWidth="1"/>
    <col min="9981" max="9981" width="56.28515625" style="1233" customWidth="1"/>
    <col min="9982" max="9982" width="14.7109375" style="1233" customWidth="1"/>
    <col min="9983" max="9983" width="15.140625" style="1233" customWidth="1"/>
    <col min="9984" max="9991" width="9.140625" style="1233" customWidth="1"/>
    <col min="9992" max="10235" width="9.140625" style="1233"/>
    <col min="10236" max="10236" width="11.85546875" style="1233" customWidth="1"/>
    <col min="10237" max="10237" width="56.28515625" style="1233" customWidth="1"/>
    <col min="10238" max="10238" width="14.7109375" style="1233" customWidth="1"/>
    <col min="10239" max="10239" width="15.140625" style="1233" customWidth="1"/>
    <col min="10240" max="10247" width="9.140625" style="1233" customWidth="1"/>
    <col min="10248" max="10491" width="9.140625" style="1233"/>
    <col min="10492" max="10492" width="11.85546875" style="1233" customWidth="1"/>
    <col min="10493" max="10493" width="56.28515625" style="1233" customWidth="1"/>
    <col min="10494" max="10494" width="14.7109375" style="1233" customWidth="1"/>
    <col min="10495" max="10495" width="15.140625" style="1233" customWidth="1"/>
    <col min="10496" max="10503" width="9.140625" style="1233" customWidth="1"/>
    <col min="10504" max="10747" width="9.140625" style="1233"/>
    <col min="10748" max="10748" width="11.85546875" style="1233" customWidth="1"/>
    <col min="10749" max="10749" width="56.28515625" style="1233" customWidth="1"/>
    <col min="10750" max="10750" width="14.7109375" style="1233" customWidth="1"/>
    <col min="10751" max="10751" width="15.140625" style="1233" customWidth="1"/>
    <col min="10752" max="10759" width="9.140625" style="1233" customWidth="1"/>
    <col min="10760" max="11003" width="9.140625" style="1233"/>
    <col min="11004" max="11004" width="11.85546875" style="1233" customWidth="1"/>
    <col min="11005" max="11005" width="56.28515625" style="1233" customWidth="1"/>
    <col min="11006" max="11006" width="14.7109375" style="1233" customWidth="1"/>
    <col min="11007" max="11007" width="15.140625" style="1233" customWidth="1"/>
    <col min="11008" max="11015" width="9.140625" style="1233" customWidth="1"/>
    <col min="11016" max="11259" width="9.140625" style="1233"/>
    <col min="11260" max="11260" width="11.85546875" style="1233" customWidth="1"/>
    <col min="11261" max="11261" width="56.28515625" style="1233" customWidth="1"/>
    <col min="11262" max="11262" width="14.7109375" style="1233" customWidth="1"/>
    <col min="11263" max="11263" width="15.140625" style="1233" customWidth="1"/>
    <col min="11264" max="11271" width="9.140625" style="1233" customWidth="1"/>
    <col min="11272" max="11515" width="9.140625" style="1233"/>
    <col min="11516" max="11516" width="11.85546875" style="1233" customWidth="1"/>
    <col min="11517" max="11517" width="56.28515625" style="1233" customWidth="1"/>
    <col min="11518" max="11518" width="14.7109375" style="1233" customWidth="1"/>
    <col min="11519" max="11519" width="15.140625" style="1233" customWidth="1"/>
    <col min="11520" max="11527" width="9.140625" style="1233" customWidth="1"/>
    <col min="11528" max="11771" width="9.140625" style="1233"/>
    <col min="11772" max="11772" width="11.85546875" style="1233" customWidth="1"/>
    <col min="11773" max="11773" width="56.28515625" style="1233" customWidth="1"/>
    <col min="11774" max="11774" width="14.7109375" style="1233" customWidth="1"/>
    <col min="11775" max="11775" width="15.140625" style="1233" customWidth="1"/>
    <col min="11776" max="11783" width="9.140625" style="1233" customWidth="1"/>
    <col min="11784" max="12027" width="9.140625" style="1233"/>
    <col min="12028" max="12028" width="11.85546875" style="1233" customWidth="1"/>
    <col min="12029" max="12029" width="56.28515625" style="1233" customWidth="1"/>
    <col min="12030" max="12030" width="14.7109375" style="1233" customWidth="1"/>
    <col min="12031" max="12031" width="15.140625" style="1233" customWidth="1"/>
    <col min="12032" max="12039" width="9.140625" style="1233" customWidth="1"/>
    <col min="12040" max="12283" width="9.140625" style="1233"/>
    <col min="12284" max="12284" width="11.85546875" style="1233" customWidth="1"/>
    <col min="12285" max="12285" width="56.28515625" style="1233" customWidth="1"/>
    <col min="12286" max="12286" width="14.7109375" style="1233" customWidth="1"/>
    <col min="12287" max="12287" width="15.140625" style="1233" customWidth="1"/>
    <col min="12288" max="12295" width="9.140625" style="1233" customWidth="1"/>
    <col min="12296" max="12539" width="9.140625" style="1233"/>
    <col min="12540" max="12540" width="11.85546875" style="1233" customWidth="1"/>
    <col min="12541" max="12541" width="56.28515625" style="1233" customWidth="1"/>
    <col min="12542" max="12542" width="14.7109375" style="1233" customWidth="1"/>
    <col min="12543" max="12543" width="15.140625" style="1233" customWidth="1"/>
    <col min="12544" max="12551" width="9.140625" style="1233" customWidth="1"/>
    <col min="12552" max="12795" width="9.140625" style="1233"/>
    <col min="12796" max="12796" width="11.85546875" style="1233" customWidth="1"/>
    <col min="12797" max="12797" width="56.28515625" style="1233" customWidth="1"/>
    <col min="12798" max="12798" width="14.7109375" style="1233" customWidth="1"/>
    <col min="12799" max="12799" width="15.140625" style="1233" customWidth="1"/>
    <col min="12800" max="12807" width="9.140625" style="1233" customWidth="1"/>
    <col min="12808" max="13051" width="9.140625" style="1233"/>
    <col min="13052" max="13052" width="11.85546875" style="1233" customWidth="1"/>
    <col min="13053" max="13053" width="56.28515625" style="1233" customWidth="1"/>
    <col min="13054" max="13054" width="14.7109375" style="1233" customWidth="1"/>
    <col min="13055" max="13055" width="15.140625" style="1233" customWidth="1"/>
    <col min="13056" max="13063" width="9.140625" style="1233" customWidth="1"/>
    <col min="13064" max="13307" width="9.140625" style="1233"/>
    <col min="13308" max="13308" width="11.85546875" style="1233" customWidth="1"/>
    <col min="13309" max="13309" width="56.28515625" style="1233" customWidth="1"/>
    <col min="13310" max="13310" width="14.7109375" style="1233" customWidth="1"/>
    <col min="13311" max="13311" width="15.140625" style="1233" customWidth="1"/>
    <col min="13312" max="13319" width="9.140625" style="1233" customWidth="1"/>
    <col min="13320" max="13563" width="9.140625" style="1233"/>
    <col min="13564" max="13564" width="11.85546875" style="1233" customWidth="1"/>
    <col min="13565" max="13565" width="56.28515625" style="1233" customWidth="1"/>
    <col min="13566" max="13566" width="14.7109375" style="1233" customWidth="1"/>
    <col min="13567" max="13567" width="15.140625" style="1233" customWidth="1"/>
    <col min="13568" max="13575" width="9.140625" style="1233" customWidth="1"/>
    <col min="13576" max="13819" width="9.140625" style="1233"/>
    <col min="13820" max="13820" width="11.85546875" style="1233" customWidth="1"/>
    <col min="13821" max="13821" width="56.28515625" style="1233" customWidth="1"/>
    <col min="13822" max="13822" width="14.7109375" style="1233" customWidth="1"/>
    <col min="13823" max="13823" width="15.140625" style="1233" customWidth="1"/>
    <col min="13824" max="13831" width="9.140625" style="1233" customWidth="1"/>
    <col min="13832" max="14075" width="9.140625" style="1233"/>
    <col min="14076" max="14076" width="11.85546875" style="1233" customWidth="1"/>
    <col min="14077" max="14077" width="56.28515625" style="1233" customWidth="1"/>
    <col min="14078" max="14078" width="14.7109375" style="1233" customWidth="1"/>
    <col min="14079" max="14079" width="15.140625" style="1233" customWidth="1"/>
    <col min="14080" max="14087" width="9.140625" style="1233" customWidth="1"/>
    <col min="14088" max="14331" width="9.140625" style="1233"/>
    <col min="14332" max="14332" width="11.85546875" style="1233" customWidth="1"/>
    <col min="14333" max="14333" width="56.28515625" style="1233" customWidth="1"/>
    <col min="14334" max="14334" width="14.7109375" style="1233" customWidth="1"/>
    <col min="14335" max="14335" width="15.140625" style="1233" customWidth="1"/>
    <col min="14336" max="14343" width="9.140625" style="1233" customWidth="1"/>
    <col min="14344" max="14587" width="9.140625" style="1233"/>
    <col min="14588" max="14588" width="11.85546875" style="1233" customWidth="1"/>
    <col min="14589" max="14589" width="56.28515625" style="1233" customWidth="1"/>
    <col min="14590" max="14590" width="14.7109375" style="1233" customWidth="1"/>
    <col min="14591" max="14591" width="15.140625" style="1233" customWidth="1"/>
    <col min="14592" max="14599" width="9.140625" style="1233" customWidth="1"/>
    <col min="14600" max="14843" width="9.140625" style="1233"/>
    <col min="14844" max="14844" width="11.85546875" style="1233" customWidth="1"/>
    <col min="14845" max="14845" width="56.28515625" style="1233" customWidth="1"/>
    <col min="14846" max="14846" width="14.7109375" style="1233" customWidth="1"/>
    <col min="14847" max="14847" width="15.140625" style="1233" customWidth="1"/>
    <col min="14848" max="14855" width="9.140625" style="1233" customWidth="1"/>
    <col min="14856" max="15099" width="9.140625" style="1233"/>
    <col min="15100" max="15100" width="11.85546875" style="1233" customWidth="1"/>
    <col min="15101" max="15101" width="56.28515625" style="1233" customWidth="1"/>
    <col min="15102" max="15102" width="14.7109375" style="1233" customWidth="1"/>
    <col min="15103" max="15103" width="15.140625" style="1233" customWidth="1"/>
    <col min="15104" max="15111" width="9.140625" style="1233" customWidth="1"/>
    <col min="15112" max="15355" width="9.140625" style="1233"/>
    <col min="15356" max="15356" width="11.85546875" style="1233" customWidth="1"/>
    <col min="15357" max="15357" width="56.28515625" style="1233" customWidth="1"/>
    <col min="15358" max="15358" width="14.7109375" style="1233" customWidth="1"/>
    <col min="15359" max="15359" width="15.140625" style="1233" customWidth="1"/>
    <col min="15360" max="15367" width="9.140625" style="1233" customWidth="1"/>
    <col min="15368" max="15611" width="9.140625" style="1233"/>
    <col min="15612" max="15612" width="11.85546875" style="1233" customWidth="1"/>
    <col min="15613" max="15613" width="56.28515625" style="1233" customWidth="1"/>
    <col min="15614" max="15614" width="14.7109375" style="1233" customWidth="1"/>
    <col min="15615" max="15615" width="15.140625" style="1233" customWidth="1"/>
    <col min="15616" max="15623" width="9.140625" style="1233" customWidth="1"/>
    <col min="15624" max="15867" width="9.140625" style="1233"/>
    <col min="15868" max="15868" width="11.85546875" style="1233" customWidth="1"/>
    <col min="15869" max="15869" width="56.28515625" style="1233" customWidth="1"/>
    <col min="15870" max="15870" width="14.7109375" style="1233" customWidth="1"/>
    <col min="15871" max="15871" width="15.140625" style="1233" customWidth="1"/>
    <col min="15872" max="15879" width="9.140625" style="1233" customWidth="1"/>
    <col min="15880" max="16123" width="9.140625" style="1233"/>
    <col min="16124" max="16124" width="11.85546875" style="1233" customWidth="1"/>
    <col min="16125" max="16125" width="56.28515625" style="1233" customWidth="1"/>
    <col min="16126" max="16126" width="14.7109375" style="1233" customWidth="1"/>
    <col min="16127" max="16127" width="15.140625" style="1233" customWidth="1"/>
    <col min="16128" max="16135" width="9.140625" style="1233" customWidth="1"/>
    <col min="16136" max="16384" width="9.140625" style="1233"/>
  </cols>
  <sheetData>
    <row r="1" spans="1:9" s="1226" customFormat="1" ht="21" customHeight="1" thickBot="1">
      <c r="A1" s="1868" t="s">
        <v>1249</v>
      </c>
      <c r="B1" s="1868"/>
      <c r="C1" s="1868"/>
      <c r="D1" s="1868"/>
      <c r="E1" s="1225"/>
      <c r="F1" s="1704"/>
      <c r="G1" s="1225"/>
      <c r="H1" s="1713"/>
    </row>
    <row r="2" spans="1:9" s="1229" customFormat="1" ht="25.5" customHeight="1">
      <c r="A2" s="1227" t="s">
        <v>966</v>
      </c>
      <c r="B2" s="1082" t="s">
        <v>967</v>
      </c>
      <c r="C2" s="1869" t="s">
        <v>968</v>
      </c>
      <c r="D2" s="1870"/>
      <c r="E2" s="1228"/>
      <c r="F2" s="1705"/>
      <c r="G2" s="1228"/>
      <c r="H2" s="1714"/>
    </row>
    <row r="3" spans="1:9" s="1229" customFormat="1" ht="24.75" thickBot="1">
      <c r="A3" s="1230" t="s">
        <v>685</v>
      </c>
      <c r="B3" s="1085" t="s">
        <v>1237</v>
      </c>
      <c r="C3" s="1871"/>
      <c r="D3" s="1872"/>
      <c r="E3" s="1228"/>
      <c r="F3" s="1705"/>
      <c r="G3" s="1228"/>
      <c r="H3" s="1714"/>
    </row>
    <row r="4" spans="1:9" s="1231" customFormat="1" ht="15.95" customHeight="1" thickBot="1">
      <c r="A4" s="1086"/>
      <c r="B4" s="1087"/>
      <c r="C4" s="1825" t="s">
        <v>687</v>
      </c>
      <c r="D4" s="1826"/>
      <c r="E4" s="1228"/>
      <c r="F4" s="1705"/>
      <c r="G4" s="1228"/>
      <c r="H4" s="1715"/>
    </row>
    <row r="5" spans="1:9" ht="36.75" thickBot="1">
      <c r="A5" s="1522" t="s">
        <v>688</v>
      </c>
      <c r="B5" s="1090" t="s">
        <v>689</v>
      </c>
      <c r="C5" s="1091" t="s">
        <v>690</v>
      </c>
      <c r="D5" s="1092" t="s">
        <v>691</v>
      </c>
      <c r="E5" s="1276" t="s">
        <v>932</v>
      </c>
      <c r="F5" s="1711" t="s">
        <v>954</v>
      </c>
      <c r="G5" s="1276" t="s">
        <v>932</v>
      </c>
      <c r="H5" s="1711" t="s">
        <v>954</v>
      </c>
      <c r="I5" s="1232"/>
    </row>
    <row r="6" spans="1:9" s="1235" customFormat="1" ht="12.95" customHeight="1" thickBot="1">
      <c r="A6" s="1094">
        <v>1</v>
      </c>
      <c r="B6" s="1095">
        <v>2</v>
      </c>
      <c r="C6" s="1097">
        <v>3</v>
      </c>
      <c r="D6" s="1097">
        <v>4</v>
      </c>
      <c r="E6" s="1234"/>
      <c r="F6" s="1706"/>
      <c r="G6" s="1234"/>
      <c r="H6" s="1727"/>
    </row>
    <row r="7" spans="1:9" s="1235" customFormat="1" ht="15.95" customHeight="1" thickBot="1">
      <c r="A7" s="1827" t="s">
        <v>692</v>
      </c>
      <c r="B7" s="1828"/>
      <c r="C7" s="1828"/>
      <c r="D7" s="1829"/>
      <c r="E7" s="1712"/>
      <c r="F7" s="1716"/>
      <c r="G7" s="1712"/>
      <c r="H7" s="1716"/>
    </row>
    <row r="8" spans="1:9" s="1239" customFormat="1" ht="12" customHeight="1" thickBot="1">
      <c r="A8" s="1094" t="s">
        <v>693</v>
      </c>
      <c r="B8" s="1236" t="s">
        <v>971</v>
      </c>
      <c r="C8" s="1237">
        <f>SUM(C9:C18)</f>
        <v>17217000</v>
      </c>
      <c r="D8" s="1237">
        <f>SUM(D9:D18)</f>
        <v>17217000</v>
      </c>
      <c r="E8" s="1243"/>
      <c r="F8" s="1708"/>
      <c r="G8" s="1243"/>
      <c r="H8" s="1708"/>
    </row>
    <row r="9" spans="1:9" s="1239" customFormat="1" ht="12" customHeight="1">
      <c r="A9" s="1240" t="s">
        <v>695</v>
      </c>
      <c r="B9" s="1153" t="s">
        <v>753</v>
      </c>
      <c r="C9" s="1241">
        <f>SUM(E9:F9)</f>
        <v>0</v>
      </c>
      <c r="D9" s="1718">
        <f>C9+SUM(G9:H9)</f>
        <v>0</v>
      </c>
      <c r="E9" s="1243"/>
      <c r="F9" s="1708"/>
      <c r="G9" s="1243"/>
      <c r="H9" s="1708"/>
    </row>
    <row r="10" spans="1:9" s="1239" customFormat="1" ht="12" customHeight="1">
      <c r="A10" s="1244" t="s">
        <v>697</v>
      </c>
      <c r="B10" s="1156" t="s">
        <v>755</v>
      </c>
      <c r="C10" s="1241">
        <f t="shared" ref="C10:C18" si="0">SUM(E10:F10)</f>
        <v>6856700</v>
      </c>
      <c r="D10" s="1719">
        <f t="shared" ref="D10:D18" si="1">C10+SUM(G10:H10)</f>
        <v>6856700</v>
      </c>
      <c r="E10" s="1243"/>
      <c r="F10" s="1708">
        <v>6856700</v>
      </c>
      <c r="G10" s="1243"/>
      <c r="H10" s="1708"/>
    </row>
    <row r="11" spans="1:9" s="1239" customFormat="1" ht="12" customHeight="1">
      <c r="A11" s="1244" t="s">
        <v>699</v>
      </c>
      <c r="B11" s="1156" t="s">
        <v>757</v>
      </c>
      <c r="C11" s="1241">
        <f t="shared" si="0"/>
        <v>0</v>
      </c>
      <c r="D11" s="1719">
        <f t="shared" si="1"/>
        <v>0</v>
      </c>
      <c r="E11" s="1243"/>
      <c r="F11" s="1708"/>
      <c r="G11" s="1243"/>
      <c r="H11" s="1708"/>
    </row>
    <row r="12" spans="1:9" s="1239" customFormat="1" ht="12" customHeight="1">
      <c r="A12" s="1244" t="s">
        <v>701</v>
      </c>
      <c r="B12" s="1156" t="s">
        <v>759</v>
      </c>
      <c r="C12" s="1241">
        <f t="shared" si="0"/>
        <v>0</v>
      </c>
      <c r="D12" s="1719">
        <f t="shared" si="1"/>
        <v>0</v>
      </c>
      <c r="E12" s="1243"/>
      <c r="F12" s="1708"/>
      <c r="G12" s="1243"/>
      <c r="H12" s="1708"/>
    </row>
    <row r="13" spans="1:9" s="1239" customFormat="1" ht="12" customHeight="1">
      <c r="A13" s="1244" t="s">
        <v>703</v>
      </c>
      <c r="B13" s="1156" t="s">
        <v>761</v>
      </c>
      <c r="C13" s="1241">
        <f t="shared" si="0"/>
        <v>6700000</v>
      </c>
      <c r="D13" s="1719">
        <f t="shared" si="1"/>
        <v>6700000</v>
      </c>
      <c r="E13" s="1243"/>
      <c r="F13" s="1708">
        <v>6700000</v>
      </c>
      <c r="G13" s="1243"/>
      <c r="H13" s="1708"/>
    </row>
    <row r="14" spans="1:9" s="1239" customFormat="1" ht="12" customHeight="1">
      <c r="A14" s="1244" t="s">
        <v>705</v>
      </c>
      <c r="B14" s="1156" t="s">
        <v>972</v>
      </c>
      <c r="C14" s="1241">
        <f t="shared" si="0"/>
        <v>3660300</v>
      </c>
      <c r="D14" s="1719">
        <f t="shared" si="1"/>
        <v>3660300</v>
      </c>
      <c r="E14" s="1243"/>
      <c r="F14" s="1708">
        <v>3660300</v>
      </c>
      <c r="G14" s="1243"/>
      <c r="H14" s="1708"/>
    </row>
    <row r="15" spans="1:9" s="1239" customFormat="1" ht="12" customHeight="1">
      <c r="A15" s="1244" t="s">
        <v>859</v>
      </c>
      <c r="B15" s="1175" t="s">
        <v>973</v>
      </c>
      <c r="C15" s="1241">
        <f t="shared" si="0"/>
        <v>0</v>
      </c>
      <c r="D15" s="1719">
        <f t="shared" si="1"/>
        <v>0</v>
      </c>
      <c r="E15" s="1243"/>
      <c r="F15" s="1708"/>
      <c r="G15" s="1243"/>
      <c r="H15" s="1708"/>
    </row>
    <row r="16" spans="1:9" s="1239" customFormat="1" ht="12" customHeight="1">
      <c r="A16" s="1244" t="s">
        <v>861</v>
      </c>
      <c r="B16" s="1156" t="s">
        <v>767</v>
      </c>
      <c r="C16" s="1241">
        <f t="shared" si="0"/>
        <v>0</v>
      </c>
      <c r="D16" s="1719">
        <f t="shared" si="1"/>
        <v>0</v>
      </c>
      <c r="E16" s="1243"/>
      <c r="F16" s="1708"/>
      <c r="G16" s="1243"/>
      <c r="H16" s="1708"/>
    </row>
    <row r="17" spans="1:8" s="1247" customFormat="1" ht="12" customHeight="1">
      <c r="A17" s="1244" t="s">
        <v>863</v>
      </c>
      <c r="B17" s="1156" t="s">
        <v>769</v>
      </c>
      <c r="C17" s="1241">
        <f t="shared" si="0"/>
        <v>0</v>
      </c>
      <c r="D17" s="1719">
        <f t="shared" si="1"/>
        <v>0</v>
      </c>
      <c r="E17" s="1243"/>
      <c r="F17" s="1708"/>
      <c r="G17" s="1243"/>
      <c r="H17" s="1708"/>
    </row>
    <row r="18" spans="1:8" s="1247" customFormat="1" ht="12" customHeight="1" thickBot="1">
      <c r="A18" s="1244" t="s">
        <v>865</v>
      </c>
      <c r="B18" s="1175" t="s">
        <v>771</v>
      </c>
      <c r="C18" s="1241">
        <f t="shared" si="0"/>
        <v>0</v>
      </c>
      <c r="D18" s="1720">
        <f t="shared" si="1"/>
        <v>0</v>
      </c>
      <c r="E18" s="1243"/>
      <c r="F18" s="1708"/>
      <c r="G18" s="1243"/>
      <c r="H18" s="1708"/>
    </row>
    <row r="19" spans="1:8" s="1239" customFormat="1" ht="12" customHeight="1" thickBot="1">
      <c r="A19" s="1094" t="s">
        <v>707</v>
      </c>
      <c r="B19" s="1236" t="s">
        <v>974</v>
      </c>
      <c r="C19" s="1237">
        <f>SUM(C20:C22)</f>
        <v>0</v>
      </c>
      <c r="D19" s="1237">
        <f>SUM(D20:D22)</f>
        <v>0</v>
      </c>
      <c r="E19" s="1243"/>
      <c r="F19" s="1708"/>
      <c r="G19" s="1243"/>
      <c r="H19" s="1708"/>
    </row>
    <row r="20" spans="1:8" s="1247" customFormat="1" ht="12" customHeight="1">
      <c r="A20" s="1244" t="s">
        <v>709</v>
      </c>
      <c r="B20" s="1173" t="s">
        <v>710</v>
      </c>
      <c r="C20" s="1241">
        <f t="shared" ref="C20:C23" si="2">SUM(E20:F20)</f>
        <v>0</v>
      </c>
      <c r="D20" s="1718">
        <f t="shared" ref="D20:D23" si="3">C20+SUM(G20:H20)</f>
        <v>0</v>
      </c>
      <c r="E20" s="1243"/>
      <c r="F20" s="1708"/>
      <c r="G20" s="1243"/>
      <c r="H20" s="1708"/>
    </row>
    <row r="21" spans="1:8" s="1247" customFormat="1" ht="12" customHeight="1">
      <c r="A21" s="1244" t="s">
        <v>711</v>
      </c>
      <c r="B21" s="1156" t="s">
        <v>975</v>
      </c>
      <c r="C21" s="1241">
        <f t="shared" si="2"/>
        <v>0</v>
      </c>
      <c r="D21" s="1719">
        <f t="shared" si="3"/>
        <v>0</v>
      </c>
      <c r="E21" s="1243"/>
      <c r="F21" s="1708"/>
      <c r="G21" s="1243"/>
      <c r="H21" s="1708"/>
    </row>
    <row r="22" spans="1:8" s="1247" customFormat="1" ht="12" customHeight="1">
      <c r="A22" s="1244" t="s">
        <v>713</v>
      </c>
      <c r="B22" s="1156" t="s">
        <v>976</v>
      </c>
      <c r="C22" s="1241">
        <f t="shared" si="2"/>
        <v>0</v>
      </c>
      <c r="D22" s="1719">
        <f t="shared" si="3"/>
        <v>0</v>
      </c>
      <c r="E22" s="1243"/>
      <c r="F22" s="1708"/>
      <c r="G22" s="1243"/>
      <c r="H22" s="1708"/>
    </row>
    <row r="23" spans="1:8" s="1247" customFormat="1" ht="12" customHeight="1" thickBot="1">
      <c r="A23" s="1244" t="s">
        <v>715</v>
      </c>
      <c r="B23" s="1156" t="s">
        <v>977</v>
      </c>
      <c r="C23" s="1241">
        <f t="shared" si="2"/>
        <v>0</v>
      </c>
      <c r="D23" s="1720">
        <f t="shared" si="3"/>
        <v>0</v>
      </c>
      <c r="E23" s="1243"/>
      <c r="F23" s="1708"/>
      <c r="G23" s="1243"/>
      <c r="H23" s="1708"/>
    </row>
    <row r="24" spans="1:8" s="1247" customFormat="1" ht="12" customHeight="1" thickBot="1">
      <c r="A24" s="1249" t="s">
        <v>721</v>
      </c>
      <c r="B24" s="1172" t="s">
        <v>282</v>
      </c>
      <c r="C24" s="1250"/>
      <c r="D24" s="1250"/>
      <c r="E24" s="1243"/>
      <c r="F24" s="1708"/>
      <c r="G24" s="1243"/>
      <c r="H24" s="1708"/>
    </row>
    <row r="25" spans="1:8" s="1247" customFormat="1" ht="12" customHeight="1" thickBot="1">
      <c r="A25" s="1249" t="s">
        <v>897</v>
      </c>
      <c r="B25" s="1172" t="s">
        <v>978</v>
      </c>
      <c r="C25" s="1237">
        <f>+C26+C27</f>
        <v>0</v>
      </c>
      <c r="D25" s="1237">
        <f>+D26+D27</f>
        <v>0</v>
      </c>
      <c r="E25" s="1243"/>
      <c r="F25" s="1708"/>
      <c r="G25" s="1243"/>
      <c r="H25" s="1708"/>
    </row>
    <row r="26" spans="1:8" s="1247" customFormat="1" ht="12" customHeight="1">
      <c r="A26" s="1251" t="s">
        <v>737</v>
      </c>
      <c r="B26" s="1252" t="s">
        <v>975</v>
      </c>
      <c r="C26" s="1241">
        <f t="shared" ref="C26:C28" si="4">SUM(E26:F26)</f>
        <v>0</v>
      </c>
      <c r="D26" s="1718">
        <f t="shared" ref="D26:D28" si="5">C26+SUM(G26:H26)</f>
        <v>0</v>
      </c>
      <c r="E26" s="1243"/>
      <c r="F26" s="1708"/>
      <c r="G26" s="1243"/>
      <c r="H26" s="1708"/>
    </row>
    <row r="27" spans="1:8" s="1247" customFormat="1" ht="12" customHeight="1">
      <c r="A27" s="1251" t="s">
        <v>749</v>
      </c>
      <c r="B27" s="1253" t="s">
        <v>979</v>
      </c>
      <c r="C27" s="1241">
        <f t="shared" si="4"/>
        <v>0</v>
      </c>
      <c r="D27" s="1719">
        <f t="shared" si="5"/>
        <v>0</v>
      </c>
      <c r="E27" s="1243"/>
      <c r="F27" s="1708"/>
      <c r="G27" s="1243"/>
      <c r="H27" s="1708"/>
    </row>
    <row r="28" spans="1:8" s="1247" customFormat="1" ht="12" customHeight="1" thickBot="1">
      <c r="A28" s="1244" t="s">
        <v>980</v>
      </c>
      <c r="B28" s="1255" t="s">
        <v>981</v>
      </c>
      <c r="C28" s="1241">
        <f t="shared" si="4"/>
        <v>0</v>
      </c>
      <c r="D28" s="1720">
        <f t="shared" si="5"/>
        <v>0</v>
      </c>
      <c r="E28" s="1243"/>
      <c r="F28" s="1708"/>
      <c r="G28" s="1243"/>
      <c r="H28" s="1708"/>
    </row>
    <row r="29" spans="1:8" s="1247" customFormat="1" ht="12" customHeight="1" thickBot="1">
      <c r="A29" s="1249" t="s">
        <v>750</v>
      </c>
      <c r="B29" s="1172" t="s">
        <v>982</v>
      </c>
      <c r="C29" s="1237">
        <f>+C30+C31+C32</f>
        <v>0</v>
      </c>
      <c r="D29" s="1237">
        <f>+D30+D31+D32</f>
        <v>0</v>
      </c>
      <c r="E29" s="1243"/>
      <c r="F29" s="1708"/>
      <c r="G29" s="1243"/>
      <c r="H29" s="1708"/>
    </row>
    <row r="30" spans="1:8" s="1247" customFormat="1" ht="12" customHeight="1">
      <c r="A30" s="1251" t="s">
        <v>752</v>
      </c>
      <c r="B30" s="1252" t="s">
        <v>775</v>
      </c>
      <c r="C30" s="1241">
        <f t="shared" ref="C30:C32" si="6">SUM(E30:F30)</f>
        <v>0</v>
      </c>
      <c r="D30" s="1718">
        <f t="shared" ref="D30:D32" si="7">C30+SUM(G30:H30)</f>
        <v>0</v>
      </c>
      <c r="E30" s="1243"/>
      <c r="F30" s="1708"/>
      <c r="G30" s="1243"/>
      <c r="H30" s="1708"/>
    </row>
    <row r="31" spans="1:8" s="1247" customFormat="1" ht="12" customHeight="1">
      <c r="A31" s="1251" t="s">
        <v>754</v>
      </c>
      <c r="B31" s="1253" t="s">
        <v>655</v>
      </c>
      <c r="C31" s="1241">
        <f t="shared" si="6"/>
        <v>0</v>
      </c>
      <c r="D31" s="1719">
        <f t="shared" si="7"/>
        <v>0</v>
      </c>
      <c r="E31" s="1243"/>
      <c r="F31" s="1708"/>
      <c r="G31" s="1243"/>
      <c r="H31" s="1708"/>
    </row>
    <row r="32" spans="1:8" s="1247" customFormat="1" ht="12" customHeight="1" thickBot="1">
      <c r="A32" s="1244" t="s">
        <v>756</v>
      </c>
      <c r="B32" s="1256" t="s">
        <v>778</v>
      </c>
      <c r="C32" s="1241">
        <f t="shared" si="6"/>
        <v>0</v>
      </c>
      <c r="D32" s="1720">
        <f t="shared" si="7"/>
        <v>0</v>
      </c>
      <c r="E32" s="1243"/>
      <c r="F32" s="1708"/>
      <c r="G32" s="1243"/>
      <c r="H32" s="1708"/>
    </row>
    <row r="33" spans="1:8" s="1239" customFormat="1" ht="12" customHeight="1" thickBot="1">
      <c r="A33" s="1249" t="s">
        <v>772</v>
      </c>
      <c r="B33" s="1172" t="s">
        <v>983</v>
      </c>
      <c r="C33" s="1250"/>
      <c r="D33" s="1250"/>
      <c r="E33" s="1243"/>
      <c r="F33" s="1708"/>
      <c r="G33" s="1243"/>
      <c r="H33" s="1708"/>
    </row>
    <row r="34" spans="1:8" s="1239" customFormat="1" ht="12" customHeight="1" thickBot="1">
      <c r="A34" s="1249" t="s">
        <v>908</v>
      </c>
      <c r="B34" s="1172" t="s">
        <v>984</v>
      </c>
      <c r="C34" s="1257"/>
      <c r="D34" s="1257"/>
      <c r="E34" s="1243"/>
      <c r="F34" s="1708"/>
      <c r="G34" s="1243"/>
      <c r="H34" s="1708"/>
    </row>
    <row r="35" spans="1:8" s="1239" customFormat="1" ht="12" customHeight="1" thickBot="1">
      <c r="A35" s="1094" t="s">
        <v>793</v>
      </c>
      <c r="B35" s="1172" t="s">
        <v>985</v>
      </c>
      <c r="C35" s="1258">
        <f>+C8+C19+C24+C25+C29+C33+C34</f>
        <v>17217000</v>
      </c>
      <c r="D35" s="1258">
        <f>+D8+D19+D24+D25+D29+D33+D34</f>
        <v>17217000</v>
      </c>
      <c r="E35" s="1243"/>
      <c r="F35" s="1708"/>
      <c r="G35" s="1243"/>
      <c r="H35" s="1708"/>
    </row>
    <row r="36" spans="1:8" s="1239" customFormat="1" ht="12" customHeight="1" thickBot="1">
      <c r="A36" s="1259" t="s">
        <v>803</v>
      </c>
      <c r="B36" s="1172" t="s">
        <v>986</v>
      </c>
      <c r="C36" s="1258">
        <f>+C37+C38+C39</f>
        <v>20552293</v>
      </c>
      <c r="D36" s="1258">
        <f>+D37+D38+D39</f>
        <v>21909095</v>
      </c>
      <c r="E36" s="1243"/>
      <c r="F36" s="1708"/>
      <c r="G36" s="1243"/>
      <c r="H36" s="1708"/>
    </row>
    <row r="37" spans="1:8" s="1239" customFormat="1" ht="12" customHeight="1">
      <c r="A37" s="1251" t="s">
        <v>987</v>
      </c>
      <c r="B37" s="1252" t="s">
        <v>988</v>
      </c>
      <c r="C37" s="1241">
        <f t="shared" ref="C37:C39" si="8">SUM(E37:F37)</f>
        <v>0</v>
      </c>
      <c r="D37" s="1718">
        <f t="shared" ref="D37:D39" si="9">C37+SUM(G37:H37)</f>
        <v>1356802</v>
      </c>
      <c r="E37" s="1243"/>
      <c r="F37" s="1708"/>
      <c r="G37" s="1243">
        <v>1356802</v>
      </c>
      <c r="H37" s="1708"/>
    </row>
    <row r="38" spans="1:8" s="1239" customFormat="1" ht="12" customHeight="1">
      <c r="A38" s="1251" t="s">
        <v>989</v>
      </c>
      <c r="B38" s="1253" t="s">
        <v>990</v>
      </c>
      <c r="C38" s="1241">
        <f t="shared" si="8"/>
        <v>0</v>
      </c>
      <c r="D38" s="1719">
        <f t="shared" si="9"/>
        <v>0</v>
      </c>
      <c r="E38" s="1243"/>
      <c r="F38" s="1708"/>
      <c r="G38" s="1243"/>
      <c r="H38" s="1708"/>
    </row>
    <row r="39" spans="1:8" s="1247" customFormat="1" ht="12" customHeight="1" thickBot="1">
      <c r="A39" s="1244" t="s">
        <v>991</v>
      </c>
      <c r="B39" s="1256" t="s">
        <v>992</v>
      </c>
      <c r="C39" s="1241">
        <f t="shared" si="8"/>
        <v>20552293</v>
      </c>
      <c r="D39" s="1720">
        <f t="shared" si="9"/>
        <v>20552293</v>
      </c>
      <c r="E39" s="1243">
        <v>20552293</v>
      </c>
      <c r="F39" s="1708"/>
      <c r="G39" s="1243"/>
      <c r="H39" s="1708"/>
    </row>
    <row r="40" spans="1:8" s="1247" customFormat="1" ht="15" customHeight="1" thickBot="1">
      <c r="A40" s="1259" t="s">
        <v>920</v>
      </c>
      <c r="B40" s="1260" t="s">
        <v>993</v>
      </c>
      <c r="C40" s="1261">
        <f>+C35+C36</f>
        <v>37769293</v>
      </c>
      <c r="D40" s="1261">
        <f>+D35+D36</f>
        <v>39126095</v>
      </c>
      <c r="E40" s="1243">
        <f>SUM(E8:E39)</f>
        <v>20552293</v>
      </c>
      <c r="F40" s="1708">
        <f>SUM(F8:F39)</f>
        <v>17217000</v>
      </c>
      <c r="G40" s="1243"/>
      <c r="H40" s="1708"/>
    </row>
    <row r="41" spans="1:8" s="1247" customFormat="1" ht="15" customHeight="1">
      <c r="A41" s="1141"/>
      <c r="B41" s="1142"/>
      <c r="C41" s="1143"/>
      <c r="D41" s="1143"/>
      <c r="E41" s="1243"/>
      <c r="F41" s="1708"/>
      <c r="G41" s="1243"/>
      <c r="H41" s="1708"/>
    </row>
    <row r="42" spans="1:8" ht="13.5" thickBot="1">
      <c r="A42" s="1262"/>
      <c r="B42" s="1145"/>
      <c r="C42" s="1146"/>
      <c r="D42" s="1146"/>
      <c r="E42" s="1243"/>
      <c r="F42" s="1708"/>
      <c r="G42" s="1243"/>
      <c r="H42" s="1708"/>
    </row>
    <row r="43" spans="1:8" s="1235" customFormat="1" ht="16.5" customHeight="1" thickBot="1">
      <c r="A43" s="1827" t="s">
        <v>853</v>
      </c>
      <c r="B43" s="1828"/>
      <c r="C43" s="1828"/>
      <c r="D43" s="1829"/>
      <c r="E43" s="1712"/>
      <c r="F43" s="1716"/>
      <c r="G43" s="1712"/>
      <c r="H43" s="1716"/>
    </row>
    <row r="44" spans="1:8" s="1264" customFormat="1" ht="12" customHeight="1" thickBot="1">
      <c r="A44" s="1249" t="s">
        <v>693</v>
      </c>
      <c r="B44" s="1172" t="s">
        <v>994</v>
      </c>
      <c r="C44" s="1237">
        <f>SUM(C45:C49)</f>
        <v>37011103</v>
      </c>
      <c r="D44" s="1237">
        <f>SUM(D45:D49)</f>
        <v>37011103</v>
      </c>
      <c r="E44" s="1243"/>
      <c r="F44" s="1708"/>
      <c r="G44" s="1243"/>
      <c r="H44" s="1708"/>
    </row>
    <row r="45" spans="1:8" ht="12" customHeight="1">
      <c r="A45" s="1244" t="s">
        <v>695</v>
      </c>
      <c r="B45" s="1173" t="s">
        <v>855</v>
      </c>
      <c r="C45" s="1241">
        <f t="shared" ref="C45:C49" si="10">SUM(E45:F45)</f>
        <v>11325014</v>
      </c>
      <c r="D45" s="1718">
        <f t="shared" ref="D45:D49" si="11">C45+SUM(G45:H45)</f>
        <v>11325014</v>
      </c>
      <c r="E45" s="1243"/>
      <c r="F45" s="1708">
        <v>11325014</v>
      </c>
      <c r="G45" s="1243"/>
      <c r="H45" s="1708"/>
    </row>
    <row r="46" spans="1:8" ht="12" customHeight="1">
      <c r="A46" s="1244" t="s">
        <v>697</v>
      </c>
      <c r="B46" s="1156" t="s">
        <v>30</v>
      </c>
      <c r="C46" s="1241">
        <f t="shared" si="10"/>
        <v>2274619</v>
      </c>
      <c r="D46" s="1719">
        <f t="shared" si="11"/>
        <v>2274619</v>
      </c>
      <c r="E46" s="1243"/>
      <c r="F46" s="1708">
        <v>2274619</v>
      </c>
      <c r="G46" s="1243"/>
      <c r="H46" s="1708"/>
    </row>
    <row r="47" spans="1:8" ht="12" customHeight="1">
      <c r="A47" s="1244" t="s">
        <v>699</v>
      </c>
      <c r="B47" s="1156" t="s">
        <v>856</v>
      </c>
      <c r="C47" s="1241">
        <f t="shared" si="10"/>
        <v>23411470</v>
      </c>
      <c r="D47" s="1719">
        <f t="shared" si="11"/>
        <v>23411470</v>
      </c>
      <c r="E47" s="1243"/>
      <c r="F47" s="1708">
        <v>23411470</v>
      </c>
      <c r="G47" s="1243"/>
      <c r="H47" s="1708"/>
    </row>
    <row r="48" spans="1:8" ht="12" customHeight="1">
      <c r="A48" s="1244" t="s">
        <v>701</v>
      </c>
      <c r="B48" s="1156" t="s">
        <v>244</v>
      </c>
      <c r="C48" s="1241">
        <f t="shared" si="10"/>
        <v>0</v>
      </c>
      <c r="D48" s="1719">
        <f t="shared" si="11"/>
        <v>0</v>
      </c>
      <c r="E48" s="1243"/>
      <c r="F48" s="1708"/>
      <c r="G48" s="1243"/>
      <c r="H48" s="1708"/>
    </row>
    <row r="49" spans="1:8" ht="12" customHeight="1" thickBot="1">
      <c r="A49" s="1244" t="s">
        <v>703</v>
      </c>
      <c r="B49" s="1156" t="s">
        <v>63</v>
      </c>
      <c r="C49" s="1241">
        <f t="shared" si="10"/>
        <v>0</v>
      </c>
      <c r="D49" s="1720">
        <f t="shared" si="11"/>
        <v>0</v>
      </c>
      <c r="E49" s="1243"/>
      <c r="F49" s="1708"/>
      <c r="G49" s="1243"/>
      <c r="H49" s="1708"/>
    </row>
    <row r="50" spans="1:8" ht="12" customHeight="1" thickBot="1">
      <c r="A50" s="1249" t="s">
        <v>707</v>
      </c>
      <c r="B50" s="1172" t="s">
        <v>995</v>
      </c>
      <c r="C50" s="1237">
        <f>SUM(C51:C53)</f>
        <v>758190</v>
      </c>
      <c r="D50" s="1237">
        <f>SUM(D51:D53)</f>
        <v>2114992</v>
      </c>
      <c r="E50" s="1243"/>
      <c r="F50" s="1708"/>
      <c r="G50" s="1243"/>
      <c r="H50" s="1708"/>
    </row>
    <row r="51" spans="1:8" s="1264" customFormat="1" ht="12" customHeight="1">
      <c r="A51" s="1244" t="s">
        <v>709</v>
      </c>
      <c r="B51" s="1173" t="s">
        <v>72</v>
      </c>
      <c r="C51" s="1241">
        <f t="shared" ref="C51:C54" si="12">SUM(E51:F51)</f>
        <v>758190</v>
      </c>
      <c r="D51" s="1718">
        <f t="shared" ref="D51:D54" si="13">C51+SUM(G51:H51)</f>
        <v>2114992</v>
      </c>
      <c r="E51" s="1243"/>
      <c r="F51" s="1708">
        <v>758190</v>
      </c>
      <c r="G51" s="1243"/>
      <c r="H51" s="1708">
        <v>1356802</v>
      </c>
    </row>
    <row r="52" spans="1:8" ht="12" customHeight="1">
      <c r="A52" s="1244" t="s">
        <v>711</v>
      </c>
      <c r="B52" s="1156" t="s">
        <v>172</v>
      </c>
      <c r="C52" s="1241">
        <f t="shared" si="12"/>
        <v>0</v>
      </c>
      <c r="D52" s="1719">
        <f t="shared" si="13"/>
        <v>0</v>
      </c>
      <c r="E52" s="1243"/>
      <c r="F52" s="1708"/>
      <c r="G52" s="1243"/>
      <c r="H52" s="1708"/>
    </row>
    <row r="53" spans="1:8" ht="12" customHeight="1">
      <c r="A53" s="1244" t="s">
        <v>713</v>
      </c>
      <c r="B53" s="1156" t="s">
        <v>996</v>
      </c>
      <c r="C53" s="1241">
        <f t="shared" si="12"/>
        <v>0</v>
      </c>
      <c r="D53" s="1719">
        <f t="shared" si="13"/>
        <v>0</v>
      </c>
      <c r="E53" s="1243"/>
      <c r="F53" s="1708"/>
      <c r="G53" s="1243"/>
      <c r="H53" s="1708"/>
    </row>
    <row r="54" spans="1:8" ht="12" customHeight="1" thickBot="1">
      <c r="A54" s="1244" t="s">
        <v>715</v>
      </c>
      <c r="B54" s="1156" t="s">
        <v>997</v>
      </c>
      <c r="C54" s="1241">
        <f t="shared" si="12"/>
        <v>0</v>
      </c>
      <c r="D54" s="1720">
        <f t="shared" si="13"/>
        <v>0</v>
      </c>
      <c r="E54" s="1243"/>
      <c r="F54" s="1708"/>
      <c r="G54" s="1243"/>
      <c r="H54" s="1708"/>
    </row>
    <row r="55" spans="1:8" ht="15" customHeight="1" thickBot="1">
      <c r="A55" s="1249" t="s">
        <v>721</v>
      </c>
      <c r="B55" s="1266" t="s">
        <v>998</v>
      </c>
      <c r="C55" s="1267">
        <f>+C44+C50</f>
        <v>37769293</v>
      </c>
      <c r="D55" s="1267">
        <f>+D44+D50</f>
        <v>39126095</v>
      </c>
      <c r="E55" s="1243">
        <f>SUM(E45:E54)</f>
        <v>0</v>
      </c>
      <c r="F55" s="1708">
        <f>SUM(F45:F54)</f>
        <v>37769293</v>
      </c>
      <c r="G55" s="1243"/>
      <c r="H55" s="1708"/>
    </row>
    <row r="56" spans="1:8" ht="13.5" thickBot="1">
      <c r="C56" s="1270"/>
      <c r="D56" s="1270"/>
      <c r="E56" s="1243"/>
      <c r="F56" s="1708"/>
      <c r="G56" s="1243"/>
      <c r="H56" s="1708"/>
    </row>
    <row r="57" spans="1:8" ht="15" customHeight="1" thickBot="1">
      <c r="A57" s="1220" t="s">
        <v>964</v>
      </c>
      <c r="B57" s="1221"/>
      <c r="C57" s="1223">
        <v>3</v>
      </c>
      <c r="D57" s="1223">
        <v>3</v>
      </c>
      <c r="E57" s="1243"/>
      <c r="F57" s="1708"/>
      <c r="G57" s="1243"/>
      <c r="H57" s="1708"/>
    </row>
    <row r="58" spans="1:8" ht="14.25" customHeight="1" thickBot="1">
      <c r="A58" s="1220" t="s">
        <v>965</v>
      </c>
      <c r="B58" s="1221"/>
      <c r="C58" s="1223">
        <v>0</v>
      </c>
      <c r="D58" s="1223">
        <v>0</v>
      </c>
      <c r="E58" s="1243"/>
      <c r="F58" s="1708"/>
      <c r="G58" s="1243"/>
      <c r="H58" s="1708"/>
    </row>
    <row r="59" spans="1:8" ht="12.75" customHeight="1">
      <c r="A59" s="1867"/>
      <c r="B59" s="1867"/>
      <c r="C59" s="1867"/>
      <c r="D59" s="1867"/>
      <c r="E59" s="1243"/>
      <c r="F59" s="1708"/>
      <c r="G59" s="1243"/>
      <c r="H59" s="1708"/>
    </row>
    <row r="60" spans="1:8">
      <c r="E60" s="1243"/>
      <c r="F60" s="1708"/>
      <c r="G60" s="1243"/>
      <c r="H60" s="1708"/>
    </row>
    <row r="61" spans="1:8">
      <c r="E61" s="1243"/>
      <c r="F61" s="1708"/>
      <c r="G61" s="1243"/>
      <c r="H61" s="1708"/>
    </row>
  </sheetData>
  <sheetProtection selectLockedCells="1" selectUnlockedCells="1"/>
  <mergeCells count="6">
    <mergeCell ref="A59:D59"/>
    <mergeCell ref="A1:D1"/>
    <mergeCell ref="C2:D3"/>
    <mergeCell ref="C4:D4"/>
    <mergeCell ref="A7:D7"/>
    <mergeCell ref="A43:D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C000"/>
  </sheetPr>
  <dimension ref="A1:M62"/>
  <sheetViews>
    <sheetView view="pageBreakPreview" zoomScaleNormal="100" zoomScaleSheetLayoutView="100" workbookViewId="0">
      <selection activeCell="C2" sqref="C2:D3"/>
    </sheetView>
  </sheetViews>
  <sheetFormatPr defaultRowHeight="12.75"/>
  <cols>
    <col min="1" max="1" width="11.85546875" style="1268" customWidth="1"/>
    <col min="2" max="2" width="56.28515625" style="1269" customWidth="1"/>
    <col min="3" max="3" width="14.7109375" style="1269" customWidth="1"/>
    <col min="4" max="4" width="15.140625" style="1269" customWidth="1"/>
    <col min="5" max="9" width="9.140625" style="1271" hidden="1" customWidth="1"/>
    <col min="10" max="10" width="9.140625" style="1710" hidden="1" customWidth="1"/>
    <col min="11" max="11" width="9.140625" style="1271" hidden="1" customWidth="1"/>
    <col min="12" max="12" width="9.140625" style="1233" hidden="1" customWidth="1"/>
    <col min="13" max="13" width="9.140625" style="1717" hidden="1" customWidth="1"/>
    <col min="14" max="15" width="9.140625" style="1233" customWidth="1"/>
    <col min="16" max="252" width="9.140625" style="1233"/>
    <col min="253" max="253" width="11.85546875" style="1233" customWidth="1"/>
    <col min="254" max="254" width="56.28515625" style="1233" customWidth="1"/>
    <col min="255" max="255" width="14.7109375" style="1233" customWidth="1"/>
    <col min="256" max="256" width="15.140625" style="1233" customWidth="1"/>
    <col min="257" max="264" width="9.140625" style="1233" customWidth="1"/>
    <col min="265" max="508" width="9.140625" style="1233"/>
    <col min="509" max="509" width="11.85546875" style="1233" customWidth="1"/>
    <col min="510" max="510" width="56.28515625" style="1233" customWidth="1"/>
    <col min="511" max="511" width="14.7109375" style="1233" customWidth="1"/>
    <col min="512" max="512" width="15.140625" style="1233" customWidth="1"/>
    <col min="513" max="520" width="9.140625" style="1233" customWidth="1"/>
    <col min="521" max="764" width="9.140625" style="1233"/>
    <col min="765" max="765" width="11.85546875" style="1233" customWidth="1"/>
    <col min="766" max="766" width="56.28515625" style="1233" customWidth="1"/>
    <col min="767" max="767" width="14.7109375" style="1233" customWidth="1"/>
    <col min="768" max="768" width="15.140625" style="1233" customWidth="1"/>
    <col min="769" max="776" width="9.140625" style="1233" customWidth="1"/>
    <col min="777" max="1020" width="9.140625" style="1233"/>
    <col min="1021" max="1021" width="11.85546875" style="1233" customWidth="1"/>
    <col min="1022" max="1022" width="56.28515625" style="1233" customWidth="1"/>
    <col min="1023" max="1023" width="14.7109375" style="1233" customWidth="1"/>
    <col min="1024" max="1024" width="15.140625" style="1233" customWidth="1"/>
    <col min="1025" max="1032" width="9.140625" style="1233" customWidth="1"/>
    <col min="1033" max="1276" width="9.140625" style="1233"/>
    <col min="1277" max="1277" width="11.85546875" style="1233" customWidth="1"/>
    <col min="1278" max="1278" width="56.28515625" style="1233" customWidth="1"/>
    <col min="1279" max="1279" width="14.7109375" style="1233" customWidth="1"/>
    <col min="1280" max="1280" width="15.140625" style="1233" customWidth="1"/>
    <col min="1281" max="1288" width="9.140625" style="1233" customWidth="1"/>
    <col min="1289" max="1532" width="9.140625" style="1233"/>
    <col min="1533" max="1533" width="11.85546875" style="1233" customWidth="1"/>
    <col min="1534" max="1534" width="56.28515625" style="1233" customWidth="1"/>
    <col min="1535" max="1535" width="14.7109375" style="1233" customWidth="1"/>
    <col min="1536" max="1536" width="15.140625" style="1233" customWidth="1"/>
    <col min="1537" max="1544" width="9.140625" style="1233" customWidth="1"/>
    <col min="1545" max="1788" width="9.140625" style="1233"/>
    <col min="1789" max="1789" width="11.85546875" style="1233" customWidth="1"/>
    <col min="1790" max="1790" width="56.28515625" style="1233" customWidth="1"/>
    <col min="1791" max="1791" width="14.7109375" style="1233" customWidth="1"/>
    <col min="1792" max="1792" width="15.140625" style="1233" customWidth="1"/>
    <col min="1793" max="1800" width="9.140625" style="1233" customWidth="1"/>
    <col min="1801" max="2044" width="9.140625" style="1233"/>
    <col min="2045" max="2045" width="11.85546875" style="1233" customWidth="1"/>
    <col min="2046" max="2046" width="56.28515625" style="1233" customWidth="1"/>
    <col min="2047" max="2047" width="14.7109375" style="1233" customWidth="1"/>
    <col min="2048" max="2048" width="15.140625" style="1233" customWidth="1"/>
    <col min="2049" max="2056" width="9.140625" style="1233" customWidth="1"/>
    <col min="2057" max="2300" width="9.140625" style="1233"/>
    <col min="2301" max="2301" width="11.85546875" style="1233" customWidth="1"/>
    <col min="2302" max="2302" width="56.28515625" style="1233" customWidth="1"/>
    <col min="2303" max="2303" width="14.7109375" style="1233" customWidth="1"/>
    <col min="2304" max="2304" width="15.140625" style="1233" customWidth="1"/>
    <col min="2305" max="2312" width="9.140625" style="1233" customWidth="1"/>
    <col min="2313" max="2556" width="9.140625" style="1233"/>
    <col min="2557" max="2557" width="11.85546875" style="1233" customWidth="1"/>
    <col min="2558" max="2558" width="56.28515625" style="1233" customWidth="1"/>
    <col min="2559" max="2559" width="14.7109375" style="1233" customWidth="1"/>
    <col min="2560" max="2560" width="15.140625" style="1233" customWidth="1"/>
    <col min="2561" max="2568" width="9.140625" style="1233" customWidth="1"/>
    <col min="2569" max="2812" width="9.140625" style="1233"/>
    <col min="2813" max="2813" width="11.85546875" style="1233" customWidth="1"/>
    <col min="2814" max="2814" width="56.28515625" style="1233" customWidth="1"/>
    <col min="2815" max="2815" width="14.7109375" style="1233" customWidth="1"/>
    <col min="2816" max="2816" width="15.140625" style="1233" customWidth="1"/>
    <col min="2817" max="2824" width="9.140625" style="1233" customWidth="1"/>
    <col min="2825" max="3068" width="9.140625" style="1233"/>
    <col min="3069" max="3069" width="11.85546875" style="1233" customWidth="1"/>
    <col min="3070" max="3070" width="56.28515625" style="1233" customWidth="1"/>
    <col min="3071" max="3071" width="14.7109375" style="1233" customWidth="1"/>
    <col min="3072" max="3072" width="15.140625" style="1233" customWidth="1"/>
    <col min="3073" max="3080" width="9.140625" style="1233" customWidth="1"/>
    <col min="3081" max="3324" width="9.140625" style="1233"/>
    <col min="3325" max="3325" width="11.85546875" style="1233" customWidth="1"/>
    <col min="3326" max="3326" width="56.28515625" style="1233" customWidth="1"/>
    <col min="3327" max="3327" width="14.7109375" style="1233" customWidth="1"/>
    <col min="3328" max="3328" width="15.140625" style="1233" customWidth="1"/>
    <col min="3329" max="3336" width="9.140625" style="1233" customWidth="1"/>
    <col min="3337" max="3580" width="9.140625" style="1233"/>
    <col min="3581" max="3581" width="11.85546875" style="1233" customWidth="1"/>
    <col min="3582" max="3582" width="56.28515625" style="1233" customWidth="1"/>
    <col min="3583" max="3583" width="14.7109375" style="1233" customWidth="1"/>
    <col min="3584" max="3584" width="15.140625" style="1233" customWidth="1"/>
    <col min="3585" max="3592" width="9.140625" style="1233" customWidth="1"/>
    <col min="3593" max="3836" width="9.140625" style="1233"/>
    <col min="3837" max="3837" width="11.85546875" style="1233" customWidth="1"/>
    <col min="3838" max="3838" width="56.28515625" style="1233" customWidth="1"/>
    <col min="3839" max="3839" width="14.7109375" style="1233" customWidth="1"/>
    <col min="3840" max="3840" width="15.140625" style="1233" customWidth="1"/>
    <col min="3841" max="3848" width="9.140625" style="1233" customWidth="1"/>
    <col min="3849" max="4092" width="9.140625" style="1233"/>
    <col min="4093" max="4093" width="11.85546875" style="1233" customWidth="1"/>
    <col min="4094" max="4094" width="56.28515625" style="1233" customWidth="1"/>
    <col min="4095" max="4095" width="14.7109375" style="1233" customWidth="1"/>
    <col min="4096" max="4096" width="15.140625" style="1233" customWidth="1"/>
    <col min="4097" max="4104" width="9.140625" style="1233" customWidth="1"/>
    <col min="4105" max="4348" width="9.140625" style="1233"/>
    <col min="4349" max="4349" width="11.85546875" style="1233" customWidth="1"/>
    <col min="4350" max="4350" width="56.28515625" style="1233" customWidth="1"/>
    <col min="4351" max="4351" width="14.7109375" style="1233" customWidth="1"/>
    <col min="4352" max="4352" width="15.140625" style="1233" customWidth="1"/>
    <col min="4353" max="4360" width="9.140625" style="1233" customWidth="1"/>
    <col min="4361" max="4604" width="9.140625" style="1233"/>
    <col min="4605" max="4605" width="11.85546875" style="1233" customWidth="1"/>
    <col min="4606" max="4606" width="56.28515625" style="1233" customWidth="1"/>
    <col min="4607" max="4607" width="14.7109375" style="1233" customWidth="1"/>
    <col min="4608" max="4608" width="15.140625" style="1233" customWidth="1"/>
    <col min="4609" max="4616" width="9.140625" style="1233" customWidth="1"/>
    <col min="4617" max="4860" width="9.140625" style="1233"/>
    <col min="4861" max="4861" width="11.85546875" style="1233" customWidth="1"/>
    <col min="4862" max="4862" width="56.28515625" style="1233" customWidth="1"/>
    <col min="4863" max="4863" width="14.7109375" style="1233" customWidth="1"/>
    <col min="4864" max="4864" width="15.140625" style="1233" customWidth="1"/>
    <col min="4865" max="4872" width="9.140625" style="1233" customWidth="1"/>
    <col min="4873" max="5116" width="9.140625" style="1233"/>
    <col min="5117" max="5117" width="11.85546875" style="1233" customWidth="1"/>
    <col min="5118" max="5118" width="56.28515625" style="1233" customWidth="1"/>
    <col min="5119" max="5119" width="14.7109375" style="1233" customWidth="1"/>
    <col min="5120" max="5120" width="15.140625" style="1233" customWidth="1"/>
    <col min="5121" max="5128" width="9.140625" style="1233" customWidth="1"/>
    <col min="5129" max="5372" width="9.140625" style="1233"/>
    <col min="5373" max="5373" width="11.85546875" style="1233" customWidth="1"/>
    <col min="5374" max="5374" width="56.28515625" style="1233" customWidth="1"/>
    <col min="5375" max="5375" width="14.7109375" style="1233" customWidth="1"/>
    <col min="5376" max="5376" width="15.140625" style="1233" customWidth="1"/>
    <col min="5377" max="5384" width="9.140625" style="1233" customWidth="1"/>
    <col min="5385" max="5628" width="9.140625" style="1233"/>
    <col min="5629" max="5629" width="11.85546875" style="1233" customWidth="1"/>
    <col min="5630" max="5630" width="56.28515625" style="1233" customWidth="1"/>
    <col min="5631" max="5631" width="14.7109375" style="1233" customWidth="1"/>
    <col min="5632" max="5632" width="15.140625" style="1233" customWidth="1"/>
    <col min="5633" max="5640" width="9.140625" style="1233" customWidth="1"/>
    <col min="5641" max="5884" width="9.140625" style="1233"/>
    <col min="5885" max="5885" width="11.85546875" style="1233" customWidth="1"/>
    <col min="5886" max="5886" width="56.28515625" style="1233" customWidth="1"/>
    <col min="5887" max="5887" width="14.7109375" style="1233" customWidth="1"/>
    <col min="5888" max="5888" width="15.140625" style="1233" customWidth="1"/>
    <col min="5889" max="5896" width="9.140625" style="1233" customWidth="1"/>
    <col min="5897" max="6140" width="9.140625" style="1233"/>
    <col min="6141" max="6141" width="11.85546875" style="1233" customWidth="1"/>
    <col min="6142" max="6142" width="56.28515625" style="1233" customWidth="1"/>
    <col min="6143" max="6143" width="14.7109375" style="1233" customWidth="1"/>
    <col min="6144" max="6144" width="15.140625" style="1233" customWidth="1"/>
    <col min="6145" max="6152" width="9.140625" style="1233" customWidth="1"/>
    <col min="6153" max="6396" width="9.140625" style="1233"/>
    <col min="6397" max="6397" width="11.85546875" style="1233" customWidth="1"/>
    <col min="6398" max="6398" width="56.28515625" style="1233" customWidth="1"/>
    <col min="6399" max="6399" width="14.7109375" style="1233" customWidth="1"/>
    <col min="6400" max="6400" width="15.140625" style="1233" customWidth="1"/>
    <col min="6401" max="6408" width="9.140625" style="1233" customWidth="1"/>
    <col min="6409" max="6652" width="9.140625" style="1233"/>
    <col min="6653" max="6653" width="11.85546875" style="1233" customWidth="1"/>
    <col min="6654" max="6654" width="56.28515625" style="1233" customWidth="1"/>
    <col min="6655" max="6655" width="14.7109375" style="1233" customWidth="1"/>
    <col min="6656" max="6656" width="15.140625" style="1233" customWidth="1"/>
    <col min="6657" max="6664" width="9.140625" style="1233" customWidth="1"/>
    <col min="6665" max="6908" width="9.140625" style="1233"/>
    <col min="6909" max="6909" width="11.85546875" style="1233" customWidth="1"/>
    <col min="6910" max="6910" width="56.28515625" style="1233" customWidth="1"/>
    <col min="6911" max="6911" width="14.7109375" style="1233" customWidth="1"/>
    <col min="6912" max="6912" width="15.140625" style="1233" customWidth="1"/>
    <col min="6913" max="6920" width="9.140625" style="1233" customWidth="1"/>
    <col min="6921" max="7164" width="9.140625" style="1233"/>
    <col min="7165" max="7165" width="11.85546875" style="1233" customWidth="1"/>
    <col min="7166" max="7166" width="56.28515625" style="1233" customWidth="1"/>
    <col min="7167" max="7167" width="14.7109375" style="1233" customWidth="1"/>
    <col min="7168" max="7168" width="15.140625" style="1233" customWidth="1"/>
    <col min="7169" max="7176" width="9.140625" style="1233" customWidth="1"/>
    <col min="7177" max="7420" width="9.140625" style="1233"/>
    <col min="7421" max="7421" width="11.85546875" style="1233" customWidth="1"/>
    <col min="7422" max="7422" width="56.28515625" style="1233" customWidth="1"/>
    <col min="7423" max="7423" width="14.7109375" style="1233" customWidth="1"/>
    <col min="7424" max="7424" width="15.140625" style="1233" customWidth="1"/>
    <col min="7425" max="7432" width="9.140625" style="1233" customWidth="1"/>
    <col min="7433" max="7676" width="9.140625" style="1233"/>
    <col min="7677" max="7677" width="11.85546875" style="1233" customWidth="1"/>
    <col min="7678" max="7678" width="56.28515625" style="1233" customWidth="1"/>
    <col min="7679" max="7679" width="14.7109375" style="1233" customWidth="1"/>
    <col min="7680" max="7680" width="15.140625" style="1233" customWidth="1"/>
    <col min="7681" max="7688" width="9.140625" style="1233" customWidth="1"/>
    <col min="7689" max="7932" width="9.140625" style="1233"/>
    <col min="7933" max="7933" width="11.85546875" style="1233" customWidth="1"/>
    <col min="7934" max="7934" width="56.28515625" style="1233" customWidth="1"/>
    <col min="7935" max="7935" width="14.7109375" style="1233" customWidth="1"/>
    <col min="7936" max="7936" width="15.140625" style="1233" customWidth="1"/>
    <col min="7937" max="7944" width="9.140625" style="1233" customWidth="1"/>
    <col min="7945" max="8188" width="9.140625" style="1233"/>
    <col min="8189" max="8189" width="11.85546875" style="1233" customWidth="1"/>
    <col min="8190" max="8190" width="56.28515625" style="1233" customWidth="1"/>
    <col min="8191" max="8191" width="14.7109375" style="1233" customWidth="1"/>
    <col min="8192" max="8192" width="15.140625" style="1233" customWidth="1"/>
    <col min="8193" max="8200" width="9.140625" style="1233" customWidth="1"/>
    <col min="8201" max="8444" width="9.140625" style="1233"/>
    <col min="8445" max="8445" width="11.85546875" style="1233" customWidth="1"/>
    <col min="8446" max="8446" width="56.28515625" style="1233" customWidth="1"/>
    <col min="8447" max="8447" width="14.7109375" style="1233" customWidth="1"/>
    <col min="8448" max="8448" width="15.140625" style="1233" customWidth="1"/>
    <col min="8449" max="8456" width="9.140625" style="1233" customWidth="1"/>
    <col min="8457" max="8700" width="9.140625" style="1233"/>
    <col min="8701" max="8701" width="11.85546875" style="1233" customWidth="1"/>
    <col min="8702" max="8702" width="56.28515625" style="1233" customWidth="1"/>
    <col min="8703" max="8703" width="14.7109375" style="1233" customWidth="1"/>
    <col min="8704" max="8704" width="15.140625" style="1233" customWidth="1"/>
    <col min="8705" max="8712" width="9.140625" style="1233" customWidth="1"/>
    <col min="8713" max="8956" width="9.140625" style="1233"/>
    <col min="8957" max="8957" width="11.85546875" style="1233" customWidth="1"/>
    <col min="8958" max="8958" width="56.28515625" style="1233" customWidth="1"/>
    <col min="8959" max="8959" width="14.7109375" style="1233" customWidth="1"/>
    <col min="8960" max="8960" width="15.140625" style="1233" customWidth="1"/>
    <col min="8961" max="8968" width="9.140625" style="1233" customWidth="1"/>
    <col min="8969" max="9212" width="9.140625" style="1233"/>
    <col min="9213" max="9213" width="11.85546875" style="1233" customWidth="1"/>
    <col min="9214" max="9214" width="56.28515625" style="1233" customWidth="1"/>
    <col min="9215" max="9215" width="14.7109375" style="1233" customWidth="1"/>
    <col min="9216" max="9216" width="15.140625" style="1233" customWidth="1"/>
    <col min="9217" max="9224" width="9.140625" style="1233" customWidth="1"/>
    <col min="9225" max="9468" width="9.140625" style="1233"/>
    <col min="9469" max="9469" width="11.85546875" style="1233" customWidth="1"/>
    <col min="9470" max="9470" width="56.28515625" style="1233" customWidth="1"/>
    <col min="9471" max="9471" width="14.7109375" style="1233" customWidth="1"/>
    <col min="9472" max="9472" width="15.140625" style="1233" customWidth="1"/>
    <col min="9473" max="9480" width="9.140625" style="1233" customWidth="1"/>
    <col min="9481" max="9724" width="9.140625" style="1233"/>
    <col min="9725" max="9725" width="11.85546875" style="1233" customWidth="1"/>
    <col min="9726" max="9726" width="56.28515625" style="1233" customWidth="1"/>
    <col min="9727" max="9727" width="14.7109375" style="1233" customWidth="1"/>
    <col min="9728" max="9728" width="15.140625" style="1233" customWidth="1"/>
    <col min="9729" max="9736" width="9.140625" style="1233" customWidth="1"/>
    <col min="9737" max="9980" width="9.140625" style="1233"/>
    <col min="9981" max="9981" width="11.85546875" style="1233" customWidth="1"/>
    <col min="9982" max="9982" width="56.28515625" style="1233" customWidth="1"/>
    <col min="9983" max="9983" width="14.7109375" style="1233" customWidth="1"/>
    <col min="9984" max="9984" width="15.140625" style="1233" customWidth="1"/>
    <col min="9985" max="9992" width="9.140625" style="1233" customWidth="1"/>
    <col min="9993" max="10236" width="9.140625" style="1233"/>
    <col min="10237" max="10237" width="11.85546875" style="1233" customWidth="1"/>
    <col min="10238" max="10238" width="56.28515625" style="1233" customWidth="1"/>
    <col min="10239" max="10239" width="14.7109375" style="1233" customWidth="1"/>
    <col min="10240" max="10240" width="15.140625" style="1233" customWidth="1"/>
    <col min="10241" max="10248" width="9.140625" style="1233" customWidth="1"/>
    <col min="10249" max="10492" width="9.140625" style="1233"/>
    <col min="10493" max="10493" width="11.85546875" style="1233" customWidth="1"/>
    <col min="10494" max="10494" width="56.28515625" style="1233" customWidth="1"/>
    <col min="10495" max="10495" width="14.7109375" style="1233" customWidth="1"/>
    <col min="10496" max="10496" width="15.140625" style="1233" customWidth="1"/>
    <col min="10497" max="10504" width="9.140625" style="1233" customWidth="1"/>
    <col min="10505" max="10748" width="9.140625" style="1233"/>
    <col min="10749" max="10749" width="11.85546875" style="1233" customWidth="1"/>
    <col min="10750" max="10750" width="56.28515625" style="1233" customWidth="1"/>
    <col min="10751" max="10751" width="14.7109375" style="1233" customWidth="1"/>
    <col min="10752" max="10752" width="15.140625" style="1233" customWidth="1"/>
    <col min="10753" max="10760" width="9.140625" style="1233" customWidth="1"/>
    <col min="10761" max="11004" width="9.140625" style="1233"/>
    <col min="11005" max="11005" width="11.85546875" style="1233" customWidth="1"/>
    <col min="11006" max="11006" width="56.28515625" style="1233" customWidth="1"/>
    <col min="11007" max="11007" width="14.7109375" style="1233" customWidth="1"/>
    <col min="11008" max="11008" width="15.140625" style="1233" customWidth="1"/>
    <col min="11009" max="11016" width="9.140625" style="1233" customWidth="1"/>
    <col min="11017" max="11260" width="9.140625" style="1233"/>
    <col min="11261" max="11261" width="11.85546875" style="1233" customWidth="1"/>
    <col min="11262" max="11262" width="56.28515625" style="1233" customWidth="1"/>
    <col min="11263" max="11263" width="14.7109375" style="1233" customWidth="1"/>
    <col min="11264" max="11264" width="15.140625" style="1233" customWidth="1"/>
    <col min="11265" max="11272" width="9.140625" style="1233" customWidth="1"/>
    <col min="11273" max="11516" width="9.140625" style="1233"/>
    <col min="11517" max="11517" width="11.85546875" style="1233" customWidth="1"/>
    <col min="11518" max="11518" width="56.28515625" style="1233" customWidth="1"/>
    <col min="11519" max="11519" width="14.7109375" style="1233" customWidth="1"/>
    <col min="11520" max="11520" width="15.140625" style="1233" customWidth="1"/>
    <col min="11521" max="11528" width="9.140625" style="1233" customWidth="1"/>
    <col min="11529" max="11772" width="9.140625" style="1233"/>
    <col min="11773" max="11773" width="11.85546875" style="1233" customWidth="1"/>
    <col min="11774" max="11774" width="56.28515625" style="1233" customWidth="1"/>
    <col min="11775" max="11775" width="14.7109375" style="1233" customWidth="1"/>
    <col min="11776" max="11776" width="15.140625" style="1233" customWidth="1"/>
    <col min="11777" max="11784" width="9.140625" style="1233" customWidth="1"/>
    <col min="11785" max="12028" width="9.140625" style="1233"/>
    <col min="12029" max="12029" width="11.85546875" style="1233" customWidth="1"/>
    <col min="12030" max="12030" width="56.28515625" style="1233" customWidth="1"/>
    <col min="12031" max="12031" width="14.7109375" style="1233" customWidth="1"/>
    <col min="12032" max="12032" width="15.140625" style="1233" customWidth="1"/>
    <col min="12033" max="12040" width="9.140625" style="1233" customWidth="1"/>
    <col min="12041" max="12284" width="9.140625" style="1233"/>
    <col min="12285" max="12285" width="11.85546875" style="1233" customWidth="1"/>
    <col min="12286" max="12286" width="56.28515625" style="1233" customWidth="1"/>
    <col min="12287" max="12287" width="14.7109375" style="1233" customWidth="1"/>
    <col min="12288" max="12288" width="15.140625" style="1233" customWidth="1"/>
    <col min="12289" max="12296" width="9.140625" style="1233" customWidth="1"/>
    <col min="12297" max="12540" width="9.140625" style="1233"/>
    <col min="12541" max="12541" width="11.85546875" style="1233" customWidth="1"/>
    <col min="12542" max="12542" width="56.28515625" style="1233" customWidth="1"/>
    <col min="12543" max="12543" width="14.7109375" style="1233" customWidth="1"/>
    <col min="12544" max="12544" width="15.140625" style="1233" customWidth="1"/>
    <col min="12545" max="12552" width="9.140625" style="1233" customWidth="1"/>
    <col min="12553" max="12796" width="9.140625" style="1233"/>
    <col min="12797" max="12797" width="11.85546875" style="1233" customWidth="1"/>
    <col min="12798" max="12798" width="56.28515625" style="1233" customWidth="1"/>
    <col min="12799" max="12799" width="14.7109375" style="1233" customWidth="1"/>
    <col min="12800" max="12800" width="15.140625" style="1233" customWidth="1"/>
    <col min="12801" max="12808" width="9.140625" style="1233" customWidth="1"/>
    <col min="12809" max="13052" width="9.140625" style="1233"/>
    <col min="13053" max="13053" width="11.85546875" style="1233" customWidth="1"/>
    <col min="13054" max="13054" width="56.28515625" style="1233" customWidth="1"/>
    <col min="13055" max="13055" width="14.7109375" style="1233" customWidth="1"/>
    <col min="13056" max="13056" width="15.140625" style="1233" customWidth="1"/>
    <col min="13057" max="13064" width="9.140625" style="1233" customWidth="1"/>
    <col min="13065" max="13308" width="9.140625" style="1233"/>
    <col min="13309" max="13309" width="11.85546875" style="1233" customWidth="1"/>
    <col min="13310" max="13310" width="56.28515625" style="1233" customWidth="1"/>
    <col min="13311" max="13311" width="14.7109375" style="1233" customWidth="1"/>
    <col min="13312" max="13312" width="15.140625" style="1233" customWidth="1"/>
    <col min="13313" max="13320" width="9.140625" style="1233" customWidth="1"/>
    <col min="13321" max="13564" width="9.140625" style="1233"/>
    <col min="13565" max="13565" width="11.85546875" style="1233" customWidth="1"/>
    <col min="13566" max="13566" width="56.28515625" style="1233" customWidth="1"/>
    <col min="13567" max="13567" width="14.7109375" style="1233" customWidth="1"/>
    <col min="13568" max="13568" width="15.140625" style="1233" customWidth="1"/>
    <col min="13569" max="13576" width="9.140625" style="1233" customWidth="1"/>
    <col min="13577" max="13820" width="9.140625" style="1233"/>
    <col min="13821" max="13821" width="11.85546875" style="1233" customWidth="1"/>
    <col min="13822" max="13822" width="56.28515625" style="1233" customWidth="1"/>
    <col min="13823" max="13823" width="14.7109375" style="1233" customWidth="1"/>
    <col min="13824" max="13824" width="15.140625" style="1233" customWidth="1"/>
    <col min="13825" max="13832" width="9.140625" style="1233" customWidth="1"/>
    <col min="13833" max="14076" width="9.140625" style="1233"/>
    <col min="14077" max="14077" width="11.85546875" style="1233" customWidth="1"/>
    <col min="14078" max="14078" width="56.28515625" style="1233" customWidth="1"/>
    <col min="14079" max="14079" width="14.7109375" style="1233" customWidth="1"/>
    <col min="14080" max="14080" width="15.140625" style="1233" customWidth="1"/>
    <col min="14081" max="14088" width="9.140625" style="1233" customWidth="1"/>
    <col min="14089" max="14332" width="9.140625" style="1233"/>
    <col min="14333" max="14333" width="11.85546875" style="1233" customWidth="1"/>
    <col min="14334" max="14334" width="56.28515625" style="1233" customWidth="1"/>
    <col min="14335" max="14335" width="14.7109375" style="1233" customWidth="1"/>
    <col min="14336" max="14336" width="15.140625" style="1233" customWidth="1"/>
    <col min="14337" max="14344" width="9.140625" style="1233" customWidth="1"/>
    <col min="14345" max="14588" width="9.140625" style="1233"/>
    <col min="14589" max="14589" width="11.85546875" style="1233" customWidth="1"/>
    <col min="14590" max="14590" width="56.28515625" style="1233" customWidth="1"/>
    <col min="14591" max="14591" width="14.7109375" style="1233" customWidth="1"/>
    <col min="14592" max="14592" width="15.140625" style="1233" customWidth="1"/>
    <col min="14593" max="14600" width="9.140625" style="1233" customWidth="1"/>
    <col min="14601" max="14844" width="9.140625" style="1233"/>
    <col min="14845" max="14845" width="11.85546875" style="1233" customWidth="1"/>
    <col min="14846" max="14846" width="56.28515625" style="1233" customWidth="1"/>
    <col min="14847" max="14847" width="14.7109375" style="1233" customWidth="1"/>
    <col min="14848" max="14848" width="15.140625" style="1233" customWidth="1"/>
    <col min="14849" max="14856" width="9.140625" style="1233" customWidth="1"/>
    <col min="14857" max="15100" width="9.140625" style="1233"/>
    <col min="15101" max="15101" width="11.85546875" style="1233" customWidth="1"/>
    <col min="15102" max="15102" width="56.28515625" style="1233" customWidth="1"/>
    <col min="15103" max="15103" width="14.7109375" style="1233" customWidth="1"/>
    <col min="15104" max="15104" width="15.140625" style="1233" customWidth="1"/>
    <col min="15105" max="15112" width="9.140625" style="1233" customWidth="1"/>
    <col min="15113" max="15356" width="9.140625" style="1233"/>
    <col min="15357" max="15357" width="11.85546875" style="1233" customWidth="1"/>
    <col min="15358" max="15358" width="56.28515625" style="1233" customWidth="1"/>
    <col min="15359" max="15359" width="14.7109375" style="1233" customWidth="1"/>
    <col min="15360" max="15360" width="15.140625" style="1233" customWidth="1"/>
    <col min="15361" max="15368" width="9.140625" style="1233" customWidth="1"/>
    <col min="15369" max="15612" width="9.140625" style="1233"/>
    <col min="15613" max="15613" width="11.85546875" style="1233" customWidth="1"/>
    <col min="15614" max="15614" width="56.28515625" style="1233" customWidth="1"/>
    <col min="15615" max="15615" width="14.7109375" style="1233" customWidth="1"/>
    <col min="15616" max="15616" width="15.140625" style="1233" customWidth="1"/>
    <col min="15617" max="15624" width="9.140625" style="1233" customWidth="1"/>
    <col min="15625" max="15868" width="9.140625" style="1233"/>
    <col min="15869" max="15869" width="11.85546875" style="1233" customWidth="1"/>
    <col min="15870" max="15870" width="56.28515625" style="1233" customWidth="1"/>
    <col min="15871" max="15871" width="14.7109375" style="1233" customWidth="1"/>
    <col min="15872" max="15872" width="15.140625" style="1233" customWidth="1"/>
    <col min="15873" max="15880" width="9.140625" style="1233" customWidth="1"/>
    <col min="15881" max="16124" width="9.140625" style="1233"/>
    <col min="16125" max="16125" width="11.85546875" style="1233" customWidth="1"/>
    <col min="16126" max="16126" width="56.28515625" style="1233" customWidth="1"/>
    <col min="16127" max="16127" width="14.7109375" style="1233" customWidth="1"/>
    <col min="16128" max="16128" width="15.140625" style="1233" customWidth="1"/>
    <col min="16129" max="16136" width="9.140625" style="1233" customWidth="1"/>
    <col min="16137" max="16384" width="9.140625" style="1233"/>
  </cols>
  <sheetData>
    <row r="1" spans="1:13" s="1226" customFormat="1" ht="21" customHeight="1" thickBot="1">
      <c r="A1" s="1868" t="s">
        <v>1250</v>
      </c>
      <c r="B1" s="1868"/>
      <c r="C1" s="1868"/>
      <c r="D1" s="1868"/>
      <c r="E1" s="1225"/>
      <c r="F1" s="1225"/>
      <c r="G1" s="1225"/>
      <c r="H1" s="1225"/>
      <c r="I1" s="1225"/>
      <c r="J1" s="1704"/>
      <c r="K1" s="1225"/>
      <c r="M1" s="1713"/>
    </row>
    <row r="2" spans="1:13" s="1229" customFormat="1" ht="25.5" customHeight="1">
      <c r="A2" s="1227" t="s">
        <v>966</v>
      </c>
      <c r="B2" s="1082" t="s">
        <v>967</v>
      </c>
      <c r="C2" s="1869" t="s">
        <v>968</v>
      </c>
      <c r="D2" s="1870"/>
      <c r="E2" s="1228"/>
      <c r="F2" s="1228"/>
      <c r="G2" s="1228"/>
      <c r="H2" s="1228"/>
      <c r="I2" s="1228"/>
      <c r="J2" s="1705"/>
      <c r="K2" s="1228"/>
      <c r="M2" s="1714"/>
    </row>
    <row r="3" spans="1:13" s="1229" customFormat="1" ht="24.75" thickBot="1">
      <c r="A3" s="1230" t="s">
        <v>685</v>
      </c>
      <c r="B3" s="1085" t="s">
        <v>1236</v>
      </c>
      <c r="C3" s="1871"/>
      <c r="D3" s="1872"/>
      <c r="E3" s="1228"/>
      <c r="F3" s="1228"/>
      <c r="G3" s="1228"/>
      <c r="H3" s="1228"/>
      <c r="I3" s="1228"/>
      <c r="J3" s="1705"/>
      <c r="K3" s="1228"/>
      <c r="M3" s="1714"/>
    </row>
    <row r="4" spans="1:13" s="1231" customFormat="1" ht="15.95" customHeight="1" thickBot="1">
      <c r="A4" s="1086"/>
      <c r="B4" s="1087"/>
      <c r="C4" s="1825" t="s">
        <v>687</v>
      </c>
      <c r="D4" s="1826"/>
      <c r="E4" s="1228"/>
      <c r="F4" s="1228"/>
      <c r="G4" s="1228"/>
      <c r="H4" s="1228"/>
      <c r="I4" s="1228"/>
      <c r="J4" s="1705"/>
      <c r="K4" s="1228"/>
      <c r="M4" s="1715"/>
    </row>
    <row r="5" spans="1:13" ht="36.75" thickBot="1">
      <c r="A5" s="1522" t="s">
        <v>688</v>
      </c>
      <c r="B5" s="1090" t="s">
        <v>689</v>
      </c>
      <c r="C5" s="1091" t="s">
        <v>690</v>
      </c>
      <c r="D5" s="1092" t="s">
        <v>691</v>
      </c>
      <c r="E5" s="1276" t="s">
        <v>925</v>
      </c>
      <c r="F5" s="1276" t="s">
        <v>969</v>
      </c>
      <c r="G5" s="1276" t="s">
        <v>928</v>
      </c>
      <c r="H5" s="1276" t="s">
        <v>932</v>
      </c>
      <c r="I5" s="1276" t="s">
        <v>957</v>
      </c>
      <c r="J5" s="1711" t="s">
        <v>970</v>
      </c>
      <c r="K5" s="1276" t="s">
        <v>925</v>
      </c>
      <c r="L5" s="1276" t="s">
        <v>932</v>
      </c>
      <c r="M5" s="1711" t="s">
        <v>970</v>
      </c>
    </row>
    <row r="6" spans="1:13" s="1235" customFormat="1" ht="12.95" customHeight="1" thickBot="1">
      <c r="A6" s="1094">
        <v>1</v>
      </c>
      <c r="B6" s="1095">
        <v>2</v>
      </c>
      <c r="C6" s="1096">
        <v>3</v>
      </c>
      <c r="D6" s="1097">
        <v>4</v>
      </c>
      <c r="E6" s="1234"/>
      <c r="F6" s="1234"/>
      <c r="G6" s="1234"/>
      <c r="H6" s="1234"/>
      <c r="I6" s="1234"/>
      <c r="J6" s="1706"/>
      <c r="K6" s="1712"/>
      <c r="L6" s="1712"/>
      <c r="M6" s="1716"/>
    </row>
    <row r="7" spans="1:13" s="1235" customFormat="1" ht="15.95" customHeight="1" thickBot="1">
      <c r="A7" s="1827" t="s">
        <v>692</v>
      </c>
      <c r="B7" s="1828"/>
      <c r="C7" s="1828"/>
      <c r="D7" s="1829"/>
      <c r="E7" s="1234"/>
      <c r="F7" s="1234"/>
      <c r="G7" s="1234"/>
      <c r="H7" s="1234"/>
      <c r="I7" s="1234"/>
      <c r="J7" s="1706"/>
      <c r="K7" s="1712"/>
      <c r="L7" s="1712"/>
      <c r="M7" s="1716"/>
    </row>
    <row r="8" spans="1:13" s="1239" customFormat="1" ht="12" customHeight="1" thickBot="1">
      <c r="A8" s="1094" t="s">
        <v>693</v>
      </c>
      <c r="B8" s="1236" t="s">
        <v>971</v>
      </c>
      <c r="C8" s="1331">
        <f>SUM(C9:C18)</f>
        <v>137000</v>
      </c>
      <c r="D8" s="1237">
        <f>SUM(D9:D18)</f>
        <v>137000</v>
      </c>
      <c r="E8" s="1238"/>
      <c r="F8" s="1238"/>
      <c r="G8" s="1238"/>
      <c r="H8" s="1238"/>
      <c r="I8" s="1238"/>
      <c r="J8" s="1707"/>
      <c r="K8" s="1243"/>
      <c r="L8" s="1243"/>
      <c r="M8" s="1708"/>
    </row>
    <row r="9" spans="1:13" s="1239" customFormat="1" ht="12" customHeight="1">
      <c r="A9" s="1240" t="s">
        <v>695</v>
      </c>
      <c r="B9" s="1153" t="s">
        <v>753</v>
      </c>
      <c r="C9" s="1355">
        <f>SUM(E9:J9)</f>
        <v>0</v>
      </c>
      <c r="D9" s="1242">
        <f>C9+SUM(K9:M9)</f>
        <v>0</v>
      </c>
      <c r="E9" s="1243"/>
      <c r="F9" s="1243"/>
      <c r="G9" s="1243"/>
      <c r="H9" s="1243"/>
      <c r="I9" s="1243"/>
      <c r="J9" s="1708"/>
      <c r="K9" s="1243"/>
      <c r="L9" s="1243"/>
      <c r="M9" s="1708"/>
    </row>
    <row r="10" spans="1:13" s="1239" customFormat="1" ht="12" customHeight="1">
      <c r="A10" s="1244" t="s">
        <v>697</v>
      </c>
      <c r="B10" s="1156" t="s">
        <v>755</v>
      </c>
      <c r="C10" s="1355">
        <f t="shared" ref="C10:C18" si="0">SUM(E10:J10)</f>
        <v>0</v>
      </c>
      <c r="D10" s="1245">
        <f t="shared" ref="D10:D18" si="1">C10+SUM(K10:M10)</f>
        <v>0</v>
      </c>
      <c r="E10" s="1243"/>
      <c r="F10" s="1243"/>
      <c r="G10" s="1243"/>
      <c r="H10" s="1243"/>
      <c r="I10" s="1243"/>
      <c r="J10" s="1708"/>
      <c r="K10" s="1243"/>
      <c r="L10" s="1243"/>
      <c r="M10" s="1708"/>
    </row>
    <row r="11" spans="1:13" s="1239" customFormat="1" ht="12" customHeight="1">
      <c r="A11" s="1244" t="s">
        <v>699</v>
      </c>
      <c r="B11" s="1156" t="s">
        <v>757</v>
      </c>
      <c r="C11" s="1355">
        <f t="shared" si="0"/>
        <v>100000</v>
      </c>
      <c r="D11" s="1245">
        <f t="shared" si="1"/>
        <v>100000</v>
      </c>
      <c r="E11" s="1243">
        <v>100000</v>
      </c>
      <c r="F11" s="1243"/>
      <c r="G11" s="1243"/>
      <c r="H11" s="1243"/>
      <c r="I11" s="1243"/>
      <c r="J11" s="1708"/>
      <c r="K11" s="1243"/>
      <c r="L11" s="1243"/>
      <c r="M11" s="1708"/>
    </row>
    <row r="12" spans="1:13" s="1239" customFormat="1" ht="12" customHeight="1">
      <c r="A12" s="1244" t="s">
        <v>701</v>
      </c>
      <c r="B12" s="1156" t="s">
        <v>759</v>
      </c>
      <c r="C12" s="1355">
        <f t="shared" si="0"/>
        <v>0</v>
      </c>
      <c r="D12" s="1245">
        <f t="shared" si="1"/>
        <v>0</v>
      </c>
      <c r="E12" s="1243"/>
      <c r="F12" s="1243"/>
      <c r="G12" s="1243"/>
      <c r="H12" s="1243"/>
      <c r="I12" s="1243"/>
      <c r="J12" s="1708"/>
      <c r="K12" s="1243"/>
      <c r="L12" s="1243"/>
      <c r="M12" s="1708"/>
    </row>
    <row r="13" spans="1:13" s="1239" customFormat="1" ht="12" customHeight="1">
      <c r="A13" s="1244" t="s">
        <v>703</v>
      </c>
      <c r="B13" s="1156" t="s">
        <v>761</v>
      </c>
      <c r="C13" s="1355">
        <f t="shared" si="0"/>
        <v>0</v>
      </c>
      <c r="D13" s="1245">
        <f t="shared" si="1"/>
        <v>0</v>
      </c>
      <c r="E13" s="1243"/>
      <c r="F13" s="1243"/>
      <c r="G13" s="1243"/>
      <c r="H13" s="1243"/>
      <c r="I13" s="1243"/>
      <c r="J13" s="1708"/>
      <c r="K13" s="1243"/>
      <c r="L13" s="1243"/>
      <c r="M13" s="1708"/>
    </row>
    <row r="14" spans="1:13" s="1239" customFormat="1" ht="12" customHeight="1">
      <c r="A14" s="1244" t="s">
        <v>705</v>
      </c>
      <c r="B14" s="1156" t="s">
        <v>972</v>
      </c>
      <c r="C14" s="1355">
        <f t="shared" si="0"/>
        <v>27000</v>
      </c>
      <c r="D14" s="1245">
        <f t="shared" si="1"/>
        <v>27000</v>
      </c>
      <c r="E14" s="1243">
        <v>27000</v>
      </c>
      <c r="F14" s="1243"/>
      <c r="G14" s="1243"/>
      <c r="H14" s="1243"/>
      <c r="I14" s="1243"/>
      <c r="J14" s="1708"/>
      <c r="K14" s="1243"/>
      <c r="L14" s="1243"/>
      <c r="M14" s="1708"/>
    </row>
    <row r="15" spans="1:13" s="1239" customFormat="1" ht="12" customHeight="1">
      <c r="A15" s="1244" t="s">
        <v>859</v>
      </c>
      <c r="B15" s="1175" t="s">
        <v>973</v>
      </c>
      <c r="C15" s="1355">
        <f t="shared" si="0"/>
        <v>0</v>
      </c>
      <c r="D15" s="1245">
        <f t="shared" si="1"/>
        <v>0</v>
      </c>
      <c r="E15" s="1243"/>
      <c r="F15" s="1243"/>
      <c r="G15" s="1243"/>
      <c r="H15" s="1243"/>
      <c r="I15" s="1243"/>
      <c r="J15" s="1708"/>
      <c r="K15" s="1243"/>
      <c r="L15" s="1243"/>
      <c r="M15" s="1708"/>
    </row>
    <row r="16" spans="1:13" s="1239" customFormat="1" ht="12" customHeight="1">
      <c r="A16" s="1244" t="s">
        <v>861</v>
      </c>
      <c r="B16" s="1156" t="s">
        <v>767</v>
      </c>
      <c r="C16" s="1355">
        <f t="shared" si="0"/>
        <v>0</v>
      </c>
      <c r="D16" s="1245">
        <f t="shared" si="1"/>
        <v>0</v>
      </c>
      <c r="E16" s="1243"/>
      <c r="F16" s="1243"/>
      <c r="G16" s="1243"/>
      <c r="H16" s="1243"/>
      <c r="I16" s="1243"/>
      <c r="J16" s="1708"/>
      <c r="K16" s="1243"/>
      <c r="L16" s="1243"/>
      <c r="M16" s="1708"/>
    </row>
    <row r="17" spans="1:13" s="1247" customFormat="1" ht="12" customHeight="1">
      <c r="A17" s="1244" t="s">
        <v>863</v>
      </c>
      <c r="B17" s="1156" t="s">
        <v>769</v>
      </c>
      <c r="C17" s="1355">
        <f t="shared" si="0"/>
        <v>0</v>
      </c>
      <c r="D17" s="1245">
        <f>C17+SUM(K17:M17)</f>
        <v>0</v>
      </c>
      <c r="E17" s="1243"/>
      <c r="F17" s="1243"/>
      <c r="G17" s="1243"/>
      <c r="H17" s="1243"/>
      <c r="I17" s="1243"/>
      <c r="J17" s="1708"/>
      <c r="K17" s="1243"/>
      <c r="L17" s="1243"/>
      <c r="M17" s="1708"/>
    </row>
    <row r="18" spans="1:13" s="1247" customFormat="1" ht="12" customHeight="1" thickBot="1">
      <c r="A18" s="1244" t="s">
        <v>865</v>
      </c>
      <c r="B18" s="1175" t="s">
        <v>771</v>
      </c>
      <c r="C18" s="1355">
        <f t="shared" si="0"/>
        <v>10000</v>
      </c>
      <c r="D18" s="1725">
        <f t="shared" si="1"/>
        <v>10000</v>
      </c>
      <c r="E18" s="1243">
        <v>10000</v>
      </c>
      <c r="F18" s="1243"/>
      <c r="G18" s="1243"/>
      <c r="H18" s="1243"/>
      <c r="I18" s="1243"/>
      <c r="J18" s="1708"/>
      <c r="K18" s="1243"/>
      <c r="L18" s="1243"/>
      <c r="M18" s="1708"/>
    </row>
    <row r="19" spans="1:13" s="1239" customFormat="1" ht="12" customHeight="1" thickBot="1">
      <c r="A19" s="1094" t="s">
        <v>707</v>
      </c>
      <c r="B19" s="1236" t="s">
        <v>974</v>
      </c>
      <c r="C19" s="1331">
        <f>SUM(C20:C22)</f>
        <v>0</v>
      </c>
      <c r="D19" s="1237">
        <f>SUM(D20:D22)</f>
        <v>956104</v>
      </c>
      <c r="E19" s="1243"/>
      <c r="F19" s="1243"/>
      <c r="G19" s="1243"/>
      <c r="H19" s="1243"/>
      <c r="I19" s="1243"/>
      <c r="J19" s="1708"/>
      <c r="K19" s="1243"/>
      <c r="L19" s="1243"/>
      <c r="M19" s="1708"/>
    </row>
    <row r="20" spans="1:13" s="1247" customFormat="1" ht="12" customHeight="1">
      <c r="A20" s="1244" t="s">
        <v>709</v>
      </c>
      <c r="B20" s="1173" t="s">
        <v>710</v>
      </c>
      <c r="C20" s="1355">
        <f t="shared" ref="C20:C23" si="2">SUM(E20:J20)</f>
        <v>0</v>
      </c>
      <c r="D20" s="1242">
        <f t="shared" ref="D20:D23" si="3">C20+SUM(K20:M20)</f>
        <v>0</v>
      </c>
      <c r="E20" s="1243"/>
      <c r="F20" s="1243"/>
      <c r="G20" s="1243"/>
      <c r="H20" s="1243"/>
      <c r="I20" s="1243"/>
      <c r="J20" s="1708"/>
      <c r="K20" s="1243"/>
      <c r="L20" s="1243"/>
      <c r="M20" s="1708"/>
    </row>
    <row r="21" spans="1:13" s="1247" customFormat="1" ht="12" customHeight="1">
      <c r="A21" s="1244" t="s">
        <v>711</v>
      </c>
      <c r="B21" s="1156" t="s">
        <v>975</v>
      </c>
      <c r="C21" s="1355">
        <f t="shared" si="2"/>
        <v>0</v>
      </c>
      <c r="D21" s="1245">
        <f t="shared" si="3"/>
        <v>0</v>
      </c>
      <c r="E21" s="1243"/>
      <c r="F21" s="1243"/>
      <c r="G21" s="1243"/>
      <c r="H21" s="1243"/>
      <c r="I21" s="1243"/>
      <c r="J21" s="1708"/>
      <c r="K21" s="1243"/>
      <c r="L21" s="1243"/>
      <c r="M21" s="1708"/>
    </row>
    <row r="22" spans="1:13" s="1247" customFormat="1" ht="12" customHeight="1">
      <c r="A22" s="1244" t="s">
        <v>713</v>
      </c>
      <c r="B22" s="1156" t="s">
        <v>976</v>
      </c>
      <c r="C22" s="1355">
        <f t="shared" si="2"/>
        <v>0</v>
      </c>
      <c r="D22" s="1245">
        <f t="shared" si="3"/>
        <v>956104</v>
      </c>
      <c r="E22" s="1243"/>
      <c r="F22" s="1243"/>
      <c r="G22" s="1243"/>
      <c r="H22" s="1243"/>
      <c r="I22" s="1243"/>
      <c r="J22" s="1708"/>
      <c r="K22" s="1243"/>
      <c r="L22" s="1243"/>
      <c r="M22" s="1708">
        <v>956104</v>
      </c>
    </row>
    <row r="23" spans="1:13" s="1247" customFormat="1" ht="12" customHeight="1" thickBot="1">
      <c r="A23" s="1244" t="s">
        <v>715</v>
      </c>
      <c r="B23" s="1156" t="s">
        <v>977</v>
      </c>
      <c r="C23" s="1355">
        <f t="shared" si="2"/>
        <v>0</v>
      </c>
      <c r="D23" s="1725">
        <f t="shared" si="3"/>
        <v>0</v>
      </c>
      <c r="E23" s="1243"/>
      <c r="F23" s="1243"/>
      <c r="G23" s="1243"/>
      <c r="H23" s="1243"/>
      <c r="I23" s="1243"/>
      <c r="J23" s="1708"/>
      <c r="K23" s="1243"/>
      <c r="L23" s="1243"/>
      <c r="M23" s="1708"/>
    </row>
    <row r="24" spans="1:13" s="1247" customFormat="1" ht="12" customHeight="1" thickBot="1">
      <c r="A24" s="1249" t="s">
        <v>721</v>
      </c>
      <c r="B24" s="1172" t="s">
        <v>282</v>
      </c>
      <c r="C24" s="1721"/>
      <c r="D24" s="1250"/>
      <c r="E24" s="1243"/>
      <c r="F24" s="1243"/>
      <c r="G24" s="1243"/>
      <c r="H24" s="1243"/>
      <c r="I24" s="1243"/>
      <c r="J24" s="1708"/>
      <c r="K24" s="1243"/>
      <c r="L24" s="1243"/>
      <c r="M24" s="1708"/>
    </row>
    <row r="25" spans="1:13" s="1247" customFormat="1" ht="12" customHeight="1" thickBot="1">
      <c r="A25" s="1249" t="s">
        <v>897</v>
      </c>
      <c r="B25" s="1172" t="s">
        <v>978</v>
      </c>
      <c r="C25" s="1331">
        <f>+C26+C27</f>
        <v>0</v>
      </c>
      <c r="D25" s="1237">
        <f>+D26+D27</f>
        <v>0</v>
      </c>
      <c r="E25" s="1243"/>
      <c r="F25" s="1243"/>
      <c r="G25" s="1243"/>
      <c r="H25" s="1243"/>
      <c r="I25" s="1243"/>
      <c r="J25" s="1708"/>
      <c r="K25" s="1243"/>
      <c r="L25" s="1243"/>
      <c r="M25" s="1708"/>
    </row>
    <row r="26" spans="1:13" s="1247" customFormat="1" ht="12" customHeight="1">
      <c r="A26" s="1251" t="s">
        <v>737</v>
      </c>
      <c r="B26" s="1252" t="s">
        <v>975</v>
      </c>
      <c r="C26" s="1355">
        <f t="shared" ref="C26:C28" si="4">SUM(E26:J26)</f>
        <v>0</v>
      </c>
      <c r="D26" s="1242">
        <f t="shared" ref="D26:D28" si="5">C26+SUM(K26:M26)</f>
        <v>0</v>
      </c>
      <c r="E26" s="1243"/>
      <c r="F26" s="1243"/>
      <c r="G26" s="1243"/>
      <c r="H26" s="1243"/>
      <c r="I26" s="1243"/>
      <c r="J26" s="1708"/>
      <c r="K26" s="1243"/>
      <c r="L26" s="1243"/>
      <c r="M26" s="1708"/>
    </row>
    <row r="27" spans="1:13" s="1247" customFormat="1" ht="12" customHeight="1">
      <c r="A27" s="1251" t="s">
        <v>749</v>
      </c>
      <c r="B27" s="1253" t="s">
        <v>979</v>
      </c>
      <c r="C27" s="1355">
        <f t="shared" si="4"/>
        <v>0</v>
      </c>
      <c r="D27" s="1245">
        <f t="shared" si="5"/>
        <v>0</v>
      </c>
      <c r="E27" s="1243"/>
      <c r="F27" s="1243"/>
      <c r="G27" s="1243"/>
      <c r="H27" s="1243"/>
      <c r="I27" s="1243"/>
      <c r="J27" s="1708"/>
      <c r="K27" s="1243"/>
      <c r="L27" s="1243"/>
      <c r="M27" s="1708"/>
    </row>
    <row r="28" spans="1:13" s="1247" customFormat="1" ht="12" customHeight="1" thickBot="1">
      <c r="A28" s="1244" t="s">
        <v>980</v>
      </c>
      <c r="B28" s="1255" t="s">
        <v>981</v>
      </c>
      <c r="C28" s="1355">
        <f t="shared" si="4"/>
        <v>0</v>
      </c>
      <c r="D28" s="1725">
        <f t="shared" si="5"/>
        <v>0</v>
      </c>
      <c r="E28" s="1243"/>
      <c r="F28" s="1243"/>
      <c r="G28" s="1243"/>
      <c r="H28" s="1243"/>
      <c r="I28" s="1243"/>
      <c r="J28" s="1708"/>
      <c r="K28" s="1243"/>
      <c r="L28" s="1243"/>
      <c r="M28" s="1708"/>
    </row>
    <row r="29" spans="1:13" s="1247" customFormat="1" ht="12" customHeight="1" thickBot="1">
      <c r="A29" s="1249" t="s">
        <v>750</v>
      </c>
      <c r="B29" s="1172" t="s">
        <v>982</v>
      </c>
      <c r="C29" s="1331">
        <f>+C30+C31+C32</f>
        <v>0</v>
      </c>
      <c r="D29" s="1237">
        <f>+D30+D31+D32</f>
        <v>0</v>
      </c>
      <c r="E29" s="1243"/>
      <c r="F29" s="1243"/>
      <c r="G29" s="1243"/>
      <c r="H29" s="1243"/>
      <c r="I29" s="1243"/>
      <c r="J29" s="1708"/>
      <c r="K29" s="1243"/>
      <c r="L29" s="1243"/>
      <c r="M29" s="1708"/>
    </row>
    <row r="30" spans="1:13" s="1247" customFormat="1" ht="12" customHeight="1">
      <c r="A30" s="1251" t="s">
        <v>752</v>
      </c>
      <c r="B30" s="1252" t="s">
        <v>775</v>
      </c>
      <c r="C30" s="1355">
        <f t="shared" ref="C30:C32" si="6">SUM(E30:J30)</f>
        <v>0</v>
      </c>
      <c r="D30" s="1242">
        <f t="shared" ref="D30:D32" si="7">C30+SUM(K30:M30)</f>
        <v>0</v>
      </c>
      <c r="E30" s="1243"/>
      <c r="F30" s="1243"/>
      <c r="G30" s="1243"/>
      <c r="H30" s="1243"/>
      <c r="I30" s="1243"/>
      <c r="J30" s="1708"/>
      <c r="K30" s="1243"/>
      <c r="L30" s="1243"/>
      <c r="M30" s="1708"/>
    </row>
    <row r="31" spans="1:13" s="1247" customFormat="1" ht="12" customHeight="1">
      <c r="A31" s="1251" t="s">
        <v>754</v>
      </c>
      <c r="B31" s="1253" t="s">
        <v>655</v>
      </c>
      <c r="C31" s="1355">
        <f t="shared" si="6"/>
        <v>0</v>
      </c>
      <c r="D31" s="1245">
        <f t="shared" si="7"/>
        <v>0</v>
      </c>
      <c r="E31" s="1243"/>
      <c r="F31" s="1243"/>
      <c r="G31" s="1243"/>
      <c r="H31" s="1243"/>
      <c r="I31" s="1243"/>
      <c r="J31" s="1708"/>
      <c r="K31" s="1243"/>
      <c r="L31" s="1243"/>
      <c r="M31" s="1708"/>
    </row>
    <row r="32" spans="1:13" s="1247" customFormat="1" ht="12" customHeight="1" thickBot="1">
      <c r="A32" s="1244" t="s">
        <v>756</v>
      </c>
      <c r="B32" s="1256" t="s">
        <v>778</v>
      </c>
      <c r="C32" s="1355">
        <f t="shared" si="6"/>
        <v>0</v>
      </c>
      <c r="D32" s="1725">
        <f t="shared" si="7"/>
        <v>0</v>
      </c>
      <c r="E32" s="1243"/>
      <c r="F32" s="1243"/>
      <c r="G32" s="1243"/>
      <c r="H32" s="1243"/>
      <c r="I32" s="1243"/>
      <c r="J32" s="1708"/>
      <c r="K32" s="1243"/>
      <c r="L32" s="1243"/>
      <c r="M32" s="1708"/>
    </row>
    <row r="33" spans="1:13" s="1239" customFormat="1" ht="12" customHeight="1" thickBot="1">
      <c r="A33" s="1249" t="s">
        <v>772</v>
      </c>
      <c r="B33" s="1172" t="s">
        <v>983</v>
      </c>
      <c r="C33" s="1721"/>
      <c r="D33" s="1250"/>
      <c r="E33" s="1243"/>
      <c r="F33" s="1243"/>
      <c r="G33" s="1243"/>
      <c r="H33" s="1243"/>
      <c r="I33" s="1243"/>
      <c r="J33" s="1708"/>
      <c r="K33" s="1243"/>
      <c r="L33" s="1243"/>
      <c r="M33" s="1708"/>
    </row>
    <row r="34" spans="1:13" s="1239" customFormat="1" ht="12" customHeight="1" thickBot="1">
      <c r="A34" s="1249" t="s">
        <v>908</v>
      </c>
      <c r="B34" s="1172" t="s">
        <v>984</v>
      </c>
      <c r="C34" s="1722"/>
      <c r="D34" s="1250"/>
      <c r="E34" s="1243"/>
      <c r="F34" s="1243"/>
      <c r="G34" s="1243"/>
      <c r="H34" s="1243"/>
      <c r="I34" s="1243"/>
      <c r="J34" s="1708"/>
      <c r="K34" s="1243"/>
      <c r="L34" s="1243"/>
      <c r="M34" s="1708"/>
    </row>
    <row r="35" spans="1:13" s="1239" customFormat="1" ht="12" customHeight="1" thickBot="1">
      <c r="A35" s="1094" t="s">
        <v>793</v>
      </c>
      <c r="B35" s="1172" t="s">
        <v>985</v>
      </c>
      <c r="C35" s="1723">
        <f>+C8+C19+C24+C25+C29+C33+C34</f>
        <v>137000</v>
      </c>
      <c r="D35" s="1237">
        <f>+D8+D19+D24+D25+D29+D33+D34</f>
        <v>1093104</v>
      </c>
      <c r="E35" s="1243"/>
      <c r="F35" s="1243"/>
      <c r="G35" s="1243"/>
      <c r="H35" s="1243"/>
      <c r="I35" s="1243"/>
      <c r="J35" s="1708"/>
      <c r="K35" s="1243"/>
      <c r="L35" s="1243"/>
      <c r="M35" s="1708"/>
    </row>
    <row r="36" spans="1:13" s="1239" customFormat="1" ht="12" customHeight="1" thickBot="1">
      <c r="A36" s="1259" t="s">
        <v>803</v>
      </c>
      <c r="B36" s="1172" t="s">
        <v>986</v>
      </c>
      <c r="C36" s="1723">
        <f>+C37+C38+C39</f>
        <v>47970252</v>
      </c>
      <c r="D36" s="1237">
        <f>+D37+D38+D39</f>
        <v>48605252</v>
      </c>
      <c r="E36" s="1243"/>
      <c r="F36" s="1243"/>
      <c r="G36" s="1243"/>
      <c r="H36" s="1243"/>
      <c r="I36" s="1243"/>
      <c r="J36" s="1708"/>
      <c r="K36" s="1243"/>
      <c r="L36" s="1243"/>
      <c r="M36" s="1708"/>
    </row>
    <row r="37" spans="1:13" s="1239" customFormat="1" ht="12" customHeight="1">
      <c r="A37" s="1251" t="s">
        <v>987</v>
      </c>
      <c r="B37" s="1252" t="s">
        <v>988</v>
      </c>
      <c r="C37" s="1355">
        <f t="shared" ref="C37:C39" si="8">SUM(E37:J37)</f>
        <v>0</v>
      </c>
      <c r="D37" s="1242">
        <f t="shared" ref="D37:D39" si="9">C37+SUM(K37:M37)</f>
        <v>635000</v>
      </c>
      <c r="E37" s="1243"/>
      <c r="F37" s="1243"/>
      <c r="G37" s="1243"/>
      <c r="H37" s="1243"/>
      <c r="I37" s="1243"/>
      <c r="J37" s="1708"/>
      <c r="K37" s="1243"/>
      <c r="L37" s="1243">
        <v>635000</v>
      </c>
      <c r="M37" s="1708"/>
    </row>
    <row r="38" spans="1:13" s="1239" customFormat="1" ht="12" customHeight="1">
      <c r="A38" s="1251" t="s">
        <v>989</v>
      </c>
      <c r="B38" s="1253" t="s">
        <v>990</v>
      </c>
      <c r="C38" s="1355">
        <f t="shared" si="8"/>
        <v>0</v>
      </c>
      <c r="D38" s="1245">
        <f t="shared" si="9"/>
        <v>0</v>
      </c>
      <c r="E38" s="1243"/>
      <c r="F38" s="1243"/>
      <c r="G38" s="1243"/>
      <c r="H38" s="1243"/>
      <c r="I38" s="1243"/>
      <c r="J38" s="1708"/>
      <c r="K38" s="1243"/>
      <c r="L38" s="1243"/>
      <c r="M38" s="1708"/>
    </row>
    <row r="39" spans="1:13" s="1247" customFormat="1" ht="12" customHeight="1" thickBot="1">
      <c r="A39" s="1244" t="s">
        <v>991</v>
      </c>
      <c r="B39" s="1256" t="s">
        <v>992</v>
      </c>
      <c r="C39" s="1355">
        <f t="shared" si="8"/>
        <v>47970252</v>
      </c>
      <c r="D39" s="1725">
        <f t="shared" si="9"/>
        <v>47970252</v>
      </c>
      <c r="E39" s="1243"/>
      <c r="F39" s="1243"/>
      <c r="G39" s="1243"/>
      <c r="H39" s="1243">
        <v>47970252</v>
      </c>
      <c r="I39" s="1243"/>
      <c r="J39" s="1708"/>
      <c r="K39" s="1243"/>
      <c r="L39" s="1243"/>
      <c r="M39" s="1708"/>
    </row>
    <row r="40" spans="1:13" s="1247" customFormat="1" ht="15" customHeight="1" thickBot="1">
      <c r="A40" s="1259" t="s">
        <v>920</v>
      </c>
      <c r="B40" s="1260" t="s">
        <v>993</v>
      </c>
      <c r="C40" s="1724">
        <f>+C35+C36</f>
        <v>48107252</v>
      </c>
      <c r="D40" s="1267">
        <f>+D35+D36</f>
        <v>49698356</v>
      </c>
      <c r="E40" s="1243">
        <f t="shared" ref="E40:J40" si="10">SUM(E8:E39)</f>
        <v>137000</v>
      </c>
      <c r="F40" s="1243">
        <f t="shared" si="10"/>
        <v>0</v>
      </c>
      <c r="G40" s="1243">
        <f t="shared" si="10"/>
        <v>0</v>
      </c>
      <c r="H40" s="1243">
        <f t="shared" si="10"/>
        <v>47970252</v>
      </c>
      <c r="I40" s="1243">
        <f t="shared" si="10"/>
        <v>0</v>
      </c>
      <c r="J40" s="1708">
        <f t="shared" si="10"/>
        <v>0</v>
      </c>
      <c r="K40" s="1243"/>
      <c r="L40" s="1243"/>
      <c r="M40" s="1708"/>
    </row>
    <row r="41" spans="1:13" s="1247" customFormat="1" ht="15" customHeight="1">
      <c r="A41" s="1141"/>
      <c r="B41" s="1142"/>
      <c r="C41" s="1143"/>
      <c r="D41" s="1143"/>
      <c r="E41" s="1243"/>
      <c r="F41" s="1243"/>
      <c r="G41" s="1243"/>
      <c r="H41" s="1243"/>
      <c r="I41" s="1243"/>
      <c r="J41" s="1708"/>
      <c r="K41" s="1243"/>
      <c r="L41" s="1243"/>
      <c r="M41" s="1708"/>
    </row>
    <row r="42" spans="1:13" ht="13.5" thickBot="1">
      <c r="A42" s="1262"/>
      <c r="B42" s="1145"/>
      <c r="C42" s="1146"/>
      <c r="D42" s="1146"/>
      <c r="E42" s="1243"/>
      <c r="F42" s="1243"/>
      <c r="G42" s="1243"/>
      <c r="H42" s="1243"/>
      <c r="I42" s="1243"/>
      <c r="J42" s="1708"/>
      <c r="K42" s="1243"/>
      <c r="L42" s="1243"/>
      <c r="M42" s="1708"/>
    </row>
    <row r="43" spans="1:13" s="1235" customFormat="1" ht="16.5" customHeight="1" thickBot="1">
      <c r="A43" s="1827" t="s">
        <v>853</v>
      </c>
      <c r="B43" s="1828"/>
      <c r="C43" s="1828"/>
      <c r="D43" s="1829"/>
      <c r="E43" s="1263"/>
      <c r="F43" s="1263"/>
      <c r="G43" s="1263"/>
      <c r="H43" s="1263"/>
      <c r="I43" s="1263"/>
      <c r="J43" s="1709"/>
      <c r="K43" s="1712"/>
      <c r="L43" s="1712"/>
      <c r="M43" s="1716"/>
    </row>
    <row r="44" spans="1:13" s="1264" customFormat="1" ht="12" customHeight="1" thickBot="1">
      <c r="A44" s="1249" t="s">
        <v>693</v>
      </c>
      <c r="B44" s="1172" t="s">
        <v>994</v>
      </c>
      <c r="C44" s="1331">
        <f>SUM(C45:C49)</f>
        <v>48107252</v>
      </c>
      <c r="D44" s="1237">
        <f>SUM(D45:D49)</f>
        <v>49063356</v>
      </c>
      <c r="E44" s="1243"/>
      <c r="F44" s="1243"/>
      <c r="G44" s="1243"/>
      <c r="H44" s="1243"/>
      <c r="I44" s="1243"/>
      <c r="J44" s="1708"/>
      <c r="K44" s="1243"/>
      <c r="L44" s="1243"/>
      <c r="M44" s="1708"/>
    </row>
    <row r="45" spans="1:13" ht="12" customHeight="1">
      <c r="A45" s="1244" t="s">
        <v>695</v>
      </c>
      <c r="B45" s="1173" t="s">
        <v>855</v>
      </c>
      <c r="C45" s="1355">
        <f t="shared" ref="C45:C49" si="11">SUM(E45:J45)</f>
        <v>31443367</v>
      </c>
      <c r="D45" s="1242">
        <f t="shared" ref="D45:D54" si="12">C45+SUM(K45:M45)</f>
        <v>32132267</v>
      </c>
      <c r="E45" s="1243">
        <v>27137829</v>
      </c>
      <c r="F45" s="1243">
        <v>4305538</v>
      </c>
      <c r="G45" s="1243"/>
      <c r="H45" s="1243"/>
      <c r="I45" s="1243"/>
      <c r="J45" s="1708"/>
      <c r="K45" s="1243"/>
      <c r="L45" s="1243"/>
      <c r="M45" s="1708">
        <f>355000+315000+18900</f>
        <v>688900</v>
      </c>
    </row>
    <row r="46" spans="1:13" ht="12" customHeight="1">
      <c r="A46" s="1244" t="s">
        <v>697</v>
      </c>
      <c r="B46" s="1156" t="s">
        <v>30</v>
      </c>
      <c r="C46" s="1355">
        <f t="shared" si="11"/>
        <v>6246775</v>
      </c>
      <c r="D46" s="1245">
        <f t="shared" si="12"/>
        <v>6387196</v>
      </c>
      <c r="E46" s="1243">
        <v>5449178</v>
      </c>
      <c r="F46" s="1243">
        <v>797597</v>
      </c>
      <c r="G46" s="1243"/>
      <c r="H46" s="1243"/>
      <c r="I46" s="1243"/>
      <c r="J46" s="1708"/>
      <c r="K46" s="1243"/>
      <c r="L46" s="1243"/>
      <c r="M46" s="1708">
        <f>130650+4800+4971</f>
        <v>140421</v>
      </c>
    </row>
    <row r="47" spans="1:13" ht="12" customHeight="1">
      <c r="A47" s="1244" t="s">
        <v>699</v>
      </c>
      <c r="B47" s="1156" t="s">
        <v>856</v>
      </c>
      <c r="C47" s="1355">
        <f t="shared" si="11"/>
        <v>10297110</v>
      </c>
      <c r="D47" s="1245">
        <f t="shared" si="12"/>
        <v>10423893</v>
      </c>
      <c r="E47" s="1243">
        <v>9714660</v>
      </c>
      <c r="F47" s="1243">
        <v>582450</v>
      </c>
      <c r="G47" s="1243"/>
      <c r="H47" s="1243"/>
      <c r="I47" s="1243"/>
      <c r="J47" s="1708"/>
      <c r="K47" s="1243"/>
      <c r="L47" s="1243"/>
      <c r="M47" s="1708">
        <f>28346+23622+19436+31000+24379</f>
        <v>126783</v>
      </c>
    </row>
    <row r="48" spans="1:13" ht="12" customHeight="1">
      <c r="A48" s="1244" t="s">
        <v>701</v>
      </c>
      <c r="B48" s="1156" t="s">
        <v>244</v>
      </c>
      <c r="C48" s="1355">
        <f t="shared" si="11"/>
        <v>120000</v>
      </c>
      <c r="D48" s="1245">
        <f t="shared" si="12"/>
        <v>120000</v>
      </c>
      <c r="E48" s="1243"/>
      <c r="F48" s="1243"/>
      <c r="G48" s="1243"/>
      <c r="H48" s="1243"/>
      <c r="I48" s="1243">
        <v>120000</v>
      </c>
      <c r="J48" s="1708"/>
      <c r="K48" s="1243"/>
      <c r="L48" s="1243"/>
      <c r="M48" s="1708"/>
    </row>
    <row r="49" spans="1:13" ht="12" customHeight="1" thickBot="1">
      <c r="A49" s="1244" t="s">
        <v>703</v>
      </c>
      <c r="B49" s="1156" t="s">
        <v>63</v>
      </c>
      <c r="C49" s="1355">
        <f t="shared" si="11"/>
        <v>0</v>
      </c>
      <c r="D49" s="1725">
        <f t="shared" si="12"/>
        <v>0</v>
      </c>
      <c r="E49" s="1243"/>
      <c r="F49" s="1243"/>
      <c r="G49" s="1243"/>
      <c r="H49" s="1243"/>
      <c r="I49" s="1243"/>
      <c r="J49" s="1708"/>
      <c r="K49" s="1243"/>
      <c r="L49" s="1243"/>
      <c r="M49" s="1708"/>
    </row>
    <row r="50" spans="1:13" ht="12" customHeight="1" thickBot="1">
      <c r="A50" s="1249" t="s">
        <v>707</v>
      </c>
      <c r="B50" s="1172" t="s">
        <v>995</v>
      </c>
      <c r="C50" s="1331">
        <f>SUM(C51:C53)</f>
        <v>0</v>
      </c>
      <c r="D50" s="1237">
        <f>SUM(D51:D53)</f>
        <v>635000</v>
      </c>
      <c r="E50" s="1243"/>
      <c r="F50" s="1243"/>
      <c r="G50" s="1243"/>
      <c r="H50" s="1243"/>
      <c r="I50" s="1243"/>
      <c r="J50" s="1708"/>
      <c r="K50" s="1243"/>
      <c r="L50" s="1243"/>
      <c r="M50" s="1708"/>
    </row>
    <row r="51" spans="1:13" s="1264" customFormat="1" ht="12" customHeight="1">
      <c r="A51" s="1244" t="s">
        <v>709</v>
      </c>
      <c r="B51" s="1173" t="s">
        <v>72</v>
      </c>
      <c r="C51" s="1355">
        <f t="shared" ref="C51:C53" si="13">SUM(E51:J51)</f>
        <v>0</v>
      </c>
      <c r="D51" s="1242">
        <f t="shared" si="12"/>
        <v>635000</v>
      </c>
      <c r="E51" s="1243"/>
      <c r="F51" s="1243"/>
      <c r="G51" s="1243"/>
      <c r="H51" s="1243"/>
      <c r="I51" s="1243"/>
      <c r="J51" s="1708"/>
      <c r="K51" s="1243">
        <v>635000</v>
      </c>
      <c r="L51" s="1243"/>
      <c r="M51" s="1708"/>
    </row>
    <row r="52" spans="1:13" ht="12" customHeight="1">
      <c r="A52" s="1244" t="s">
        <v>711</v>
      </c>
      <c r="B52" s="1156" t="s">
        <v>172</v>
      </c>
      <c r="C52" s="1355">
        <f t="shared" si="13"/>
        <v>0</v>
      </c>
      <c r="D52" s="1245">
        <f t="shared" si="12"/>
        <v>0</v>
      </c>
      <c r="E52" s="1243"/>
      <c r="F52" s="1243"/>
      <c r="G52" s="1243"/>
      <c r="H52" s="1243"/>
      <c r="I52" s="1243"/>
      <c r="J52" s="1708"/>
      <c r="K52" s="1243"/>
      <c r="L52" s="1243"/>
      <c r="M52" s="1708"/>
    </row>
    <row r="53" spans="1:13" ht="12" customHeight="1">
      <c r="A53" s="1244" t="s">
        <v>713</v>
      </c>
      <c r="B53" s="1156" t="s">
        <v>996</v>
      </c>
      <c r="C53" s="1355">
        <f t="shared" si="13"/>
        <v>0</v>
      </c>
      <c r="D53" s="1245">
        <f t="shared" si="12"/>
        <v>0</v>
      </c>
      <c r="E53" s="1243"/>
      <c r="F53" s="1243"/>
      <c r="G53" s="1243"/>
      <c r="H53" s="1243"/>
      <c r="I53" s="1243"/>
      <c r="J53" s="1708"/>
      <c r="K53" s="1243"/>
      <c r="L53" s="1243"/>
      <c r="M53" s="1708"/>
    </row>
    <row r="54" spans="1:13" ht="12" customHeight="1" thickBot="1">
      <c r="A54" s="1244" t="s">
        <v>715</v>
      </c>
      <c r="B54" s="1156" t="s">
        <v>997</v>
      </c>
      <c r="C54" s="1355">
        <f>SUM(E54:J54)</f>
        <v>0</v>
      </c>
      <c r="D54" s="1725">
        <f t="shared" si="12"/>
        <v>0</v>
      </c>
      <c r="E54" s="1243"/>
      <c r="F54" s="1243"/>
      <c r="G54" s="1243"/>
      <c r="H54" s="1243"/>
      <c r="I54" s="1243"/>
      <c r="J54" s="1708"/>
      <c r="K54" s="1243"/>
      <c r="L54" s="1243"/>
      <c r="M54" s="1708"/>
    </row>
    <row r="55" spans="1:13" ht="15" customHeight="1" thickBot="1">
      <c r="A55" s="1249" t="s">
        <v>721</v>
      </c>
      <c r="B55" s="1266" t="s">
        <v>998</v>
      </c>
      <c r="C55" s="1726">
        <f>+C44+C50</f>
        <v>48107252</v>
      </c>
      <c r="D55" s="1267">
        <f>+D44+D50</f>
        <v>49698356</v>
      </c>
      <c r="E55" s="1243">
        <f t="shared" ref="E55:J55" si="14">SUM(E45:E54)</f>
        <v>42301667</v>
      </c>
      <c r="F55" s="1243">
        <f t="shared" si="14"/>
        <v>5685585</v>
      </c>
      <c r="G55" s="1243">
        <f t="shared" si="14"/>
        <v>0</v>
      </c>
      <c r="H55" s="1243">
        <f t="shared" si="14"/>
        <v>0</v>
      </c>
      <c r="I55" s="1243">
        <f t="shared" si="14"/>
        <v>120000</v>
      </c>
      <c r="J55" s="1708">
        <f t="shared" si="14"/>
        <v>0</v>
      </c>
      <c r="K55" s="1243"/>
      <c r="L55" s="1243"/>
      <c r="M55" s="1708"/>
    </row>
    <row r="56" spans="1:13" ht="13.5" thickBot="1">
      <c r="C56" s="1270"/>
      <c r="D56" s="1270"/>
      <c r="E56" s="1243"/>
      <c r="F56" s="1243"/>
      <c r="G56" s="1243"/>
      <c r="H56" s="1243"/>
      <c r="I56" s="1243"/>
      <c r="J56" s="1708"/>
      <c r="K56" s="1243"/>
      <c r="L56" s="1243"/>
      <c r="M56" s="1708"/>
    </row>
    <row r="57" spans="1:13" ht="15" customHeight="1" thickBot="1">
      <c r="A57" s="1220" t="s">
        <v>964</v>
      </c>
      <c r="B57" s="1221"/>
      <c r="C57" s="1222">
        <v>8</v>
      </c>
      <c r="D57" s="1223">
        <v>8</v>
      </c>
      <c r="E57" s="1243"/>
      <c r="F57" s="1243"/>
      <c r="G57" s="1243"/>
      <c r="H57" s="1243"/>
      <c r="I57" s="1243"/>
      <c r="J57" s="1708"/>
      <c r="K57" s="1243"/>
      <c r="L57" s="1243"/>
      <c r="M57" s="1708"/>
    </row>
    <row r="58" spans="1:13" ht="14.25" customHeight="1" thickBot="1">
      <c r="A58" s="1220" t="s">
        <v>965</v>
      </c>
      <c r="B58" s="1221"/>
      <c r="C58" s="1222">
        <v>0</v>
      </c>
      <c r="D58" s="1223">
        <v>0</v>
      </c>
      <c r="E58" s="1243"/>
      <c r="F58" s="1243"/>
      <c r="G58" s="1243"/>
      <c r="H58" s="1243"/>
      <c r="I58" s="1243"/>
      <c r="J58" s="1708"/>
      <c r="K58" s="1243"/>
      <c r="L58" s="1243"/>
      <c r="M58" s="1710"/>
    </row>
    <row r="59" spans="1:13" ht="12.75" customHeight="1">
      <c r="A59" s="1867"/>
      <c r="B59" s="1867"/>
      <c r="C59" s="1867"/>
      <c r="D59" s="1867"/>
      <c r="E59" s="1243"/>
      <c r="F59" s="1243"/>
      <c r="G59" s="1243"/>
      <c r="H59" s="1243"/>
      <c r="I59" s="1243"/>
      <c r="J59" s="1708"/>
      <c r="K59" s="1243"/>
      <c r="L59" s="1243"/>
      <c r="M59" s="1710"/>
    </row>
    <row r="60" spans="1:13">
      <c r="E60" s="1243"/>
      <c r="F60" s="1243"/>
      <c r="G60" s="1243"/>
      <c r="H60" s="1243"/>
      <c r="I60" s="1243"/>
      <c r="J60" s="1708"/>
      <c r="K60" s="1243"/>
      <c r="L60" s="1243"/>
      <c r="M60" s="1710"/>
    </row>
    <row r="61" spans="1:13">
      <c r="E61" s="1243"/>
      <c r="F61" s="1243"/>
      <c r="G61" s="1243"/>
      <c r="H61" s="1243"/>
      <c r="I61" s="1243"/>
      <c r="J61" s="1708"/>
      <c r="K61" s="1243"/>
      <c r="L61" s="1243"/>
      <c r="M61" s="1710"/>
    </row>
    <row r="62" spans="1:13">
      <c r="M62" s="1710"/>
    </row>
  </sheetData>
  <sheetProtection selectLockedCells="1" selectUnlockedCells="1"/>
  <mergeCells count="6">
    <mergeCell ref="A59:D59"/>
    <mergeCell ref="A1:D1"/>
    <mergeCell ref="C2:D3"/>
    <mergeCell ref="C4:D4"/>
    <mergeCell ref="A7:D7"/>
    <mergeCell ref="A43:D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C000"/>
  </sheetPr>
  <dimension ref="A1:N60"/>
  <sheetViews>
    <sheetView view="pageBreakPreview" zoomScaleNormal="100" zoomScaleSheetLayoutView="100" workbookViewId="0">
      <selection activeCell="C2" sqref="C2:D3"/>
    </sheetView>
  </sheetViews>
  <sheetFormatPr defaultRowHeight="12.75"/>
  <cols>
    <col min="1" max="1" width="11.85546875" style="1268" customWidth="1"/>
    <col min="2" max="2" width="54.5703125" style="1269" customWidth="1"/>
    <col min="3" max="3" width="15.5703125" style="1269" customWidth="1"/>
    <col min="4" max="4" width="15.42578125" style="1269" customWidth="1"/>
    <col min="5" max="10" width="9.140625" style="1233" hidden="1" customWidth="1"/>
    <col min="11" max="11" width="9.140625" style="1717" hidden="1" customWidth="1"/>
    <col min="12" max="13" width="9.140625" style="1233" hidden="1" customWidth="1"/>
    <col min="14" max="14" width="9.140625" style="1717" hidden="1" customWidth="1"/>
    <col min="15" max="21" width="9.140625" style="1233" customWidth="1"/>
    <col min="22" max="252" width="9.140625" style="1233"/>
    <col min="253" max="253" width="11.85546875" style="1233" customWidth="1"/>
    <col min="254" max="254" width="54.5703125" style="1233" customWidth="1"/>
    <col min="255" max="255" width="15.5703125" style="1233" customWidth="1"/>
    <col min="256" max="256" width="15.42578125" style="1233" customWidth="1"/>
    <col min="257" max="263" width="9.140625" style="1233" customWidth="1"/>
    <col min="264" max="508" width="9.140625" style="1233"/>
    <col min="509" max="509" width="11.85546875" style="1233" customWidth="1"/>
    <col min="510" max="510" width="54.5703125" style="1233" customWidth="1"/>
    <col min="511" max="511" width="15.5703125" style="1233" customWidth="1"/>
    <col min="512" max="512" width="15.42578125" style="1233" customWidth="1"/>
    <col min="513" max="519" width="9.140625" style="1233" customWidth="1"/>
    <col min="520" max="764" width="9.140625" style="1233"/>
    <col min="765" max="765" width="11.85546875" style="1233" customWidth="1"/>
    <col min="766" max="766" width="54.5703125" style="1233" customWidth="1"/>
    <col min="767" max="767" width="15.5703125" style="1233" customWidth="1"/>
    <col min="768" max="768" width="15.42578125" style="1233" customWidth="1"/>
    <col min="769" max="775" width="9.140625" style="1233" customWidth="1"/>
    <col min="776" max="1020" width="9.140625" style="1233"/>
    <col min="1021" max="1021" width="11.85546875" style="1233" customWidth="1"/>
    <col min="1022" max="1022" width="54.5703125" style="1233" customWidth="1"/>
    <col min="1023" max="1023" width="15.5703125" style="1233" customWidth="1"/>
    <col min="1024" max="1024" width="15.42578125" style="1233" customWidth="1"/>
    <col min="1025" max="1031" width="9.140625" style="1233" customWidth="1"/>
    <col min="1032" max="1276" width="9.140625" style="1233"/>
    <col min="1277" max="1277" width="11.85546875" style="1233" customWidth="1"/>
    <col min="1278" max="1278" width="54.5703125" style="1233" customWidth="1"/>
    <col min="1279" max="1279" width="15.5703125" style="1233" customWidth="1"/>
    <col min="1280" max="1280" width="15.42578125" style="1233" customWidth="1"/>
    <col min="1281" max="1287" width="9.140625" style="1233" customWidth="1"/>
    <col min="1288" max="1532" width="9.140625" style="1233"/>
    <col min="1533" max="1533" width="11.85546875" style="1233" customWidth="1"/>
    <col min="1534" max="1534" width="54.5703125" style="1233" customWidth="1"/>
    <col min="1535" max="1535" width="15.5703125" style="1233" customWidth="1"/>
    <col min="1536" max="1536" width="15.42578125" style="1233" customWidth="1"/>
    <col min="1537" max="1543" width="9.140625" style="1233" customWidth="1"/>
    <col min="1544" max="1788" width="9.140625" style="1233"/>
    <col min="1789" max="1789" width="11.85546875" style="1233" customWidth="1"/>
    <col min="1790" max="1790" width="54.5703125" style="1233" customWidth="1"/>
    <col min="1791" max="1791" width="15.5703125" style="1233" customWidth="1"/>
    <col min="1792" max="1792" width="15.42578125" style="1233" customWidth="1"/>
    <col min="1793" max="1799" width="9.140625" style="1233" customWidth="1"/>
    <col min="1800" max="2044" width="9.140625" style="1233"/>
    <col min="2045" max="2045" width="11.85546875" style="1233" customWidth="1"/>
    <col min="2046" max="2046" width="54.5703125" style="1233" customWidth="1"/>
    <col min="2047" max="2047" width="15.5703125" style="1233" customWidth="1"/>
    <col min="2048" max="2048" width="15.42578125" style="1233" customWidth="1"/>
    <col min="2049" max="2055" width="9.140625" style="1233" customWidth="1"/>
    <col min="2056" max="2300" width="9.140625" style="1233"/>
    <col min="2301" max="2301" width="11.85546875" style="1233" customWidth="1"/>
    <col min="2302" max="2302" width="54.5703125" style="1233" customWidth="1"/>
    <col min="2303" max="2303" width="15.5703125" style="1233" customWidth="1"/>
    <col min="2304" max="2304" width="15.42578125" style="1233" customWidth="1"/>
    <col min="2305" max="2311" width="9.140625" style="1233" customWidth="1"/>
    <col min="2312" max="2556" width="9.140625" style="1233"/>
    <col min="2557" max="2557" width="11.85546875" style="1233" customWidth="1"/>
    <col min="2558" max="2558" width="54.5703125" style="1233" customWidth="1"/>
    <col min="2559" max="2559" width="15.5703125" style="1233" customWidth="1"/>
    <col min="2560" max="2560" width="15.42578125" style="1233" customWidth="1"/>
    <col min="2561" max="2567" width="9.140625" style="1233" customWidth="1"/>
    <col min="2568" max="2812" width="9.140625" style="1233"/>
    <col min="2813" max="2813" width="11.85546875" style="1233" customWidth="1"/>
    <col min="2814" max="2814" width="54.5703125" style="1233" customWidth="1"/>
    <col min="2815" max="2815" width="15.5703125" style="1233" customWidth="1"/>
    <col min="2816" max="2816" width="15.42578125" style="1233" customWidth="1"/>
    <col min="2817" max="2823" width="9.140625" style="1233" customWidth="1"/>
    <col min="2824" max="3068" width="9.140625" style="1233"/>
    <col min="3069" max="3069" width="11.85546875" style="1233" customWidth="1"/>
    <col min="3070" max="3070" width="54.5703125" style="1233" customWidth="1"/>
    <col min="3071" max="3071" width="15.5703125" style="1233" customWidth="1"/>
    <col min="3072" max="3072" width="15.42578125" style="1233" customWidth="1"/>
    <col min="3073" max="3079" width="9.140625" style="1233" customWidth="1"/>
    <col min="3080" max="3324" width="9.140625" style="1233"/>
    <col min="3325" max="3325" width="11.85546875" style="1233" customWidth="1"/>
    <col min="3326" max="3326" width="54.5703125" style="1233" customWidth="1"/>
    <col min="3327" max="3327" width="15.5703125" style="1233" customWidth="1"/>
    <col min="3328" max="3328" width="15.42578125" style="1233" customWidth="1"/>
    <col min="3329" max="3335" width="9.140625" style="1233" customWidth="1"/>
    <col min="3336" max="3580" width="9.140625" style="1233"/>
    <col min="3581" max="3581" width="11.85546875" style="1233" customWidth="1"/>
    <col min="3582" max="3582" width="54.5703125" style="1233" customWidth="1"/>
    <col min="3583" max="3583" width="15.5703125" style="1233" customWidth="1"/>
    <col min="3584" max="3584" width="15.42578125" style="1233" customWidth="1"/>
    <col min="3585" max="3591" width="9.140625" style="1233" customWidth="1"/>
    <col min="3592" max="3836" width="9.140625" style="1233"/>
    <col min="3837" max="3837" width="11.85546875" style="1233" customWidth="1"/>
    <col min="3838" max="3838" width="54.5703125" style="1233" customWidth="1"/>
    <col min="3839" max="3839" width="15.5703125" style="1233" customWidth="1"/>
    <col min="3840" max="3840" width="15.42578125" style="1233" customWidth="1"/>
    <col min="3841" max="3847" width="9.140625" style="1233" customWidth="1"/>
    <col min="3848" max="4092" width="9.140625" style="1233"/>
    <col min="4093" max="4093" width="11.85546875" style="1233" customWidth="1"/>
    <col min="4094" max="4094" width="54.5703125" style="1233" customWidth="1"/>
    <col min="4095" max="4095" width="15.5703125" style="1233" customWidth="1"/>
    <col min="4096" max="4096" width="15.42578125" style="1233" customWidth="1"/>
    <col min="4097" max="4103" width="9.140625" style="1233" customWidth="1"/>
    <col min="4104" max="4348" width="9.140625" style="1233"/>
    <col min="4349" max="4349" width="11.85546875" style="1233" customWidth="1"/>
    <col min="4350" max="4350" width="54.5703125" style="1233" customWidth="1"/>
    <col min="4351" max="4351" width="15.5703125" style="1233" customWidth="1"/>
    <col min="4352" max="4352" width="15.42578125" style="1233" customWidth="1"/>
    <col min="4353" max="4359" width="9.140625" style="1233" customWidth="1"/>
    <col min="4360" max="4604" width="9.140625" style="1233"/>
    <col min="4605" max="4605" width="11.85546875" style="1233" customWidth="1"/>
    <col min="4606" max="4606" width="54.5703125" style="1233" customWidth="1"/>
    <col min="4607" max="4607" width="15.5703125" style="1233" customWidth="1"/>
    <col min="4608" max="4608" width="15.42578125" style="1233" customWidth="1"/>
    <col min="4609" max="4615" width="9.140625" style="1233" customWidth="1"/>
    <col min="4616" max="4860" width="9.140625" style="1233"/>
    <col min="4861" max="4861" width="11.85546875" style="1233" customWidth="1"/>
    <col min="4862" max="4862" width="54.5703125" style="1233" customWidth="1"/>
    <col min="4863" max="4863" width="15.5703125" style="1233" customWidth="1"/>
    <col min="4864" max="4864" width="15.42578125" style="1233" customWidth="1"/>
    <col min="4865" max="4871" width="9.140625" style="1233" customWidth="1"/>
    <col min="4872" max="5116" width="9.140625" style="1233"/>
    <col min="5117" max="5117" width="11.85546875" style="1233" customWidth="1"/>
    <col min="5118" max="5118" width="54.5703125" style="1233" customWidth="1"/>
    <col min="5119" max="5119" width="15.5703125" style="1233" customWidth="1"/>
    <col min="5120" max="5120" width="15.42578125" style="1233" customWidth="1"/>
    <col min="5121" max="5127" width="9.140625" style="1233" customWidth="1"/>
    <col min="5128" max="5372" width="9.140625" style="1233"/>
    <col min="5373" max="5373" width="11.85546875" style="1233" customWidth="1"/>
    <col min="5374" max="5374" width="54.5703125" style="1233" customWidth="1"/>
    <col min="5375" max="5375" width="15.5703125" style="1233" customWidth="1"/>
    <col min="5376" max="5376" width="15.42578125" style="1233" customWidth="1"/>
    <col min="5377" max="5383" width="9.140625" style="1233" customWidth="1"/>
    <col min="5384" max="5628" width="9.140625" style="1233"/>
    <col min="5629" max="5629" width="11.85546875" style="1233" customWidth="1"/>
    <col min="5630" max="5630" width="54.5703125" style="1233" customWidth="1"/>
    <col min="5631" max="5631" width="15.5703125" style="1233" customWidth="1"/>
    <col min="5632" max="5632" width="15.42578125" style="1233" customWidth="1"/>
    <col min="5633" max="5639" width="9.140625" style="1233" customWidth="1"/>
    <col min="5640" max="5884" width="9.140625" style="1233"/>
    <col min="5885" max="5885" width="11.85546875" style="1233" customWidth="1"/>
    <col min="5886" max="5886" width="54.5703125" style="1233" customWidth="1"/>
    <col min="5887" max="5887" width="15.5703125" style="1233" customWidth="1"/>
    <col min="5888" max="5888" width="15.42578125" style="1233" customWidth="1"/>
    <col min="5889" max="5895" width="9.140625" style="1233" customWidth="1"/>
    <col min="5896" max="6140" width="9.140625" style="1233"/>
    <col min="6141" max="6141" width="11.85546875" style="1233" customWidth="1"/>
    <col min="6142" max="6142" width="54.5703125" style="1233" customWidth="1"/>
    <col min="6143" max="6143" width="15.5703125" style="1233" customWidth="1"/>
    <col min="6144" max="6144" width="15.42578125" style="1233" customWidth="1"/>
    <col min="6145" max="6151" width="9.140625" style="1233" customWidth="1"/>
    <col min="6152" max="6396" width="9.140625" style="1233"/>
    <col min="6397" max="6397" width="11.85546875" style="1233" customWidth="1"/>
    <col min="6398" max="6398" width="54.5703125" style="1233" customWidth="1"/>
    <col min="6399" max="6399" width="15.5703125" style="1233" customWidth="1"/>
    <col min="6400" max="6400" width="15.42578125" style="1233" customWidth="1"/>
    <col min="6401" max="6407" width="9.140625" style="1233" customWidth="1"/>
    <col min="6408" max="6652" width="9.140625" style="1233"/>
    <col min="6653" max="6653" width="11.85546875" style="1233" customWidth="1"/>
    <col min="6654" max="6654" width="54.5703125" style="1233" customWidth="1"/>
    <col min="6655" max="6655" width="15.5703125" style="1233" customWidth="1"/>
    <col min="6656" max="6656" width="15.42578125" style="1233" customWidth="1"/>
    <col min="6657" max="6663" width="9.140625" style="1233" customWidth="1"/>
    <col min="6664" max="6908" width="9.140625" style="1233"/>
    <col min="6909" max="6909" width="11.85546875" style="1233" customWidth="1"/>
    <col min="6910" max="6910" width="54.5703125" style="1233" customWidth="1"/>
    <col min="6911" max="6911" width="15.5703125" style="1233" customWidth="1"/>
    <col min="6912" max="6912" width="15.42578125" style="1233" customWidth="1"/>
    <col min="6913" max="6919" width="9.140625" style="1233" customWidth="1"/>
    <col min="6920" max="7164" width="9.140625" style="1233"/>
    <col min="7165" max="7165" width="11.85546875" style="1233" customWidth="1"/>
    <col min="7166" max="7166" width="54.5703125" style="1233" customWidth="1"/>
    <col min="7167" max="7167" width="15.5703125" style="1233" customWidth="1"/>
    <col min="7168" max="7168" width="15.42578125" style="1233" customWidth="1"/>
    <col min="7169" max="7175" width="9.140625" style="1233" customWidth="1"/>
    <col min="7176" max="7420" width="9.140625" style="1233"/>
    <col min="7421" max="7421" width="11.85546875" style="1233" customWidth="1"/>
    <col min="7422" max="7422" width="54.5703125" style="1233" customWidth="1"/>
    <col min="7423" max="7423" width="15.5703125" style="1233" customWidth="1"/>
    <col min="7424" max="7424" width="15.42578125" style="1233" customWidth="1"/>
    <col min="7425" max="7431" width="9.140625" style="1233" customWidth="1"/>
    <col min="7432" max="7676" width="9.140625" style="1233"/>
    <col min="7677" max="7677" width="11.85546875" style="1233" customWidth="1"/>
    <col min="7678" max="7678" width="54.5703125" style="1233" customWidth="1"/>
    <col min="7679" max="7679" width="15.5703125" style="1233" customWidth="1"/>
    <col min="7680" max="7680" width="15.42578125" style="1233" customWidth="1"/>
    <col min="7681" max="7687" width="9.140625" style="1233" customWidth="1"/>
    <col min="7688" max="7932" width="9.140625" style="1233"/>
    <col min="7933" max="7933" width="11.85546875" style="1233" customWidth="1"/>
    <col min="7934" max="7934" width="54.5703125" style="1233" customWidth="1"/>
    <col min="7935" max="7935" width="15.5703125" style="1233" customWidth="1"/>
    <col min="7936" max="7936" width="15.42578125" style="1233" customWidth="1"/>
    <col min="7937" max="7943" width="9.140625" style="1233" customWidth="1"/>
    <col min="7944" max="8188" width="9.140625" style="1233"/>
    <col min="8189" max="8189" width="11.85546875" style="1233" customWidth="1"/>
    <col min="8190" max="8190" width="54.5703125" style="1233" customWidth="1"/>
    <col min="8191" max="8191" width="15.5703125" style="1233" customWidth="1"/>
    <col min="8192" max="8192" width="15.42578125" style="1233" customWidth="1"/>
    <col min="8193" max="8199" width="9.140625" style="1233" customWidth="1"/>
    <col min="8200" max="8444" width="9.140625" style="1233"/>
    <col min="8445" max="8445" width="11.85546875" style="1233" customWidth="1"/>
    <col min="8446" max="8446" width="54.5703125" style="1233" customWidth="1"/>
    <col min="8447" max="8447" width="15.5703125" style="1233" customWidth="1"/>
    <col min="8448" max="8448" width="15.42578125" style="1233" customWidth="1"/>
    <col min="8449" max="8455" width="9.140625" style="1233" customWidth="1"/>
    <col min="8456" max="8700" width="9.140625" style="1233"/>
    <col min="8701" max="8701" width="11.85546875" style="1233" customWidth="1"/>
    <col min="8702" max="8702" width="54.5703125" style="1233" customWidth="1"/>
    <col min="8703" max="8703" width="15.5703125" style="1233" customWidth="1"/>
    <col min="8704" max="8704" width="15.42578125" style="1233" customWidth="1"/>
    <col min="8705" max="8711" width="9.140625" style="1233" customWidth="1"/>
    <col min="8712" max="8956" width="9.140625" style="1233"/>
    <col min="8957" max="8957" width="11.85546875" style="1233" customWidth="1"/>
    <col min="8958" max="8958" width="54.5703125" style="1233" customWidth="1"/>
    <col min="8959" max="8959" width="15.5703125" style="1233" customWidth="1"/>
    <col min="8960" max="8960" width="15.42578125" style="1233" customWidth="1"/>
    <col min="8961" max="8967" width="9.140625" style="1233" customWidth="1"/>
    <col min="8968" max="9212" width="9.140625" style="1233"/>
    <col min="9213" max="9213" width="11.85546875" style="1233" customWidth="1"/>
    <col min="9214" max="9214" width="54.5703125" style="1233" customWidth="1"/>
    <col min="9215" max="9215" width="15.5703125" style="1233" customWidth="1"/>
    <col min="9216" max="9216" width="15.42578125" style="1233" customWidth="1"/>
    <col min="9217" max="9223" width="9.140625" style="1233" customWidth="1"/>
    <col min="9224" max="9468" width="9.140625" style="1233"/>
    <col min="9469" max="9469" width="11.85546875" style="1233" customWidth="1"/>
    <col min="9470" max="9470" width="54.5703125" style="1233" customWidth="1"/>
    <col min="9471" max="9471" width="15.5703125" style="1233" customWidth="1"/>
    <col min="9472" max="9472" width="15.42578125" style="1233" customWidth="1"/>
    <col min="9473" max="9479" width="9.140625" style="1233" customWidth="1"/>
    <col min="9480" max="9724" width="9.140625" style="1233"/>
    <col min="9725" max="9725" width="11.85546875" style="1233" customWidth="1"/>
    <col min="9726" max="9726" width="54.5703125" style="1233" customWidth="1"/>
    <col min="9727" max="9727" width="15.5703125" style="1233" customWidth="1"/>
    <col min="9728" max="9728" width="15.42578125" style="1233" customWidth="1"/>
    <col min="9729" max="9735" width="9.140625" style="1233" customWidth="1"/>
    <col min="9736" max="9980" width="9.140625" style="1233"/>
    <col min="9981" max="9981" width="11.85546875" style="1233" customWidth="1"/>
    <col min="9982" max="9982" width="54.5703125" style="1233" customWidth="1"/>
    <col min="9983" max="9983" width="15.5703125" style="1233" customWidth="1"/>
    <col min="9984" max="9984" width="15.42578125" style="1233" customWidth="1"/>
    <col min="9985" max="9991" width="9.140625" style="1233" customWidth="1"/>
    <col min="9992" max="10236" width="9.140625" style="1233"/>
    <col min="10237" max="10237" width="11.85546875" style="1233" customWidth="1"/>
    <col min="10238" max="10238" width="54.5703125" style="1233" customWidth="1"/>
    <col min="10239" max="10239" width="15.5703125" style="1233" customWidth="1"/>
    <col min="10240" max="10240" width="15.42578125" style="1233" customWidth="1"/>
    <col min="10241" max="10247" width="9.140625" style="1233" customWidth="1"/>
    <col min="10248" max="10492" width="9.140625" style="1233"/>
    <col min="10493" max="10493" width="11.85546875" style="1233" customWidth="1"/>
    <col min="10494" max="10494" width="54.5703125" style="1233" customWidth="1"/>
    <col min="10495" max="10495" width="15.5703125" style="1233" customWidth="1"/>
    <col min="10496" max="10496" width="15.42578125" style="1233" customWidth="1"/>
    <col min="10497" max="10503" width="9.140625" style="1233" customWidth="1"/>
    <col min="10504" max="10748" width="9.140625" style="1233"/>
    <col min="10749" max="10749" width="11.85546875" style="1233" customWidth="1"/>
    <col min="10750" max="10750" width="54.5703125" style="1233" customWidth="1"/>
    <col min="10751" max="10751" width="15.5703125" style="1233" customWidth="1"/>
    <col min="10752" max="10752" width="15.42578125" style="1233" customWidth="1"/>
    <col min="10753" max="10759" width="9.140625" style="1233" customWidth="1"/>
    <col min="10760" max="11004" width="9.140625" style="1233"/>
    <col min="11005" max="11005" width="11.85546875" style="1233" customWidth="1"/>
    <col min="11006" max="11006" width="54.5703125" style="1233" customWidth="1"/>
    <col min="11007" max="11007" width="15.5703125" style="1233" customWidth="1"/>
    <col min="11008" max="11008" width="15.42578125" style="1233" customWidth="1"/>
    <col min="11009" max="11015" width="9.140625" style="1233" customWidth="1"/>
    <col min="11016" max="11260" width="9.140625" style="1233"/>
    <col min="11261" max="11261" width="11.85546875" style="1233" customWidth="1"/>
    <col min="11262" max="11262" width="54.5703125" style="1233" customWidth="1"/>
    <col min="11263" max="11263" width="15.5703125" style="1233" customWidth="1"/>
    <col min="11264" max="11264" width="15.42578125" style="1233" customWidth="1"/>
    <col min="11265" max="11271" width="9.140625" style="1233" customWidth="1"/>
    <col min="11272" max="11516" width="9.140625" style="1233"/>
    <col min="11517" max="11517" width="11.85546875" style="1233" customWidth="1"/>
    <col min="11518" max="11518" width="54.5703125" style="1233" customWidth="1"/>
    <col min="11519" max="11519" width="15.5703125" style="1233" customWidth="1"/>
    <col min="11520" max="11520" width="15.42578125" style="1233" customWidth="1"/>
    <col min="11521" max="11527" width="9.140625" style="1233" customWidth="1"/>
    <col min="11528" max="11772" width="9.140625" style="1233"/>
    <col min="11773" max="11773" width="11.85546875" style="1233" customWidth="1"/>
    <col min="11774" max="11774" width="54.5703125" style="1233" customWidth="1"/>
    <col min="11775" max="11775" width="15.5703125" style="1233" customWidth="1"/>
    <col min="11776" max="11776" width="15.42578125" style="1233" customWidth="1"/>
    <col min="11777" max="11783" width="9.140625" style="1233" customWidth="1"/>
    <col min="11784" max="12028" width="9.140625" style="1233"/>
    <col min="12029" max="12029" width="11.85546875" style="1233" customWidth="1"/>
    <col min="12030" max="12030" width="54.5703125" style="1233" customWidth="1"/>
    <col min="12031" max="12031" width="15.5703125" style="1233" customWidth="1"/>
    <col min="12032" max="12032" width="15.42578125" style="1233" customWidth="1"/>
    <col min="12033" max="12039" width="9.140625" style="1233" customWidth="1"/>
    <col min="12040" max="12284" width="9.140625" style="1233"/>
    <col min="12285" max="12285" width="11.85546875" style="1233" customWidth="1"/>
    <col min="12286" max="12286" width="54.5703125" style="1233" customWidth="1"/>
    <col min="12287" max="12287" width="15.5703125" style="1233" customWidth="1"/>
    <col min="12288" max="12288" width="15.42578125" style="1233" customWidth="1"/>
    <col min="12289" max="12295" width="9.140625" style="1233" customWidth="1"/>
    <col min="12296" max="12540" width="9.140625" style="1233"/>
    <col min="12541" max="12541" width="11.85546875" style="1233" customWidth="1"/>
    <col min="12542" max="12542" width="54.5703125" style="1233" customWidth="1"/>
    <col min="12543" max="12543" width="15.5703125" style="1233" customWidth="1"/>
    <col min="12544" max="12544" width="15.42578125" style="1233" customWidth="1"/>
    <col min="12545" max="12551" width="9.140625" style="1233" customWidth="1"/>
    <col min="12552" max="12796" width="9.140625" style="1233"/>
    <col min="12797" max="12797" width="11.85546875" style="1233" customWidth="1"/>
    <col min="12798" max="12798" width="54.5703125" style="1233" customWidth="1"/>
    <col min="12799" max="12799" width="15.5703125" style="1233" customWidth="1"/>
    <col min="12800" max="12800" width="15.42578125" style="1233" customWidth="1"/>
    <col min="12801" max="12807" width="9.140625" style="1233" customWidth="1"/>
    <col min="12808" max="13052" width="9.140625" style="1233"/>
    <col min="13053" max="13053" width="11.85546875" style="1233" customWidth="1"/>
    <col min="13054" max="13054" width="54.5703125" style="1233" customWidth="1"/>
    <col min="13055" max="13055" width="15.5703125" style="1233" customWidth="1"/>
    <col min="13056" max="13056" width="15.42578125" style="1233" customWidth="1"/>
    <col min="13057" max="13063" width="9.140625" style="1233" customWidth="1"/>
    <col min="13064" max="13308" width="9.140625" style="1233"/>
    <col min="13309" max="13309" width="11.85546875" style="1233" customWidth="1"/>
    <col min="13310" max="13310" width="54.5703125" style="1233" customWidth="1"/>
    <col min="13311" max="13311" width="15.5703125" style="1233" customWidth="1"/>
    <col min="13312" max="13312" width="15.42578125" style="1233" customWidth="1"/>
    <col min="13313" max="13319" width="9.140625" style="1233" customWidth="1"/>
    <col min="13320" max="13564" width="9.140625" style="1233"/>
    <col min="13565" max="13565" width="11.85546875" style="1233" customWidth="1"/>
    <col min="13566" max="13566" width="54.5703125" style="1233" customWidth="1"/>
    <col min="13567" max="13567" width="15.5703125" style="1233" customWidth="1"/>
    <col min="13568" max="13568" width="15.42578125" style="1233" customWidth="1"/>
    <col min="13569" max="13575" width="9.140625" style="1233" customWidth="1"/>
    <col min="13576" max="13820" width="9.140625" style="1233"/>
    <col min="13821" max="13821" width="11.85546875" style="1233" customWidth="1"/>
    <col min="13822" max="13822" width="54.5703125" style="1233" customWidth="1"/>
    <col min="13823" max="13823" width="15.5703125" style="1233" customWidth="1"/>
    <col min="13824" max="13824" width="15.42578125" style="1233" customWidth="1"/>
    <col min="13825" max="13831" width="9.140625" style="1233" customWidth="1"/>
    <col min="13832" max="14076" width="9.140625" style="1233"/>
    <col min="14077" max="14077" width="11.85546875" style="1233" customWidth="1"/>
    <col min="14078" max="14078" width="54.5703125" style="1233" customWidth="1"/>
    <col min="14079" max="14079" width="15.5703125" style="1233" customWidth="1"/>
    <col min="14080" max="14080" width="15.42578125" style="1233" customWidth="1"/>
    <col min="14081" max="14087" width="9.140625" style="1233" customWidth="1"/>
    <col min="14088" max="14332" width="9.140625" style="1233"/>
    <col min="14333" max="14333" width="11.85546875" style="1233" customWidth="1"/>
    <col min="14334" max="14334" width="54.5703125" style="1233" customWidth="1"/>
    <col min="14335" max="14335" width="15.5703125" style="1233" customWidth="1"/>
    <col min="14336" max="14336" width="15.42578125" style="1233" customWidth="1"/>
    <col min="14337" max="14343" width="9.140625" style="1233" customWidth="1"/>
    <col min="14344" max="14588" width="9.140625" style="1233"/>
    <col min="14589" max="14589" width="11.85546875" style="1233" customWidth="1"/>
    <col min="14590" max="14590" width="54.5703125" style="1233" customWidth="1"/>
    <col min="14591" max="14591" width="15.5703125" style="1233" customWidth="1"/>
    <col min="14592" max="14592" width="15.42578125" style="1233" customWidth="1"/>
    <col min="14593" max="14599" width="9.140625" style="1233" customWidth="1"/>
    <col min="14600" max="14844" width="9.140625" style="1233"/>
    <col min="14845" max="14845" width="11.85546875" style="1233" customWidth="1"/>
    <col min="14846" max="14846" width="54.5703125" style="1233" customWidth="1"/>
    <col min="14847" max="14847" width="15.5703125" style="1233" customWidth="1"/>
    <col min="14848" max="14848" width="15.42578125" style="1233" customWidth="1"/>
    <col min="14849" max="14855" width="9.140625" style="1233" customWidth="1"/>
    <col min="14856" max="15100" width="9.140625" style="1233"/>
    <col min="15101" max="15101" width="11.85546875" style="1233" customWidth="1"/>
    <col min="15102" max="15102" width="54.5703125" style="1233" customWidth="1"/>
    <col min="15103" max="15103" width="15.5703125" style="1233" customWidth="1"/>
    <col min="15104" max="15104" width="15.42578125" style="1233" customWidth="1"/>
    <col min="15105" max="15111" width="9.140625" style="1233" customWidth="1"/>
    <col min="15112" max="15356" width="9.140625" style="1233"/>
    <col min="15357" max="15357" width="11.85546875" style="1233" customWidth="1"/>
    <col min="15358" max="15358" width="54.5703125" style="1233" customWidth="1"/>
    <col min="15359" max="15359" width="15.5703125" style="1233" customWidth="1"/>
    <col min="15360" max="15360" width="15.42578125" style="1233" customWidth="1"/>
    <col min="15361" max="15367" width="9.140625" style="1233" customWidth="1"/>
    <col min="15368" max="15612" width="9.140625" style="1233"/>
    <col min="15613" max="15613" width="11.85546875" style="1233" customWidth="1"/>
    <col min="15614" max="15614" width="54.5703125" style="1233" customWidth="1"/>
    <col min="15615" max="15615" width="15.5703125" style="1233" customWidth="1"/>
    <col min="15616" max="15616" width="15.42578125" style="1233" customWidth="1"/>
    <col min="15617" max="15623" width="9.140625" style="1233" customWidth="1"/>
    <col min="15624" max="15868" width="9.140625" style="1233"/>
    <col min="15869" max="15869" width="11.85546875" style="1233" customWidth="1"/>
    <col min="15870" max="15870" width="54.5703125" style="1233" customWidth="1"/>
    <col min="15871" max="15871" width="15.5703125" style="1233" customWidth="1"/>
    <col min="15872" max="15872" width="15.42578125" style="1233" customWidth="1"/>
    <col min="15873" max="15879" width="9.140625" style="1233" customWidth="1"/>
    <col min="15880" max="16124" width="9.140625" style="1233"/>
    <col min="16125" max="16125" width="11.85546875" style="1233" customWidth="1"/>
    <col min="16126" max="16126" width="54.5703125" style="1233" customWidth="1"/>
    <col min="16127" max="16127" width="15.5703125" style="1233" customWidth="1"/>
    <col min="16128" max="16128" width="15.42578125" style="1233" customWidth="1"/>
    <col min="16129" max="16135" width="9.140625" style="1233" customWidth="1"/>
    <col min="16136" max="16384" width="9.140625" style="1233"/>
  </cols>
  <sheetData>
    <row r="1" spans="1:14" s="1226" customFormat="1" ht="21" customHeight="1" thickBot="1">
      <c r="A1" s="1873" t="s">
        <v>1251</v>
      </c>
      <c r="B1" s="1873"/>
      <c r="C1" s="1873"/>
      <c r="D1" s="1873"/>
      <c r="K1" s="1713"/>
      <c r="N1" s="1713"/>
    </row>
    <row r="2" spans="1:14" s="1229" customFormat="1" ht="25.5" customHeight="1">
      <c r="A2" s="1081" t="s">
        <v>966</v>
      </c>
      <c r="B2" s="1272" t="s">
        <v>999</v>
      </c>
      <c r="C2" s="1874" t="s">
        <v>1000</v>
      </c>
      <c r="D2" s="1870"/>
      <c r="K2" s="1714"/>
      <c r="N2" s="1714"/>
    </row>
    <row r="3" spans="1:14" s="1229" customFormat="1" ht="24.75" thickBot="1">
      <c r="A3" s="1230" t="s">
        <v>685</v>
      </c>
      <c r="B3" s="1273" t="s">
        <v>686</v>
      </c>
      <c r="C3" s="1875"/>
      <c r="D3" s="1872"/>
      <c r="K3" s="1714"/>
      <c r="N3" s="1714"/>
    </row>
    <row r="4" spans="1:14" s="1231" customFormat="1" ht="15.95" customHeight="1" thickBot="1">
      <c r="A4" s="1087"/>
      <c r="B4" s="1087"/>
      <c r="C4" s="1876" t="s">
        <v>687</v>
      </c>
      <c r="D4" s="1877"/>
      <c r="K4" s="1715"/>
      <c r="N4" s="1715"/>
    </row>
    <row r="5" spans="1:14" ht="36.75" thickBot="1">
      <c r="A5" s="1089" t="s">
        <v>688</v>
      </c>
      <c r="B5" s="1091" t="s">
        <v>689</v>
      </c>
      <c r="C5" s="1274" t="s">
        <v>690</v>
      </c>
      <c r="D5" s="1275" t="s">
        <v>691</v>
      </c>
      <c r="E5" s="1276" t="s">
        <v>1001</v>
      </c>
      <c r="F5" s="1276" t="s">
        <v>1002</v>
      </c>
      <c r="G5" s="1276" t="s">
        <v>952</v>
      </c>
      <c r="H5" s="1276" t="s">
        <v>932</v>
      </c>
      <c r="I5" s="1276" t="s">
        <v>1003</v>
      </c>
      <c r="J5" s="1276" t="s">
        <v>954</v>
      </c>
      <c r="K5" s="1711" t="s">
        <v>1004</v>
      </c>
      <c r="L5" s="1276" t="s">
        <v>1001</v>
      </c>
      <c r="M5" s="1276" t="s">
        <v>952</v>
      </c>
      <c r="N5" s="1711" t="s">
        <v>932</v>
      </c>
    </row>
    <row r="6" spans="1:14" s="1235" customFormat="1" ht="12.95" customHeight="1" thickBot="1">
      <c r="A6" s="1094">
        <v>1</v>
      </c>
      <c r="B6" s="1096">
        <v>2</v>
      </c>
      <c r="C6" s="1277">
        <v>3</v>
      </c>
      <c r="D6" s="1097">
        <v>4</v>
      </c>
      <c r="K6" s="1727"/>
      <c r="L6" s="1728"/>
      <c r="M6" s="1728"/>
      <c r="N6" s="1730"/>
    </row>
    <row r="7" spans="1:14" s="1235" customFormat="1" ht="15.95" customHeight="1" thickBot="1">
      <c r="A7" s="1827" t="s">
        <v>692</v>
      </c>
      <c r="B7" s="1828"/>
      <c r="C7" s="1828"/>
      <c r="D7" s="1829"/>
      <c r="K7" s="1727"/>
      <c r="L7" s="1728"/>
      <c r="M7" s="1728"/>
      <c r="N7" s="1730"/>
    </row>
    <row r="8" spans="1:14" s="1239" customFormat="1" ht="12" customHeight="1" thickBot="1">
      <c r="A8" s="1094" t="s">
        <v>693</v>
      </c>
      <c r="B8" s="1278" t="s">
        <v>971</v>
      </c>
      <c r="C8" s="1279">
        <f>SUM(C9:C18)</f>
        <v>2613400</v>
      </c>
      <c r="D8" s="1237">
        <f>SUM(D9:D18)</f>
        <v>2613400</v>
      </c>
      <c r="E8" s="1243"/>
      <c r="F8" s="1243"/>
      <c r="G8" s="1243"/>
      <c r="H8" s="1243"/>
      <c r="I8" s="1243"/>
      <c r="J8" s="1243"/>
      <c r="K8" s="1708"/>
      <c r="L8" s="1729"/>
      <c r="M8" s="1729"/>
      <c r="N8" s="1731"/>
    </row>
    <row r="9" spans="1:14" s="1239" customFormat="1" ht="12" customHeight="1">
      <c r="A9" s="1240" t="s">
        <v>695</v>
      </c>
      <c r="B9" s="1280" t="s">
        <v>753</v>
      </c>
      <c r="C9" s="1281">
        <f>SUM(E9:K9)</f>
        <v>0</v>
      </c>
      <c r="D9" s="1718">
        <f>C9+SUM(L9:N9)</f>
        <v>0</v>
      </c>
      <c r="E9" s="1243"/>
      <c r="F9" s="1243"/>
      <c r="G9" s="1243"/>
      <c r="H9" s="1243"/>
      <c r="I9" s="1243"/>
      <c r="J9" s="1243"/>
      <c r="K9" s="1708"/>
      <c r="L9" s="1729"/>
      <c r="M9" s="1729"/>
      <c r="N9" s="1731"/>
    </row>
    <row r="10" spans="1:14" s="1239" customFormat="1" ht="12" customHeight="1">
      <c r="A10" s="1244" t="s">
        <v>697</v>
      </c>
      <c r="B10" s="1282" t="s">
        <v>755</v>
      </c>
      <c r="C10" s="1281">
        <f t="shared" ref="C10:C18" si="0">SUM(E10:K10)</f>
        <v>0</v>
      </c>
      <c r="D10" s="1719">
        <f t="shared" ref="D10:D18" si="1">C10+SUM(L10:N10)</f>
        <v>0</v>
      </c>
      <c r="E10" s="1243"/>
      <c r="F10" s="1243"/>
      <c r="G10" s="1243"/>
      <c r="H10" s="1243"/>
      <c r="I10" s="1243"/>
      <c r="J10" s="1243"/>
      <c r="K10" s="1708"/>
      <c r="L10" s="1729"/>
      <c r="M10" s="1729"/>
      <c r="N10" s="1731"/>
    </row>
    <row r="11" spans="1:14" s="1239" customFormat="1" ht="12" customHeight="1">
      <c r="A11" s="1244" t="s">
        <v>699</v>
      </c>
      <c r="B11" s="1282" t="s">
        <v>757</v>
      </c>
      <c r="C11" s="1281">
        <f t="shared" si="0"/>
        <v>2230400</v>
      </c>
      <c r="D11" s="1719">
        <f t="shared" si="1"/>
        <v>2230400</v>
      </c>
      <c r="E11" s="1243">
        <v>860400</v>
      </c>
      <c r="F11" s="1243"/>
      <c r="G11" s="1243">
        <v>1370000</v>
      </c>
      <c r="H11" s="1243"/>
      <c r="I11" s="1243"/>
      <c r="J11" s="1243"/>
      <c r="K11" s="1708"/>
      <c r="L11" s="1729"/>
      <c r="M11" s="1729"/>
      <c r="N11" s="1731"/>
    </row>
    <row r="12" spans="1:14" s="1239" customFormat="1" ht="12" customHeight="1">
      <c r="A12" s="1244" t="s">
        <v>701</v>
      </c>
      <c r="B12" s="1282" t="s">
        <v>759</v>
      </c>
      <c r="C12" s="1281">
        <f t="shared" si="0"/>
        <v>0</v>
      </c>
      <c r="D12" s="1719">
        <f t="shared" si="1"/>
        <v>0</v>
      </c>
      <c r="E12" s="1243"/>
      <c r="F12" s="1243"/>
      <c r="G12" s="1243"/>
      <c r="H12" s="1243"/>
      <c r="I12" s="1243"/>
      <c r="J12" s="1243"/>
      <c r="K12" s="1708"/>
      <c r="L12" s="1729"/>
      <c r="M12" s="1729"/>
      <c r="N12" s="1731"/>
    </row>
    <row r="13" spans="1:14" s="1239" customFormat="1" ht="12" customHeight="1">
      <c r="A13" s="1244" t="s">
        <v>703</v>
      </c>
      <c r="B13" s="1282" t="s">
        <v>761</v>
      </c>
      <c r="C13" s="1281">
        <f t="shared" si="0"/>
        <v>0</v>
      </c>
      <c r="D13" s="1719">
        <f t="shared" si="1"/>
        <v>0</v>
      </c>
      <c r="E13" s="1243"/>
      <c r="F13" s="1243"/>
      <c r="G13" s="1243"/>
      <c r="H13" s="1243"/>
      <c r="I13" s="1243"/>
      <c r="J13" s="1243"/>
      <c r="K13" s="1708"/>
      <c r="L13" s="1729"/>
      <c r="M13" s="1729"/>
      <c r="N13" s="1731"/>
    </row>
    <row r="14" spans="1:14" s="1239" customFormat="1" ht="12" customHeight="1">
      <c r="A14" s="1244" t="s">
        <v>705</v>
      </c>
      <c r="B14" s="1282" t="s">
        <v>972</v>
      </c>
      <c r="C14" s="1281">
        <f t="shared" si="0"/>
        <v>370000</v>
      </c>
      <c r="D14" s="1719">
        <f t="shared" si="1"/>
        <v>370000</v>
      </c>
      <c r="E14" s="1243"/>
      <c r="F14" s="1243"/>
      <c r="G14" s="1243">
        <v>370000</v>
      </c>
      <c r="H14" s="1243"/>
      <c r="I14" s="1243"/>
      <c r="J14" s="1243"/>
      <c r="K14" s="1708"/>
      <c r="L14" s="1729"/>
      <c r="M14" s="1729"/>
      <c r="N14" s="1731"/>
    </row>
    <row r="15" spans="1:14" s="1239" customFormat="1" ht="12" customHeight="1">
      <c r="A15" s="1244" t="s">
        <v>859</v>
      </c>
      <c r="B15" s="1283" t="s">
        <v>973</v>
      </c>
      <c r="C15" s="1281">
        <f t="shared" si="0"/>
        <v>0</v>
      </c>
      <c r="D15" s="1719">
        <f t="shared" si="1"/>
        <v>0</v>
      </c>
      <c r="E15" s="1243"/>
      <c r="F15" s="1243"/>
      <c r="G15" s="1243"/>
      <c r="H15" s="1243"/>
      <c r="I15" s="1243"/>
      <c r="J15" s="1243"/>
      <c r="K15" s="1708"/>
      <c r="L15" s="1729"/>
      <c r="M15" s="1729"/>
      <c r="N15" s="1731"/>
    </row>
    <row r="16" spans="1:14" s="1239" customFormat="1" ht="12" customHeight="1">
      <c r="A16" s="1244" t="s">
        <v>861</v>
      </c>
      <c r="B16" s="1282" t="s">
        <v>767</v>
      </c>
      <c r="C16" s="1281">
        <f t="shared" si="0"/>
        <v>0</v>
      </c>
      <c r="D16" s="1719">
        <f t="shared" si="1"/>
        <v>0</v>
      </c>
      <c r="E16" s="1243"/>
      <c r="F16" s="1243"/>
      <c r="G16" s="1243"/>
      <c r="H16" s="1243"/>
      <c r="I16" s="1243"/>
      <c r="J16" s="1243"/>
      <c r="K16" s="1708"/>
      <c r="L16" s="1729"/>
      <c r="M16" s="1729"/>
      <c r="N16" s="1731"/>
    </row>
    <row r="17" spans="1:14" s="1247" customFormat="1" ht="12" customHeight="1">
      <c r="A17" s="1244" t="s">
        <v>863</v>
      </c>
      <c r="B17" s="1282" t="s">
        <v>769</v>
      </c>
      <c r="C17" s="1281">
        <f t="shared" si="0"/>
        <v>0</v>
      </c>
      <c r="D17" s="1719">
        <f t="shared" si="1"/>
        <v>0</v>
      </c>
      <c r="E17" s="1243"/>
      <c r="F17" s="1243"/>
      <c r="G17" s="1243"/>
      <c r="H17" s="1243"/>
      <c r="I17" s="1243"/>
      <c r="J17" s="1243"/>
      <c r="K17" s="1708"/>
      <c r="L17" s="1729"/>
      <c r="M17" s="1729"/>
      <c r="N17" s="1731"/>
    </row>
    <row r="18" spans="1:14" s="1247" customFormat="1" ht="12" customHeight="1" thickBot="1">
      <c r="A18" s="1244" t="s">
        <v>865</v>
      </c>
      <c r="B18" s="1283" t="s">
        <v>771</v>
      </c>
      <c r="C18" s="1281">
        <f t="shared" si="0"/>
        <v>13000</v>
      </c>
      <c r="D18" s="1720">
        <f t="shared" si="1"/>
        <v>13000</v>
      </c>
      <c r="E18" s="1243">
        <v>10000</v>
      </c>
      <c r="F18" s="1243"/>
      <c r="G18" s="1243"/>
      <c r="H18" s="1243"/>
      <c r="I18" s="1243">
        <v>3000</v>
      </c>
      <c r="J18" s="1243"/>
      <c r="K18" s="1708"/>
      <c r="L18" s="1729"/>
      <c r="M18" s="1729"/>
      <c r="N18" s="1731"/>
    </row>
    <row r="19" spans="1:14" s="1239" customFormat="1" ht="12" customHeight="1" thickBot="1">
      <c r="A19" s="1094" t="s">
        <v>707</v>
      </c>
      <c r="B19" s="1278" t="s">
        <v>974</v>
      </c>
      <c r="C19" s="1279">
        <f>SUM(C20:C22)</f>
        <v>0</v>
      </c>
      <c r="D19" s="1237">
        <f>SUM(D20:D22)</f>
        <v>0</v>
      </c>
      <c r="E19" s="1243"/>
      <c r="F19" s="1243"/>
      <c r="G19" s="1243"/>
      <c r="H19" s="1243"/>
      <c r="I19" s="1243"/>
      <c r="J19" s="1243"/>
      <c r="K19" s="1708"/>
      <c r="L19" s="1729"/>
      <c r="M19" s="1729"/>
      <c r="N19" s="1731"/>
    </row>
    <row r="20" spans="1:14" s="1247" customFormat="1" ht="12" customHeight="1">
      <c r="A20" s="1244" t="s">
        <v>709</v>
      </c>
      <c r="B20" s="1284" t="s">
        <v>710</v>
      </c>
      <c r="C20" s="1281">
        <f t="shared" ref="C20:C23" si="2">SUM(E20:K20)</f>
        <v>0</v>
      </c>
      <c r="D20" s="1718">
        <f t="shared" ref="D20:D23" si="3">C20+SUM(L20:N20)</f>
        <v>0</v>
      </c>
      <c r="E20" s="1243"/>
      <c r="F20" s="1243"/>
      <c r="G20" s="1243"/>
      <c r="H20" s="1243"/>
      <c r="I20" s="1243"/>
      <c r="J20" s="1243"/>
      <c r="K20" s="1708"/>
      <c r="L20" s="1729"/>
      <c r="M20" s="1729"/>
      <c r="N20" s="1731"/>
    </row>
    <row r="21" spans="1:14" s="1247" customFormat="1" ht="12" customHeight="1">
      <c r="A21" s="1244" t="s">
        <v>711</v>
      </c>
      <c r="B21" s="1282" t="s">
        <v>975</v>
      </c>
      <c r="C21" s="1281">
        <f t="shared" si="2"/>
        <v>0</v>
      </c>
      <c r="D21" s="1719">
        <f t="shared" si="3"/>
        <v>0</v>
      </c>
      <c r="E21" s="1243"/>
      <c r="F21" s="1243"/>
      <c r="G21" s="1243"/>
      <c r="H21" s="1243"/>
      <c r="I21" s="1243"/>
      <c r="J21" s="1243"/>
      <c r="K21" s="1708"/>
      <c r="L21" s="1729"/>
      <c r="M21" s="1729"/>
      <c r="N21" s="1731"/>
    </row>
    <row r="22" spans="1:14" s="1247" customFormat="1" ht="12" customHeight="1">
      <c r="A22" s="1244" t="s">
        <v>713</v>
      </c>
      <c r="B22" s="1282" t="s">
        <v>976</v>
      </c>
      <c r="C22" s="1281">
        <f t="shared" si="2"/>
        <v>0</v>
      </c>
      <c r="D22" s="1719">
        <f t="shared" si="3"/>
        <v>0</v>
      </c>
      <c r="E22" s="1243"/>
      <c r="F22" s="1243"/>
      <c r="G22" s="1243"/>
      <c r="H22" s="1243"/>
      <c r="I22" s="1243"/>
      <c r="J22" s="1243"/>
      <c r="K22" s="1708"/>
      <c r="L22" s="1729"/>
      <c r="M22" s="1729"/>
      <c r="N22" s="1731"/>
    </row>
    <row r="23" spans="1:14" s="1247" customFormat="1" ht="12" customHeight="1" thickBot="1">
      <c r="A23" s="1244" t="s">
        <v>715</v>
      </c>
      <c r="B23" s="1282" t="s">
        <v>977</v>
      </c>
      <c r="C23" s="1281">
        <f t="shared" si="2"/>
        <v>0</v>
      </c>
      <c r="D23" s="1720">
        <f t="shared" si="3"/>
        <v>0</v>
      </c>
      <c r="E23" s="1243"/>
      <c r="F23" s="1243"/>
      <c r="G23" s="1243"/>
      <c r="H23" s="1243"/>
      <c r="I23" s="1243"/>
      <c r="J23" s="1243"/>
      <c r="K23" s="1708"/>
      <c r="L23" s="1729"/>
      <c r="M23" s="1729"/>
      <c r="N23" s="1731"/>
    </row>
    <row r="24" spans="1:14" s="1247" customFormat="1" ht="12" customHeight="1" thickBot="1">
      <c r="A24" s="1249" t="s">
        <v>721</v>
      </c>
      <c r="B24" s="1285" t="s">
        <v>282</v>
      </c>
      <c r="C24" s="1286"/>
      <c r="D24" s="1250"/>
      <c r="E24" s="1243"/>
      <c r="F24" s="1243"/>
      <c r="G24" s="1243"/>
      <c r="H24" s="1243"/>
      <c r="I24" s="1243"/>
      <c r="J24" s="1243"/>
      <c r="K24" s="1708"/>
      <c r="L24" s="1729"/>
      <c r="M24" s="1729"/>
      <c r="N24" s="1731"/>
    </row>
    <row r="25" spans="1:14" s="1247" customFormat="1" ht="12" customHeight="1" thickBot="1">
      <c r="A25" s="1249" t="s">
        <v>897</v>
      </c>
      <c r="B25" s="1285" t="s">
        <v>978</v>
      </c>
      <c r="C25" s="1279">
        <f>+C26+C27</f>
        <v>0</v>
      </c>
      <c r="D25" s="1237">
        <f>+D26+D27</f>
        <v>0</v>
      </c>
      <c r="E25" s="1243"/>
      <c r="F25" s="1243"/>
      <c r="G25" s="1243"/>
      <c r="H25" s="1243"/>
      <c r="I25" s="1243"/>
      <c r="J25" s="1243"/>
      <c r="K25" s="1708"/>
      <c r="L25" s="1729"/>
      <c r="M25" s="1729"/>
      <c r="N25" s="1731"/>
    </row>
    <row r="26" spans="1:14" s="1247" customFormat="1" ht="12" customHeight="1">
      <c r="A26" s="1251" t="s">
        <v>737</v>
      </c>
      <c r="B26" s="1287" t="s">
        <v>975</v>
      </c>
      <c r="C26" s="1281">
        <f t="shared" ref="C26:C28" si="4">SUM(E26:K26)</f>
        <v>0</v>
      </c>
      <c r="D26" s="1718">
        <f t="shared" ref="D26:D28" si="5">C26+SUM(L26:N26)</f>
        <v>0</v>
      </c>
      <c r="E26" s="1243"/>
      <c r="F26" s="1243"/>
      <c r="G26" s="1243"/>
      <c r="H26" s="1243"/>
      <c r="I26" s="1243"/>
      <c r="J26" s="1243"/>
      <c r="K26" s="1708"/>
      <c r="L26" s="1729"/>
      <c r="M26" s="1729"/>
      <c r="N26" s="1731"/>
    </row>
    <row r="27" spans="1:14" s="1247" customFormat="1" ht="12" customHeight="1">
      <c r="A27" s="1251" t="s">
        <v>749</v>
      </c>
      <c r="B27" s="1288" t="s">
        <v>979</v>
      </c>
      <c r="C27" s="1281">
        <f t="shared" si="4"/>
        <v>0</v>
      </c>
      <c r="D27" s="1719">
        <f t="shared" si="5"/>
        <v>0</v>
      </c>
      <c r="E27" s="1243"/>
      <c r="F27" s="1243"/>
      <c r="G27" s="1243"/>
      <c r="H27" s="1243"/>
      <c r="I27" s="1243"/>
      <c r="J27" s="1243"/>
      <c r="K27" s="1708"/>
      <c r="L27" s="1729"/>
      <c r="M27" s="1729"/>
      <c r="N27" s="1731"/>
    </row>
    <row r="28" spans="1:14" s="1247" customFormat="1" ht="12" customHeight="1" thickBot="1">
      <c r="A28" s="1244" t="s">
        <v>980</v>
      </c>
      <c r="B28" s="1289" t="s">
        <v>981</v>
      </c>
      <c r="C28" s="1281">
        <f t="shared" si="4"/>
        <v>0</v>
      </c>
      <c r="D28" s="1720">
        <f t="shared" si="5"/>
        <v>0</v>
      </c>
      <c r="E28" s="1243"/>
      <c r="F28" s="1243"/>
      <c r="G28" s="1243"/>
      <c r="H28" s="1243"/>
      <c r="I28" s="1243"/>
      <c r="J28" s="1243"/>
      <c r="K28" s="1708"/>
      <c r="L28" s="1729"/>
      <c r="M28" s="1729"/>
      <c r="N28" s="1731"/>
    </row>
    <row r="29" spans="1:14" s="1247" customFormat="1" ht="12" customHeight="1" thickBot="1">
      <c r="A29" s="1249" t="s">
        <v>750</v>
      </c>
      <c r="B29" s="1285" t="s">
        <v>982</v>
      </c>
      <c r="C29" s="1279">
        <f>+C30+C31+C32</f>
        <v>0</v>
      </c>
      <c r="D29" s="1237">
        <f>+D30+D31+D32</f>
        <v>0</v>
      </c>
      <c r="E29" s="1243"/>
      <c r="F29" s="1243"/>
      <c r="G29" s="1243"/>
      <c r="H29" s="1243"/>
      <c r="I29" s="1243"/>
      <c r="J29" s="1243"/>
      <c r="K29" s="1708"/>
      <c r="L29" s="1729"/>
      <c r="M29" s="1729"/>
      <c r="N29" s="1731"/>
    </row>
    <row r="30" spans="1:14" s="1247" customFormat="1" ht="12" customHeight="1">
      <c r="A30" s="1251" t="s">
        <v>752</v>
      </c>
      <c r="B30" s="1287" t="s">
        <v>775</v>
      </c>
      <c r="C30" s="1281">
        <f t="shared" ref="C30:C32" si="6">SUM(E30:K30)</f>
        <v>0</v>
      </c>
      <c r="D30" s="1718">
        <f t="shared" ref="D30:D32" si="7">C30+SUM(L30:N30)</f>
        <v>0</v>
      </c>
      <c r="E30" s="1243"/>
      <c r="F30" s="1243"/>
      <c r="G30" s="1243"/>
      <c r="H30" s="1243"/>
      <c r="I30" s="1243"/>
      <c r="J30" s="1243"/>
      <c r="K30" s="1708"/>
      <c r="L30" s="1729"/>
      <c r="M30" s="1729"/>
      <c r="N30" s="1731"/>
    </row>
    <row r="31" spans="1:14" s="1247" customFormat="1" ht="12" customHeight="1">
      <c r="A31" s="1251" t="s">
        <v>754</v>
      </c>
      <c r="B31" s="1288" t="s">
        <v>655</v>
      </c>
      <c r="C31" s="1281">
        <f t="shared" si="6"/>
        <v>0</v>
      </c>
      <c r="D31" s="1719">
        <f t="shared" si="7"/>
        <v>0</v>
      </c>
      <c r="E31" s="1243"/>
      <c r="F31" s="1243"/>
      <c r="G31" s="1243"/>
      <c r="H31" s="1243"/>
      <c r="I31" s="1243"/>
      <c r="J31" s="1243"/>
      <c r="K31" s="1708"/>
      <c r="L31" s="1729"/>
      <c r="M31" s="1729"/>
      <c r="N31" s="1731"/>
    </row>
    <row r="32" spans="1:14" s="1247" customFormat="1" ht="12" customHeight="1" thickBot="1">
      <c r="A32" s="1244" t="s">
        <v>756</v>
      </c>
      <c r="B32" s="1290" t="s">
        <v>778</v>
      </c>
      <c r="C32" s="1281">
        <f t="shared" si="6"/>
        <v>0</v>
      </c>
      <c r="D32" s="1720">
        <f t="shared" si="7"/>
        <v>0</v>
      </c>
      <c r="E32" s="1243"/>
      <c r="F32" s="1243"/>
      <c r="G32" s="1243"/>
      <c r="H32" s="1243"/>
      <c r="I32" s="1243"/>
      <c r="J32" s="1243"/>
      <c r="K32" s="1708"/>
      <c r="L32" s="1729"/>
      <c r="M32" s="1729"/>
      <c r="N32" s="1731"/>
    </row>
    <row r="33" spans="1:14" s="1239" customFormat="1" ht="12" customHeight="1" thickBot="1">
      <c r="A33" s="1249" t="s">
        <v>772</v>
      </c>
      <c r="B33" s="1285" t="s">
        <v>983</v>
      </c>
      <c r="C33" s="1286"/>
      <c r="D33" s="1250"/>
      <c r="E33" s="1243"/>
      <c r="F33" s="1243"/>
      <c r="G33" s="1243"/>
      <c r="H33" s="1243"/>
      <c r="I33" s="1243"/>
      <c r="J33" s="1243"/>
      <c r="K33" s="1708"/>
      <c r="L33" s="1729"/>
      <c r="M33" s="1729"/>
      <c r="N33" s="1731"/>
    </row>
    <row r="34" spans="1:14" s="1239" customFormat="1" ht="12" customHeight="1" thickBot="1">
      <c r="A34" s="1249" t="s">
        <v>908</v>
      </c>
      <c r="B34" s="1285" t="s">
        <v>984</v>
      </c>
      <c r="C34" s="1286"/>
      <c r="D34" s="1257"/>
      <c r="E34" s="1243"/>
      <c r="F34" s="1243"/>
      <c r="G34" s="1243"/>
      <c r="H34" s="1243"/>
      <c r="I34" s="1243"/>
      <c r="J34" s="1243"/>
      <c r="K34" s="1708"/>
      <c r="L34" s="1729"/>
      <c r="M34" s="1729"/>
      <c r="N34" s="1731"/>
    </row>
    <row r="35" spans="1:14" s="1239" customFormat="1" ht="12" customHeight="1" thickBot="1">
      <c r="A35" s="1094" t="s">
        <v>793</v>
      </c>
      <c r="B35" s="1285" t="s">
        <v>985</v>
      </c>
      <c r="C35" s="1279">
        <f>+C8+C19+C24+C25+C29+C33+C34</f>
        <v>2613400</v>
      </c>
      <c r="D35" s="1258">
        <f>+D8+D19+D24+D25+D29+D33+D34</f>
        <v>2613400</v>
      </c>
      <c r="E35" s="1243"/>
      <c r="F35" s="1243"/>
      <c r="G35" s="1243"/>
      <c r="H35" s="1243"/>
      <c r="I35" s="1243"/>
      <c r="J35" s="1243"/>
      <c r="K35" s="1708"/>
      <c r="L35" s="1729"/>
      <c r="M35" s="1729"/>
      <c r="N35" s="1731"/>
    </row>
    <row r="36" spans="1:14" s="1239" customFormat="1" ht="12" customHeight="1" thickBot="1">
      <c r="A36" s="1259" t="s">
        <v>803</v>
      </c>
      <c r="B36" s="1285" t="s">
        <v>986</v>
      </c>
      <c r="C36" s="1279">
        <f>+C37+C38+C39</f>
        <v>98121883</v>
      </c>
      <c r="D36" s="1258">
        <f>+D37+D38+D39</f>
        <v>98305139</v>
      </c>
      <c r="E36" s="1243"/>
      <c r="F36" s="1243"/>
      <c r="G36" s="1243"/>
      <c r="H36" s="1243"/>
      <c r="I36" s="1243"/>
      <c r="J36" s="1243"/>
      <c r="K36" s="1708"/>
      <c r="L36" s="1729"/>
      <c r="M36" s="1729"/>
      <c r="N36" s="1731"/>
    </row>
    <row r="37" spans="1:14" s="1239" customFormat="1" ht="12" customHeight="1">
      <c r="A37" s="1251" t="s">
        <v>987</v>
      </c>
      <c r="B37" s="1287" t="s">
        <v>988</v>
      </c>
      <c r="C37" s="1281">
        <f t="shared" ref="C37:C39" si="8">SUM(E37:K37)</f>
        <v>0</v>
      </c>
      <c r="D37" s="1718">
        <f t="shared" ref="D37:D39" si="9">C37+SUM(L37:N37)</f>
        <v>183256</v>
      </c>
      <c r="E37" s="1243"/>
      <c r="F37" s="1243"/>
      <c r="G37" s="1243"/>
      <c r="H37" s="1243"/>
      <c r="I37" s="1243"/>
      <c r="J37" s="1243"/>
      <c r="K37" s="1708"/>
      <c r="L37" s="1729"/>
      <c r="M37" s="1729"/>
      <c r="N37" s="1731">
        <v>183256</v>
      </c>
    </row>
    <row r="38" spans="1:14" s="1239" customFormat="1" ht="12" customHeight="1">
      <c r="A38" s="1251" t="s">
        <v>989</v>
      </c>
      <c r="B38" s="1288" t="s">
        <v>990</v>
      </c>
      <c r="C38" s="1281">
        <f t="shared" si="8"/>
        <v>0</v>
      </c>
      <c r="D38" s="1719">
        <f t="shared" si="9"/>
        <v>0</v>
      </c>
      <c r="E38" s="1243"/>
      <c r="F38" s="1243"/>
      <c r="G38" s="1243"/>
      <c r="H38" s="1243"/>
      <c r="I38" s="1243"/>
      <c r="J38" s="1243"/>
      <c r="K38" s="1708"/>
      <c r="L38" s="1729"/>
      <c r="M38" s="1729"/>
      <c r="N38" s="1731"/>
    </row>
    <row r="39" spans="1:14" s="1247" customFormat="1" ht="12" customHeight="1" thickBot="1">
      <c r="A39" s="1244" t="s">
        <v>991</v>
      </c>
      <c r="B39" s="1290" t="s">
        <v>992</v>
      </c>
      <c r="C39" s="1281">
        <f t="shared" si="8"/>
        <v>98121883</v>
      </c>
      <c r="D39" s="1720">
        <f t="shared" si="9"/>
        <v>98121883</v>
      </c>
      <c r="E39" s="1243"/>
      <c r="F39" s="1243"/>
      <c r="G39" s="1243"/>
      <c r="H39" s="1243">
        <v>98121883</v>
      </c>
      <c r="I39" s="1243"/>
      <c r="J39" s="1243"/>
      <c r="K39" s="1708"/>
      <c r="L39" s="1729"/>
      <c r="M39" s="1729"/>
      <c r="N39" s="1731"/>
    </row>
    <row r="40" spans="1:14" s="1247" customFormat="1" ht="15" customHeight="1" thickBot="1">
      <c r="A40" s="1259" t="s">
        <v>920</v>
      </c>
      <c r="B40" s="1291" t="s">
        <v>993</v>
      </c>
      <c r="C40" s="1292">
        <f>+C35+C36</f>
        <v>100735283</v>
      </c>
      <c r="D40" s="1261">
        <f>+D35+D36</f>
        <v>100918539</v>
      </c>
      <c r="E40" s="1243">
        <f>SUM(E8:E39)</f>
        <v>870400</v>
      </c>
      <c r="F40" s="1243">
        <f t="shared" ref="F40:K40" si="10">SUM(F8:F39)</f>
        <v>0</v>
      </c>
      <c r="G40" s="1243">
        <f t="shared" si="10"/>
        <v>1740000</v>
      </c>
      <c r="H40" s="1243">
        <f t="shared" si="10"/>
        <v>98121883</v>
      </c>
      <c r="I40" s="1243">
        <f t="shared" si="10"/>
        <v>3000</v>
      </c>
      <c r="J40" s="1243">
        <f t="shared" si="10"/>
        <v>0</v>
      </c>
      <c r="K40" s="1708">
        <f t="shared" si="10"/>
        <v>0</v>
      </c>
      <c r="L40" s="1729"/>
      <c r="M40" s="1729"/>
      <c r="N40" s="1731"/>
    </row>
    <row r="41" spans="1:14" s="1247" customFormat="1" ht="15" customHeight="1">
      <c r="A41" s="1141"/>
      <c r="B41" s="1142"/>
      <c r="C41" s="1143"/>
      <c r="D41" s="1143"/>
      <c r="E41" s="1243"/>
      <c r="F41" s="1243"/>
      <c r="G41" s="1243"/>
      <c r="H41" s="1243"/>
      <c r="I41" s="1243"/>
      <c r="J41" s="1243"/>
      <c r="K41" s="1708"/>
      <c r="L41" s="1729"/>
      <c r="M41" s="1729"/>
      <c r="N41" s="1731"/>
    </row>
    <row r="42" spans="1:14" ht="13.5" thickBot="1">
      <c r="A42" s="1262"/>
      <c r="B42" s="1145"/>
      <c r="C42" s="1146"/>
      <c r="D42" s="1146"/>
      <c r="E42" s="1243"/>
      <c r="F42" s="1243"/>
      <c r="G42" s="1243"/>
      <c r="H42" s="1243"/>
      <c r="I42" s="1243"/>
      <c r="J42" s="1243"/>
      <c r="K42" s="1708"/>
      <c r="L42" s="1243"/>
      <c r="M42" s="1243"/>
      <c r="N42" s="1708"/>
    </row>
    <row r="43" spans="1:14" s="1235" customFormat="1" ht="16.5" customHeight="1" thickBot="1">
      <c r="A43" s="1827" t="s">
        <v>853</v>
      </c>
      <c r="B43" s="1828"/>
      <c r="C43" s="1828"/>
      <c r="D43" s="1829"/>
      <c r="E43" s="1263"/>
      <c r="F43" s="1263"/>
      <c r="G43" s="1263"/>
      <c r="H43" s="1263"/>
      <c r="I43" s="1263"/>
      <c r="J43" s="1263"/>
      <c r="K43" s="1709"/>
      <c r="L43" s="1728"/>
      <c r="M43" s="1728"/>
      <c r="N43" s="1730"/>
    </row>
    <row r="44" spans="1:14" s="1264" customFormat="1" ht="12" customHeight="1" thickBot="1">
      <c r="A44" s="1249" t="s">
        <v>693</v>
      </c>
      <c r="B44" s="1285" t="s">
        <v>994</v>
      </c>
      <c r="C44" s="1279">
        <f>SUM(C45:C49)</f>
        <v>99535133</v>
      </c>
      <c r="D44" s="1237">
        <f>SUM(D45:D49)</f>
        <v>99718389</v>
      </c>
      <c r="E44" s="1243"/>
      <c r="F44" s="1243"/>
      <c r="G44" s="1243"/>
      <c r="H44" s="1243"/>
      <c r="I44" s="1243"/>
      <c r="J44" s="1243"/>
      <c r="K44" s="1708"/>
      <c r="L44" s="1243"/>
      <c r="M44" s="1243"/>
      <c r="N44" s="1708"/>
    </row>
    <row r="45" spans="1:14" ht="12" customHeight="1">
      <c r="A45" s="1244" t="s">
        <v>695</v>
      </c>
      <c r="B45" s="1284" t="s">
        <v>855</v>
      </c>
      <c r="C45" s="1281">
        <f t="shared" ref="C45:C49" si="11">SUM(E45:K45)</f>
        <v>74539359</v>
      </c>
      <c r="D45" s="1718">
        <f t="shared" ref="D45:D49" si="12">C45+SUM(L45:N45)</f>
        <v>74839359</v>
      </c>
      <c r="E45" s="1243">
        <v>60779687</v>
      </c>
      <c r="F45" s="1243">
        <v>1596000</v>
      </c>
      <c r="G45" s="1243"/>
      <c r="H45" s="1243"/>
      <c r="I45" s="1243">
        <v>12163672</v>
      </c>
      <c r="J45" s="1243"/>
      <c r="K45" s="1708"/>
      <c r="L45" s="1243">
        <v>300000</v>
      </c>
      <c r="M45" s="1243"/>
      <c r="N45" s="1708"/>
    </row>
    <row r="46" spans="1:14" ht="12" customHeight="1">
      <c r="A46" s="1244" t="s">
        <v>697</v>
      </c>
      <c r="B46" s="1282" t="s">
        <v>30</v>
      </c>
      <c r="C46" s="1281">
        <f t="shared" si="11"/>
        <v>14452704</v>
      </c>
      <c r="D46" s="1719">
        <f t="shared" si="12"/>
        <v>14152704</v>
      </c>
      <c r="E46" s="1243">
        <v>11678572</v>
      </c>
      <c r="F46" s="1243">
        <v>311220</v>
      </c>
      <c r="G46" s="1243"/>
      <c r="H46" s="1243"/>
      <c r="I46" s="1243">
        <v>2462912</v>
      </c>
      <c r="J46" s="1243"/>
      <c r="K46" s="1708"/>
      <c r="L46" s="1243">
        <v>-300000</v>
      </c>
      <c r="M46" s="1243"/>
      <c r="N46" s="1708"/>
    </row>
    <row r="47" spans="1:14" ht="12" customHeight="1">
      <c r="A47" s="1244" t="s">
        <v>699</v>
      </c>
      <c r="B47" s="1282" t="s">
        <v>856</v>
      </c>
      <c r="C47" s="1281">
        <f t="shared" si="11"/>
        <v>10543070</v>
      </c>
      <c r="D47" s="1719">
        <f t="shared" si="12"/>
        <v>10726326</v>
      </c>
      <c r="E47" s="1243">
        <v>1107760</v>
      </c>
      <c r="F47" s="1243">
        <v>1200000</v>
      </c>
      <c r="G47" s="1243">
        <v>6156800</v>
      </c>
      <c r="H47" s="1243"/>
      <c r="I47" s="1243">
        <v>2078510</v>
      </c>
      <c r="J47" s="1243"/>
      <c r="K47" s="1708"/>
      <c r="L47" s="1243"/>
      <c r="M47" s="1243">
        <f>145000+38256</f>
        <v>183256</v>
      </c>
      <c r="N47" s="1708"/>
    </row>
    <row r="48" spans="1:14" ht="12" customHeight="1">
      <c r="A48" s="1244" t="s">
        <v>701</v>
      </c>
      <c r="B48" s="1282" t="s">
        <v>244</v>
      </c>
      <c r="C48" s="1281">
        <f t="shared" si="11"/>
        <v>0</v>
      </c>
      <c r="D48" s="1719">
        <f t="shared" si="12"/>
        <v>0</v>
      </c>
      <c r="E48" s="1243"/>
      <c r="F48" s="1243"/>
      <c r="G48" s="1243"/>
      <c r="H48" s="1243"/>
      <c r="I48" s="1243"/>
      <c r="J48" s="1243"/>
      <c r="K48" s="1708"/>
      <c r="L48" s="1243"/>
      <c r="M48" s="1243"/>
      <c r="N48" s="1708"/>
    </row>
    <row r="49" spans="1:14" ht="12" customHeight="1" thickBot="1">
      <c r="A49" s="1244" t="s">
        <v>703</v>
      </c>
      <c r="B49" s="1282" t="s">
        <v>63</v>
      </c>
      <c r="C49" s="1281">
        <f t="shared" si="11"/>
        <v>0</v>
      </c>
      <c r="D49" s="1720">
        <f t="shared" si="12"/>
        <v>0</v>
      </c>
      <c r="E49" s="1243"/>
      <c r="F49" s="1243"/>
      <c r="G49" s="1243"/>
      <c r="H49" s="1243"/>
      <c r="I49" s="1243"/>
      <c r="J49" s="1243"/>
      <c r="K49" s="1708"/>
      <c r="L49" s="1243"/>
      <c r="M49" s="1243"/>
      <c r="N49" s="1708"/>
    </row>
    <row r="50" spans="1:14" ht="12" customHeight="1" thickBot="1">
      <c r="A50" s="1249" t="s">
        <v>707</v>
      </c>
      <c r="B50" s="1285" t="s">
        <v>995</v>
      </c>
      <c r="C50" s="1279">
        <f>SUM(C51:C53)</f>
        <v>1200150</v>
      </c>
      <c r="D50" s="1237">
        <f>SUM(D51:D53)</f>
        <v>1200150</v>
      </c>
      <c r="E50" s="1243"/>
      <c r="F50" s="1243"/>
      <c r="G50" s="1243"/>
      <c r="H50" s="1243"/>
      <c r="I50" s="1243"/>
      <c r="J50" s="1243"/>
      <c r="K50" s="1708"/>
      <c r="L50" s="1243"/>
      <c r="M50" s="1243"/>
      <c r="N50" s="1708"/>
    </row>
    <row r="51" spans="1:14" s="1264" customFormat="1" ht="12" customHeight="1">
      <c r="A51" s="1244" t="s">
        <v>709</v>
      </c>
      <c r="B51" s="1284" t="s">
        <v>72</v>
      </c>
      <c r="C51" s="1281">
        <f t="shared" ref="C51:C54" si="13">SUM(E51:K51)</f>
        <v>1200150</v>
      </c>
      <c r="D51" s="1718">
        <f t="shared" ref="D51:D54" si="14">C51+SUM(L51:N51)</f>
        <v>1200150</v>
      </c>
      <c r="E51" s="1243"/>
      <c r="F51" s="1243"/>
      <c r="G51" s="1243">
        <v>1200150</v>
      </c>
      <c r="H51" s="1243"/>
      <c r="I51" s="1243"/>
      <c r="J51" s="1243"/>
      <c r="K51" s="1708"/>
      <c r="L51" s="1243"/>
      <c r="M51" s="1243"/>
      <c r="N51" s="1708"/>
    </row>
    <row r="52" spans="1:14" ht="12" customHeight="1">
      <c r="A52" s="1244" t="s">
        <v>711</v>
      </c>
      <c r="B52" s="1282" t="s">
        <v>172</v>
      </c>
      <c r="C52" s="1281">
        <f t="shared" si="13"/>
        <v>0</v>
      </c>
      <c r="D52" s="1719">
        <f t="shared" si="14"/>
        <v>0</v>
      </c>
      <c r="E52" s="1243"/>
      <c r="F52" s="1243"/>
      <c r="G52" s="1243"/>
      <c r="H52" s="1243"/>
      <c r="I52" s="1243"/>
      <c r="J52" s="1243"/>
      <c r="K52" s="1708"/>
      <c r="L52" s="1243"/>
      <c r="M52" s="1243"/>
      <c r="N52" s="1708"/>
    </row>
    <row r="53" spans="1:14" ht="12" customHeight="1">
      <c r="A53" s="1244" t="s">
        <v>713</v>
      </c>
      <c r="B53" s="1282" t="s">
        <v>996</v>
      </c>
      <c r="C53" s="1281">
        <f t="shared" si="13"/>
        <v>0</v>
      </c>
      <c r="D53" s="1719">
        <f t="shared" si="14"/>
        <v>0</v>
      </c>
      <c r="E53" s="1243"/>
      <c r="F53" s="1243"/>
      <c r="G53" s="1243"/>
      <c r="H53" s="1243"/>
      <c r="I53" s="1243"/>
      <c r="J53" s="1243"/>
      <c r="K53" s="1708"/>
      <c r="L53" s="1243"/>
      <c r="M53" s="1243"/>
      <c r="N53" s="1708"/>
    </row>
    <row r="54" spans="1:14" ht="12" customHeight="1" thickBot="1">
      <c r="A54" s="1244" t="s">
        <v>715</v>
      </c>
      <c r="B54" s="1282" t="s">
        <v>997</v>
      </c>
      <c r="C54" s="1281">
        <f t="shared" si="13"/>
        <v>0</v>
      </c>
      <c r="D54" s="1720">
        <f t="shared" si="14"/>
        <v>0</v>
      </c>
      <c r="E54" s="1243"/>
      <c r="F54" s="1243"/>
      <c r="G54" s="1243"/>
      <c r="H54" s="1243"/>
      <c r="I54" s="1243"/>
      <c r="J54" s="1243"/>
      <c r="K54" s="1708"/>
      <c r="L54" s="1243"/>
      <c r="M54" s="1243"/>
      <c r="N54" s="1708"/>
    </row>
    <row r="55" spans="1:14" ht="15" customHeight="1" thickBot="1">
      <c r="A55" s="1249" t="s">
        <v>721</v>
      </c>
      <c r="B55" s="1293" t="s">
        <v>998</v>
      </c>
      <c r="C55" s="1292">
        <f>+C44+C50</f>
        <v>100735283</v>
      </c>
      <c r="D55" s="1267">
        <f>+D44+D50</f>
        <v>100918539</v>
      </c>
      <c r="E55" s="1243">
        <f>SUM(E44:E54)</f>
        <v>73566019</v>
      </c>
      <c r="F55" s="1243">
        <f t="shared" ref="F55:K55" si="15">SUM(F44:F54)</f>
        <v>3107220</v>
      </c>
      <c r="G55" s="1243">
        <f t="shared" si="15"/>
        <v>7356950</v>
      </c>
      <c r="H55" s="1243">
        <f t="shared" si="15"/>
        <v>0</v>
      </c>
      <c r="I55" s="1243">
        <f t="shared" si="15"/>
        <v>16705094</v>
      </c>
      <c r="J55" s="1243">
        <f t="shared" si="15"/>
        <v>0</v>
      </c>
      <c r="K55" s="1708">
        <f t="shared" si="15"/>
        <v>0</v>
      </c>
      <c r="L55" s="1243"/>
      <c r="M55" s="1243"/>
      <c r="N55" s="1708"/>
    </row>
    <row r="56" spans="1:14" ht="13.5" thickBot="1">
      <c r="C56" s="1270"/>
      <c r="D56" s="1270"/>
      <c r="E56" s="1243"/>
      <c r="F56" s="1243"/>
      <c r="G56" s="1243"/>
      <c r="H56" s="1243"/>
      <c r="I56" s="1243"/>
      <c r="J56" s="1243"/>
      <c r="K56" s="1708"/>
      <c r="L56" s="1243"/>
      <c r="M56" s="1243"/>
      <c r="N56" s="1708"/>
    </row>
    <row r="57" spans="1:14" ht="15" customHeight="1" thickBot="1">
      <c r="A57" s="1220" t="s">
        <v>964</v>
      </c>
      <c r="B57" s="1294"/>
      <c r="C57" s="1295">
        <v>22</v>
      </c>
      <c r="D57" s="1295">
        <v>22</v>
      </c>
      <c r="E57" s="1243"/>
      <c r="F57" s="1243"/>
      <c r="G57" s="1243"/>
      <c r="H57" s="1243"/>
      <c r="I57" s="1243"/>
      <c r="J57" s="1243"/>
      <c r="K57" s="1708"/>
      <c r="L57" s="1243"/>
      <c r="M57" s="1243"/>
      <c r="N57" s="1708"/>
    </row>
    <row r="58" spans="1:14" ht="14.25" customHeight="1" thickBot="1">
      <c r="A58" s="1220" t="s">
        <v>965</v>
      </c>
      <c r="B58" s="1294"/>
      <c r="C58" s="1295">
        <v>0</v>
      </c>
      <c r="D58" s="1295">
        <v>0</v>
      </c>
      <c r="E58" s="1243"/>
      <c r="F58" s="1243"/>
      <c r="G58" s="1243"/>
      <c r="H58" s="1243"/>
      <c r="I58" s="1243"/>
      <c r="J58" s="1243"/>
      <c r="K58" s="1708"/>
      <c r="L58" s="1243"/>
      <c r="M58" s="1243"/>
      <c r="N58" s="1708"/>
    </row>
    <row r="59" spans="1:14" ht="12.75" customHeight="1">
      <c r="A59" s="1867"/>
      <c r="B59" s="1867"/>
      <c r="C59" s="1867"/>
      <c r="D59" s="1867"/>
      <c r="E59" s="1243"/>
      <c r="F59" s="1243"/>
      <c r="G59" s="1243"/>
      <c r="H59" s="1243"/>
      <c r="I59" s="1243"/>
      <c r="J59" s="1243"/>
      <c r="K59" s="1708"/>
      <c r="L59" s="1243"/>
      <c r="M59" s="1243"/>
      <c r="N59" s="1708"/>
    </row>
    <row r="60" spans="1:14">
      <c r="L60" s="1243"/>
      <c r="M60" s="1243"/>
      <c r="N60" s="1708"/>
    </row>
  </sheetData>
  <sheetProtection selectLockedCells="1" selectUnlockedCells="1"/>
  <mergeCells count="6">
    <mergeCell ref="A59:D59"/>
    <mergeCell ref="A1:D1"/>
    <mergeCell ref="C2:D3"/>
    <mergeCell ref="C4:D4"/>
    <mergeCell ref="A7:D7"/>
    <mergeCell ref="A43:D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C000"/>
  </sheetPr>
  <dimension ref="A1:N60"/>
  <sheetViews>
    <sheetView view="pageBreakPreview" zoomScaleNormal="100" zoomScaleSheetLayoutView="100" workbookViewId="0">
      <selection activeCell="C2" sqref="C2:D3"/>
    </sheetView>
  </sheetViews>
  <sheetFormatPr defaultRowHeight="12.75"/>
  <cols>
    <col min="1" max="1" width="11.85546875" style="1268" customWidth="1"/>
    <col min="2" max="2" width="54.5703125" style="1269" customWidth="1"/>
    <col min="3" max="3" width="15.5703125" style="1269" customWidth="1"/>
    <col min="4" max="4" width="15.42578125" style="1269" customWidth="1"/>
    <col min="5" max="10" width="9.140625" style="1233" hidden="1" customWidth="1"/>
    <col min="11" max="11" width="9.140625" style="1717" hidden="1" customWidth="1"/>
    <col min="12" max="13" width="9.140625" style="1233" hidden="1" customWidth="1"/>
    <col min="14" max="14" width="9.140625" style="1717" hidden="1" customWidth="1"/>
    <col min="15" max="21" width="9.140625" style="1233" customWidth="1"/>
    <col min="22" max="252" width="9.140625" style="1233"/>
    <col min="253" max="253" width="11.85546875" style="1233" customWidth="1"/>
    <col min="254" max="254" width="54.5703125" style="1233" customWidth="1"/>
    <col min="255" max="255" width="15.5703125" style="1233" customWidth="1"/>
    <col min="256" max="256" width="15.42578125" style="1233" customWidth="1"/>
    <col min="257" max="263" width="9.140625" style="1233" customWidth="1"/>
    <col min="264" max="508" width="9.140625" style="1233"/>
    <col min="509" max="509" width="11.85546875" style="1233" customWidth="1"/>
    <col min="510" max="510" width="54.5703125" style="1233" customWidth="1"/>
    <col min="511" max="511" width="15.5703125" style="1233" customWidth="1"/>
    <col min="512" max="512" width="15.42578125" style="1233" customWidth="1"/>
    <col min="513" max="519" width="9.140625" style="1233" customWidth="1"/>
    <col min="520" max="764" width="9.140625" style="1233"/>
    <col min="765" max="765" width="11.85546875" style="1233" customWidth="1"/>
    <col min="766" max="766" width="54.5703125" style="1233" customWidth="1"/>
    <col min="767" max="767" width="15.5703125" style="1233" customWidth="1"/>
    <col min="768" max="768" width="15.42578125" style="1233" customWidth="1"/>
    <col min="769" max="775" width="9.140625" style="1233" customWidth="1"/>
    <col min="776" max="1020" width="9.140625" style="1233"/>
    <col min="1021" max="1021" width="11.85546875" style="1233" customWidth="1"/>
    <col min="1022" max="1022" width="54.5703125" style="1233" customWidth="1"/>
    <col min="1023" max="1023" width="15.5703125" style="1233" customWidth="1"/>
    <col min="1024" max="1024" width="15.42578125" style="1233" customWidth="1"/>
    <col min="1025" max="1031" width="9.140625" style="1233" customWidth="1"/>
    <col min="1032" max="1276" width="9.140625" style="1233"/>
    <col min="1277" max="1277" width="11.85546875" style="1233" customWidth="1"/>
    <col min="1278" max="1278" width="54.5703125" style="1233" customWidth="1"/>
    <col min="1279" max="1279" width="15.5703125" style="1233" customWidth="1"/>
    <col min="1280" max="1280" width="15.42578125" style="1233" customWidth="1"/>
    <col min="1281" max="1287" width="9.140625" style="1233" customWidth="1"/>
    <col min="1288" max="1532" width="9.140625" style="1233"/>
    <col min="1533" max="1533" width="11.85546875" style="1233" customWidth="1"/>
    <col min="1534" max="1534" width="54.5703125" style="1233" customWidth="1"/>
    <col min="1535" max="1535" width="15.5703125" style="1233" customWidth="1"/>
    <col min="1536" max="1536" width="15.42578125" style="1233" customWidth="1"/>
    <col min="1537" max="1543" width="9.140625" style="1233" customWidth="1"/>
    <col min="1544" max="1788" width="9.140625" style="1233"/>
    <col min="1789" max="1789" width="11.85546875" style="1233" customWidth="1"/>
    <col min="1790" max="1790" width="54.5703125" style="1233" customWidth="1"/>
    <col min="1791" max="1791" width="15.5703125" style="1233" customWidth="1"/>
    <col min="1792" max="1792" width="15.42578125" style="1233" customWidth="1"/>
    <col min="1793" max="1799" width="9.140625" style="1233" customWidth="1"/>
    <col min="1800" max="2044" width="9.140625" style="1233"/>
    <col min="2045" max="2045" width="11.85546875" style="1233" customWidth="1"/>
    <col min="2046" max="2046" width="54.5703125" style="1233" customWidth="1"/>
    <col min="2047" max="2047" width="15.5703125" style="1233" customWidth="1"/>
    <col min="2048" max="2048" width="15.42578125" style="1233" customWidth="1"/>
    <col min="2049" max="2055" width="9.140625" style="1233" customWidth="1"/>
    <col min="2056" max="2300" width="9.140625" style="1233"/>
    <col min="2301" max="2301" width="11.85546875" style="1233" customWidth="1"/>
    <col min="2302" max="2302" width="54.5703125" style="1233" customWidth="1"/>
    <col min="2303" max="2303" width="15.5703125" style="1233" customWidth="1"/>
    <col min="2304" max="2304" width="15.42578125" style="1233" customWidth="1"/>
    <col min="2305" max="2311" width="9.140625" style="1233" customWidth="1"/>
    <col min="2312" max="2556" width="9.140625" style="1233"/>
    <col min="2557" max="2557" width="11.85546875" style="1233" customWidth="1"/>
    <col min="2558" max="2558" width="54.5703125" style="1233" customWidth="1"/>
    <col min="2559" max="2559" width="15.5703125" style="1233" customWidth="1"/>
    <col min="2560" max="2560" width="15.42578125" style="1233" customWidth="1"/>
    <col min="2561" max="2567" width="9.140625" style="1233" customWidth="1"/>
    <col min="2568" max="2812" width="9.140625" style="1233"/>
    <col min="2813" max="2813" width="11.85546875" style="1233" customWidth="1"/>
    <col min="2814" max="2814" width="54.5703125" style="1233" customWidth="1"/>
    <col min="2815" max="2815" width="15.5703125" style="1233" customWidth="1"/>
    <col min="2816" max="2816" width="15.42578125" style="1233" customWidth="1"/>
    <col min="2817" max="2823" width="9.140625" style="1233" customWidth="1"/>
    <col min="2824" max="3068" width="9.140625" style="1233"/>
    <col min="3069" max="3069" width="11.85546875" style="1233" customWidth="1"/>
    <col min="3070" max="3070" width="54.5703125" style="1233" customWidth="1"/>
    <col min="3071" max="3071" width="15.5703125" style="1233" customWidth="1"/>
    <col min="3072" max="3072" width="15.42578125" style="1233" customWidth="1"/>
    <col min="3073" max="3079" width="9.140625" style="1233" customWidth="1"/>
    <col min="3080" max="3324" width="9.140625" style="1233"/>
    <col min="3325" max="3325" width="11.85546875" style="1233" customWidth="1"/>
    <col min="3326" max="3326" width="54.5703125" style="1233" customWidth="1"/>
    <col min="3327" max="3327" width="15.5703125" style="1233" customWidth="1"/>
    <col min="3328" max="3328" width="15.42578125" style="1233" customWidth="1"/>
    <col min="3329" max="3335" width="9.140625" style="1233" customWidth="1"/>
    <col min="3336" max="3580" width="9.140625" style="1233"/>
    <col min="3581" max="3581" width="11.85546875" style="1233" customWidth="1"/>
    <col min="3582" max="3582" width="54.5703125" style="1233" customWidth="1"/>
    <col min="3583" max="3583" width="15.5703125" style="1233" customWidth="1"/>
    <col min="3584" max="3584" width="15.42578125" style="1233" customWidth="1"/>
    <col min="3585" max="3591" width="9.140625" style="1233" customWidth="1"/>
    <col min="3592" max="3836" width="9.140625" style="1233"/>
    <col min="3837" max="3837" width="11.85546875" style="1233" customWidth="1"/>
    <col min="3838" max="3838" width="54.5703125" style="1233" customWidth="1"/>
    <col min="3839" max="3839" width="15.5703125" style="1233" customWidth="1"/>
    <col min="3840" max="3840" width="15.42578125" style="1233" customWidth="1"/>
    <col min="3841" max="3847" width="9.140625" style="1233" customWidth="1"/>
    <col min="3848" max="4092" width="9.140625" style="1233"/>
    <col min="4093" max="4093" width="11.85546875" style="1233" customWidth="1"/>
    <col min="4094" max="4094" width="54.5703125" style="1233" customWidth="1"/>
    <col min="4095" max="4095" width="15.5703125" style="1233" customWidth="1"/>
    <col min="4096" max="4096" width="15.42578125" style="1233" customWidth="1"/>
    <col min="4097" max="4103" width="9.140625" style="1233" customWidth="1"/>
    <col min="4104" max="4348" width="9.140625" style="1233"/>
    <col min="4349" max="4349" width="11.85546875" style="1233" customWidth="1"/>
    <col min="4350" max="4350" width="54.5703125" style="1233" customWidth="1"/>
    <col min="4351" max="4351" width="15.5703125" style="1233" customWidth="1"/>
    <col min="4352" max="4352" width="15.42578125" style="1233" customWidth="1"/>
    <col min="4353" max="4359" width="9.140625" style="1233" customWidth="1"/>
    <col min="4360" max="4604" width="9.140625" style="1233"/>
    <col min="4605" max="4605" width="11.85546875" style="1233" customWidth="1"/>
    <col min="4606" max="4606" width="54.5703125" style="1233" customWidth="1"/>
    <col min="4607" max="4607" width="15.5703125" style="1233" customWidth="1"/>
    <col min="4608" max="4608" width="15.42578125" style="1233" customWidth="1"/>
    <col min="4609" max="4615" width="9.140625" style="1233" customWidth="1"/>
    <col min="4616" max="4860" width="9.140625" style="1233"/>
    <col min="4861" max="4861" width="11.85546875" style="1233" customWidth="1"/>
    <col min="4862" max="4862" width="54.5703125" style="1233" customWidth="1"/>
    <col min="4863" max="4863" width="15.5703125" style="1233" customWidth="1"/>
    <col min="4864" max="4864" width="15.42578125" style="1233" customWidth="1"/>
    <col min="4865" max="4871" width="9.140625" style="1233" customWidth="1"/>
    <col min="4872" max="5116" width="9.140625" style="1233"/>
    <col min="5117" max="5117" width="11.85546875" style="1233" customWidth="1"/>
    <col min="5118" max="5118" width="54.5703125" style="1233" customWidth="1"/>
    <col min="5119" max="5119" width="15.5703125" style="1233" customWidth="1"/>
    <col min="5120" max="5120" width="15.42578125" style="1233" customWidth="1"/>
    <col min="5121" max="5127" width="9.140625" style="1233" customWidth="1"/>
    <col min="5128" max="5372" width="9.140625" style="1233"/>
    <col min="5373" max="5373" width="11.85546875" style="1233" customWidth="1"/>
    <col min="5374" max="5374" width="54.5703125" style="1233" customWidth="1"/>
    <col min="5375" max="5375" width="15.5703125" style="1233" customWidth="1"/>
    <col min="5376" max="5376" width="15.42578125" style="1233" customWidth="1"/>
    <col min="5377" max="5383" width="9.140625" style="1233" customWidth="1"/>
    <col min="5384" max="5628" width="9.140625" style="1233"/>
    <col min="5629" max="5629" width="11.85546875" style="1233" customWidth="1"/>
    <col min="5630" max="5630" width="54.5703125" style="1233" customWidth="1"/>
    <col min="5631" max="5631" width="15.5703125" style="1233" customWidth="1"/>
    <col min="5632" max="5632" width="15.42578125" style="1233" customWidth="1"/>
    <col min="5633" max="5639" width="9.140625" style="1233" customWidth="1"/>
    <col min="5640" max="5884" width="9.140625" style="1233"/>
    <col min="5885" max="5885" width="11.85546875" style="1233" customWidth="1"/>
    <col min="5886" max="5886" width="54.5703125" style="1233" customWidth="1"/>
    <col min="5887" max="5887" width="15.5703125" style="1233" customWidth="1"/>
    <col min="5888" max="5888" width="15.42578125" style="1233" customWidth="1"/>
    <col min="5889" max="5895" width="9.140625" style="1233" customWidth="1"/>
    <col min="5896" max="6140" width="9.140625" style="1233"/>
    <col min="6141" max="6141" width="11.85546875" style="1233" customWidth="1"/>
    <col min="6142" max="6142" width="54.5703125" style="1233" customWidth="1"/>
    <col min="6143" max="6143" width="15.5703125" style="1233" customWidth="1"/>
    <col min="6144" max="6144" width="15.42578125" style="1233" customWidth="1"/>
    <col min="6145" max="6151" width="9.140625" style="1233" customWidth="1"/>
    <col min="6152" max="6396" width="9.140625" style="1233"/>
    <col min="6397" max="6397" width="11.85546875" style="1233" customWidth="1"/>
    <col min="6398" max="6398" width="54.5703125" style="1233" customWidth="1"/>
    <col min="6399" max="6399" width="15.5703125" style="1233" customWidth="1"/>
    <col min="6400" max="6400" width="15.42578125" style="1233" customWidth="1"/>
    <col min="6401" max="6407" width="9.140625" style="1233" customWidth="1"/>
    <col min="6408" max="6652" width="9.140625" style="1233"/>
    <col min="6653" max="6653" width="11.85546875" style="1233" customWidth="1"/>
    <col min="6654" max="6654" width="54.5703125" style="1233" customWidth="1"/>
    <col min="6655" max="6655" width="15.5703125" style="1233" customWidth="1"/>
    <col min="6656" max="6656" width="15.42578125" style="1233" customWidth="1"/>
    <col min="6657" max="6663" width="9.140625" style="1233" customWidth="1"/>
    <col min="6664" max="6908" width="9.140625" style="1233"/>
    <col min="6909" max="6909" width="11.85546875" style="1233" customWidth="1"/>
    <col min="6910" max="6910" width="54.5703125" style="1233" customWidth="1"/>
    <col min="6911" max="6911" width="15.5703125" style="1233" customWidth="1"/>
    <col min="6912" max="6912" width="15.42578125" style="1233" customWidth="1"/>
    <col min="6913" max="6919" width="9.140625" style="1233" customWidth="1"/>
    <col min="6920" max="7164" width="9.140625" style="1233"/>
    <col min="7165" max="7165" width="11.85546875" style="1233" customWidth="1"/>
    <col min="7166" max="7166" width="54.5703125" style="1233" customWidth="1"/>
    <col min="7167" max="7167" width="15.5703125" style="1233" customWidth="1"/>
    <col min="7168" max="7168" width="15.42578125" style="1233" customWidth="1"/>
    <col min="7169" max="7175" width="9.140625" style="1233" customWidth="1"/>
    <col min="7176" max="7420" width="9.140625" style="1233"/>
    <col min="7421" max="7421" width="11.85546875" style="1233" customWidth="1"/>
    <col min="7422" max="7422" width="54.5703125" style="1233" customWidth="1"/>
    <col min="7423" max="7423" width="15.5703125" style="1233" customWidth="1"/>
    <col min="7424" max="7424" width="15.42578125" style="1233" customWidth="1"/>
    <col min="7425" max="7431" width="9.140625" style="1233" customWidth="1"/>
    <col min="7432" max="7676" width="9.140625" style="1233"/>
    <col min="7677" max="7677" width="11.85546875" style="1233" customWidth="1"/>
    <col min="7678" max="7678" width="54.5703125" style="1233" customWidth="1"/>
    <col min="7679" max="7679" width="15.5703125" style="1233" customWidth="1"/>
    <col min="7680" max="7680" width="15.42578125" style="1233" customWidth="1"/>
    <col min="7681" max="7687" width="9.140625" style="1233" customWidth="1"/>
    <col min="7688" max="7932" width="9.140625" style="1233"/>
    <col min="7933" max="7933" width="11.85546875" style="1233" customWidth="1"/>
    <col min="7934" max="7934" width="54.5703125" style="1233" customWidth="1"/>
    <col min="7935" max="7935" width="15.5703125" style="1233" customWidth="1"/>
    <col min="7936" max="7936" width="15.42578125" style="1233" customWidth="1"/>
    <col min="7937" max="7943" width="9.140625" style="1233" customWidth="1"/>
    <col min="7944" max="8188" width="9.140625" style="1233"/>
    <col min="8189" max="8189" width="11.85546875" style="1233" customWidth="1"/>
    <col min="8190" max="8190" width="54.5703125" style="1233" customWidth="1"/>
    <col min="8191" max="8191" width="15.5703125" style="1233" customWidth="1"/>
    <col min="8192" max="8192" width="15.42578125" style="1233" customWidth="1"/>
    <col min="8193" max="8199" width="9.140625" style="1233" customWidth="1"/>
    <col min="8200" max="8444" width="9.140625" style="1233"/>
    <col min="8445" max="8445" width="11.85546875" style="1233" customWidth="1"/>
    <col min="8446" max="8446" width="54.5703125" style="1233" customWidth="1"/>
    <col min="8447" max="8447" width="15.5703125" style="1233" customWidth="1"/>
    <col min="8448" max="8448" width="15.42578125" style="1233" customWidth="1"/>
    <col min="8449" max="8455" width="9.140625" style="1233" customWidth="1"/>
    <col min="8456" max="8700" width="9.140625" style="1233"/>
    <col min="8701" max="8701" width="11.85546875" style="1233" customWidth="1"/>
    <col min="8702" max="8702" width="54.5703125" style="1233" customWidth="1"/>
    <col min="8703" max="8703" width="15.5703125" style="1233" customWidth="1"/>
    <col min="8704" max="8704" width="15.42578125" style="1233" customWidth="1"/>
    <col min="8705" max="8711" width="9.140625" style="1233" customWidth="1"/>
    <col min="8712" max="8956" width="9.140625" style="1233"/>
    <col min="8957" max="8957" width="11.85546875" style="1233" customWidth="1"/>
    <col min="8958" max="8958" width="54.5703125" style="1233" customWidth="1"/>
    <col min="8959" max="8959" width="15.5703125" style="1233" customWidth="1"/>
    <col min="8960" max="8960" width="15.42578125" style="1233" customWidth="1"/>
    <col min="8961" max="8967" width="9.140625" style="1233" customWidth="1"/>
    <col min="8968" max="9212" width="9.140625" style="1233"/>
    <col min="9213" max="9213" width="11.85546875" style="1233" customWidth="1"/>
    <col min="9214" max="9214" width="54.5703125" style="1233" customWidth="1"/>
    <col min="9215" max="9215" width="15.5703125" style="1233" customWidth="1"/>
    <col min="9216" max="9216" width="15.42578125" style="1233" customWidth="1"/>
    <col min="9217" max="9223" width="9.140625" style="1233" customWidth="1"/>
    <col min="9224" max="9468" width="9.140625" style="1233"/>
    <col min="9469" max="9469" width="11.85546875" style="1233" customWidth="1"/>
    <col min="9470" max="9470" width="54.5703125" style="1233" customWidth="1"/>
    <col min="9471" max="9471" width="15.5703125" style="1233" customWidth="1"/>
    <col min="9472" max="9472" width="15.42578125" style="1233" customWidth="1"/>
    <col min="9473" max="9479" width="9.140625" style="1233" customWidth="1"/>
    <col min="9480" max="9724" width="9.140625" style="1233"/>
    <col min="9725" max="9725" width="11.85546875" style="1233" customWidth="1"/>
    <col min="9726" max="9726" width="54.5703125" style="1233" customWidth="1"/>
    <col min="9727" max="9727" width="15.5703125" style="1233" customWidth="1"/>
    <col min="9728" max="9728" width="15.42578125" style="1233" customWidth="1"/>
    <col min="9729" max="9735" width="9.140625" style="1233" customWidth="1"/>
    <col min="9736" max="9980" width="9.140625" style="1233"/>
    <col min="9981" max="9981" width="11.85546875" style="1233" customWidth="1"/>
    <col min="9982" max="9982" width="54.5703125" style="1233" customWidth="1"/>
    <col min="9983" max="9983" width="15.5703125" style="1233" customWidth="1"/>
    <col min="9984" max="9984" width="15.42578125" style="1233" customWidth="1"/>
    <col min="9985" max="9991" width="9.140625" style="1233" customWidth="1"/>
    <col min="9992" max="10236" width="9.140625" style="1233"/>
    <col min="10237" max="10237" width="11.85546875" style="1233" customWidth="1"/>
    <col min="10238" max="10238" width="54.5703125" style="1233" customWidth="1"/>
    <col min="10239" max="10239" width="15.5703125" style="1233" customWidth="1"/>
    <col min="10240" max="10240" width="15.42578125" style="1233" customWidth="1"/>
    <col min="10241" max="10247" width="9.140625" style="1233" customWidth="1"/>
    <col min="10248" max="10492" width="9.140625" style="1233"/>
    <col min="10493" max="10493" width="11.85546875" style="1233" customWidth="1"/>
    <col min="10494" max="10494" width="54.5703125" style="1233" customWidth="1"/>
    <col min="10495" max="10495" width="15.5703125" style="1233" customWidth="1"/>
    <col min="10496" max="10496" width="15.42578125" style="1233" customWidth="1"/>
    <col min="10497" max="10503" width="9.140625" style="1233" customWidth="1"/>
    <col min="10504" max="10748" width="9.140625" style="1233"/>
    <col min="10749" max="10749" width="11.85546875" style="1233" customWidth="1"/>
    <col min="10750" max="10750" width="54.5703125" style="1233" customWidth="1"/>
    <col min="10751" max="10751" width="15.5703125" style="1233" customWidth="1"/>
    <col min="10752" max="10752" width="15.42578125" style="1233" customWidth="1"/>
    <col min="10753" max="10759" width="9.140625" style="1233" customWidth="1"/>
    <col min="10760" max="11004" width="9.140625" style="1233"/>
    <col min="11005" max="11005" width="11.85546875" style="1233" customWidth="1"/>
    <col min="11006" max="11006" width="54.5703125" style="1233" customWidth="1"/>
    <col min="11007" max="11007" width="15.5703125" style="1233" customWidth="1"/>
    <col min="11008" max="11008" width="15.42578125" style="1233" customWidth="1"/>
    <col min="11009" max="11015" width="9.140625" style="1233" customWidth="1"/>
    <col min="11016" max="11260" width="9.140625" style="1233"/>
    <col min="11261" max="11261" width="11.85546875" style="1233" customWidth="1"/>
    <col min="11262" max="11262" width="54.5703125" style="1233" customWidth="1"/>
    <col min="11263" max="11263" width="15.5703125" style="1233" customWidth="1"/>
    <col min="11264" max="11264" width="15.42578125" style="1233" customWidth="1"/>
    <col min="11265" max="11271" width="9.140625" style="1233" customWidth="1"/>
    <col min="11272" max="11516" width="9.140625" style="1233"/>
    <col min="11517" max="11517" width="11.85546875" style="1233" customWidth="1"/>
    <col min="11518" max="11518" width="54.5703125" style="1233" customWidth="1"/>
    <col min="11519" max="11519" width="15.5703125" style="1233" customWidth="1"/>
    <col min="11520" max="11520" width="15.42578125" style="1233" customWidth="1"/>
    <col min="11521" max="11527" width="9.140625" style="1233" customWidth="1"/>
    <col min="11528" max="11772" width="9.140625" style="1233"/>
    <col min="11773" max="11773" width="11.85546875" style="1233" customWidth="1"/>
    <col min="11774" max="11774" width="54.5703125" style="1233" customWidth="1"/>
    <col min="11775" max="11775" width="15.5703125" style="1233" customWidth="1"/>
    <col min="11776" max="11776" width="15.42578125" style="1233" customWidth="1"/>
    <col min="11777" max="11783" width="9.140625" style="1233" customWidth="1"/>
    <col min="11784" max="12028" width="9.140625" style="1233"/>
    <col min="12029" max="12029" width="11.85546875" style="1233" customWidth="1"/>
    <col min="12030" max="12030" width="54.5703125" style="1233" customWidth="1"/>
    <col min="12031" max="12031" width="15.5703125" style="1233" customWidth="1"/>
    <col min="12032" max="12032" width="15.42578125" style="1233" customWidth="1"/>
    <col min="12033" max="12039" width="9.140625" style="1233" customWidth="1"/>
    <col min="12040" max="12284" width="9.140625" style="1233"/>
    <col min="12285" max="12285" width="11.85546875" style="1233" customWidth="1"/>
    <col min="12286" max="12286" width="54.5703125" style="1233" customWidth="1"/>
    <col min="12287" max="12287" width="15.5703125" style="1233" customWidth="1"/>
    <col min="12288" max="12288" width="15.42578125" style="1233" customWidth="1"/>
    <col min="12289" max="12295" width="9.140625" style="1233" customWidth="1"/>
    <col min="12296" max="12540" width="9.140625" style="1233"/>
    <col min="12541" max="12541" width="11.85546875" style="1233" customWidth="1"/>
    <col min="12542" max="12542" width="54.5703125" style="1233" customWidth="1"/>
    <col min="12543" max="12543" width="15.5703125" style="1233" customWidth="1"/>
    <col min="12544" max="12544" width="15.42578125" style="1233" customWidth="1"/>
    <col min="12545" max="12551" width="9.140625" style="1233" customWidth="1"/>
    <col min="12552" max="12796" width="9.140625" style="1233"/>
    <col min="12797" max="12797" width="11.85546875" style="1233" customWidth="1"/>
    <col min="12798" max="12798" width="54.5703125" style="1233" customWidth="1"/>
    <col min="12799" max="12799" width="15.5703125" style="1233" customWidth="1"/>
    <col min="12800" max="12800" width="15.42578125" style="1233" customWidth="1"/>
    <col min="12801" max="12807" width="9.140625" style="1233" customWidth="1"/>
    <col min="12808" max="13052" width="9.140625" style="1233"/>
    <col min="13053" max="13053" width="11.85546875" style="1233" customWidth="1"/>
    <col min="13054" max="13054" width="54.5703125" style="1233" customWidth="1"/>
    <col min="13055" max="13055" width="15.5703125" style="1233" customWidth="1"/>
    <col min="13056" max="13056" width="15.42578125" style="1233" customWidth="1"/>
    <col min="13057" max="13063" width="9.140625" style="1233" customWidth="1"/>
    <col min="13064" max="13308" width="9.140625" style="1233"/>
    <col min="13309" max="13309" width="11.85546875" style="1233" customWidth="1"/>
    <col min="13310" max="13310" width="54.5703125" style="1233" customWidth="1"/>
    <col min="13311" max="13311" width="15.5703125" style="1233" customWidth="1"/>
    <col min="13312" max="13312" width="15.42578125" style="1233" customWidth="1"/>
    <col min="13313" max="13319" width="9.140625" style="1233" customWidth="1"/>
    <col min="13320" max="13564" width="9.140625" style="1233"/>
    <col min="13565" max="13565" width="11.85546875" style="1233" customWidth="1"/>
    <col min="13566" max="13566" width="54.5703125" style="1233" customWidth="1"/>
    <col min="13567" max="13567" width="15.5703125" style="1233" customWidth="1"/>
    <col min="13568" max="13568" width="15.42578125" style="1233" customWidth="1"/>
    <col min="13569" max="13575" width="9.140625" style="1233" customWidth="1"/>
    <col min="13576" max="13820" width="9.140625" style="1233"/>
    <col min="13821" max="13821" width="11.85546875" style="1233" customWidth="1"/>
    <col min="13822" max="13822" width="54.5703125" style="1233" customWidth="1"/>
    <col min="13823" max="13823" width="15.5703125" style="1233" customWidth="1"/>
    <col min="13824" max="13824" width="15.42578125" style="1233" customWidth="1"/>
    <col min="13825" max="13831" width="9.140625" style="1233" customWidth="1"/>
    <col min="13832" max="14076" width="9.140625" style="1233"/>
    <col min="14077" max="14077" width="11.85546875" style="1233" customWidth="1"/>
    <col min="14078" max="14078" width="54.5703125" style="1233" customWidth="1"/>
    <col min="14079" max="14079" width="15.5703125" style="1233" customWidth="1"/>
    <col min="14080" max="14080" width="15.42578125" style="1233" customWidth="1"/>
    <col min="14081" max="14087" width="9.140625" style="1233" customWidth="1"/>
    <col min="14088" max="14332" width="9.140625" style="1233"/>
    <col min="14333" max="14333" width="11.85546875" style="1233" customWidth="1"/>
    <col min="14334" max="14334" width="54.5703125" style="1233" customWidth="1"/>
    <col min="14335" max="14335" width="15.5703125" style="1233" customWidth="1"/>
    <col min="14336" max="14336" width="15.42578125" style="1233" customWidth="1"/>
    <col min="14337" max="14343" width="9.140625" style="1233" customWidth="1"/>
    <col min="14344" max="14588" width="9.140625" style="1233"/>
    <col min="14589" max="14589" width="11.85546875" style="1233" customWidth="1"/>
    <col min="14590" max="14590" width="54.5703125" style="1233" customWidth="1"/>
    <col min="14591" max="14591" width="15.5703125" style="1233" customWidth="1"/>
    <col min="14592" max="14592" width="15.42578125" style="1233" customWidth="1"/>
    <col min="14593" max="14599" width="9.140625" style="1233" customWidth="1"/>
    <col min="14600" max="14844" width="9.140625" style="1233"/>
    <col min="14845" max="14845" width="11.85546875" style="1233" customWidth="1"/>
    <col min="14846" max="14846" width="54.5703125" style="1233" customWidth="1"/>
    <col min="14847" max="14847" width="15.5703125" style="1233" customWidth="1"/>
    <col min="14848" max="14848" width="15.42578125" style="1233" customWidth="1"/>
    <col min="14849" max="14855" width="9.140625" style="1233" customWidth="1"/>
    <col min="14856" max="15100" width="9.140625" style="1233"/>
    <col min="15101" max="15101" width="11.85546875" style="1233" customWidth="1"/>
    <col min="15102" max="15102" width="54.5703125" style="1233" customWidth="1"/>
    <col min="15103" max="15103" width="15.5703125" style="1233" customWidth="1"/>
    <col min="15104" max="15104" width="15.42578125" style="1233" customWidth="1"/>
    <col min="15105" max="15111" width="9.140625" style="1233" customWidth="1"/>
    <col min="15112" max="15356" width="9.140625" style="1233"/>
    <col min="15357" max="15357" width="11.85546875" style="1233" customWidth="1"/>
    <col min="15358" max="15358" width="54.5703125" style="1233" customWidth="1"/>
    <col min="15359" max="15359" width="15.5703125" style="1233" customWidth="1"/>
    <col min="15360" max="15360" width="15.42578125" style="1233" customWidth="1"/>
    <col min="15361" max="15367" width="9.140625" style="1233" customWidth="1"/>
    <col min="15368" max="15612" width="9.140625" style="1233"/>
    <col min="15613" max="15613" width="11.85546875" style="1233" customWidth="1"/>
    <col min="15614" max="15614" width="54.5703125" style="1233" customWidth="1"/>
    <col min="15615" max="15615" width="15.5703125" style="1233" customWidth="1"/>
    <col min="15616" max="15616" width="15.42578125" style="1233" customWidth="1"/>
    <col min="15617" max="15623" width="9.140625" style="1233" customWidth="1"/>
    <col min="15624" max="15868" width="9.140625" style="1233"/>
    <col min="15869" max="15869" width="11.85546875" style="1233" customWidth="1"/>
    <col min="15870" max="15870" width="54.5703125" style="1233" customWidth="1"/>
    <col min="15871" max="15871" width="15.5703125" style="1233" customWidth="1"/>
    <col min="15872" max="15872" width="15.42578125" style="1233" customWidth="1"/>
    <col min="15873" max="15879" width="9.140625" style="1233" customWidth="1"/>
    <col min="15880" max="16124" width="9.140625" style="1233"/>
    <col min="16125" max="16125" width="11.85546875" style="1233" customWidth="1"/>
    <col min="16126" max="16126" width="54.5703125" style="1233" customWidth="1"/>
    <col min="16127" max="16127" width="15.5703125" style="1233" customWidth="1"/>
    <col min="16128" max="16128" width="15.42578125" style="1233" customWidth="1"/>
    <col min="16129" max="16135" width="9.140625" style="1233" customWidth="1"/>
    <col min="16136" max="16384" width="9.140625" style="1233"/>
  </cols>
  <sheetData>
    <row r="1" spans="1:14" s="1226" customFormat="1" ht="21" customHeight="1" thickBot="1">
      <c r="A1" s="1873" t="s">
        <v>1252</v>
      </c>
      <c r="B1" s="1873"/>
      <c r="C1" s="1873"/>
      <c r="D1" s="1873"/>
      <c r="K1" s="1713"/>
      <c r="N1" s="1713"/>
    </row>
    <row r="2" spans="1:14" s="1229" customFormat="1" ht="25.5" customHeight="1">
      <c r="A2" s="1081" t="s">
        <v>966</v>
      </c>
      <c r="B2" s="1272" t="s">
        <v>999</v>
      </c>
      <c r="C2" s="1874" t="s">
        <v>1000</v>
      </c>
      <c r="D2" s="1870"/>
      <c r="K2" s="1714"/>
      <c r="N2" s="1714"/>
    </row>
    <row r="3" spans="1:14" s="1229" customFormat="1" ht="24.75" thickBot="1">
      <c r="A3" s="1230" t="s">
        <v>685</v>
      </c>
      <c r="B3" s="1702" t="s">
        <v>1144</v>
      </c>
      <c r="C3" s="1875"/>
      <c r="D3" s="1872"/>
      <c r="K3" s="1714"/>
      <c r="N3" s="1714"/>
    </row>
    <row r="4" spans="1:14" s="1231" customFormat="1" ht="15.95" customHeight="1" thickBot="1">
      <c r="A4" s="1087"/>
      <c r="B4" s="1087"/>
      <c r="C4" s="1876" t="s">
        <v>687</v>
      </c>
      <c r="D4" s="1877"/>
      <c r="K4" s="1715"/>
      <c r="N4" s="1715"/>
    </row>
    <row r="5" spans="1:14" ht="36.75" thickBot="1">
      <c r="A5" s="1703" t="s">
        <v>688</v>
      </c>
      <c r="B5" s="1091" t="s">
        <v>689</v>
      </c>
      <c r="C5" s="1274" t="s">
        <v>690</v>
      </c>
      <c r="D5" s="1275" t="s">
        <v>691</v>
      </c>
      <c r="E5" s="1276" t="s">
        <v>1001</v>
      </c>
      <c r="F5" s="1276" t="s">
        <v>1002</v>
      </c>
      <c r="G5" s="1276" t="s">
        <v>952</v>
      </c>
      <c r="H5" s="1276" t="s">
        <v>932</v>
      </c>
      <c r="I5" s="1276" t="s">
        <v>1003</v>
      </c>
      <c r="J5" s="1276" t="s">
        <v>954</v>
      </c>
      <c r="K5" s="1711" t="s">
        <v>1004</v>
      </c>
      <c r="L5" s="1276" t="s">
        <v>1001</v>
      </c>
      <c r="M5" s="1276" t="s">
        <v>952</v>
      </c>
      <c r="N5" s="1711" t="s">
        <v>932</v>
      </c>
    </row>
    <row r="6" spans="1:14" s="1235" customFormat="1" ht="12.95" customHeight="1" thickBot="1">
      <c r="A6" s="1094">
        <v>1</v>
      </c>
      <c r="B6" s="1096">
        <v>2</v>
      </c>
      <c r="C6" s="1277">
        <v>3</v>
      </c>
      <c r="D6" s="1097">
        <v>4</v>
      </c>
      <c r="K6" s="1727"/>
      <c r="L6" s="1728"/>
      <c r="M6" s="1728"/>
      <c r="N6" s="1730"/>
    </row>
    <row r="7" spans="1:14" s="1235" customFormat="1" ht="15.95" customHeight="1" thickBot="1">
      <c r="A7" s="1827" t="s">
        <v>692</v>
      </c>
      <c r="B7" s="1828"/>
      <c r="C7" s="1828"/>
      <c r="D7" s="1829"/>
      <c r="K7" s="1727"/>
      <c r="L7" s="1728"/>
      <c r="M7" s="1728"/>
      <c r="N7" s="1730"/>
    </row>
    <row r="8" spans="1:14" s="1239" customFormat="1" ht="12" customHeight="1" thickBot="1">
      <c r="A8" s="1094" t="s">
        <v>693</v>
      </c>
      <c r="B8" s="1278" t="s">
        <v>971</v>
      </c>
      <c r="C8" s="1279">
        <f>SUM(C9:C18)</f>
        <v>2613400</v>
      </c>
      <c r="D8" s="1237">
        <f>SUM(D9:D18)</f>
        <v>2613400</v>
      </c>
      <c r="E8" s="1243"/>
      <c r="F8" s="1243"/>
      <c r="G8" s="1243"/>
      <c r="H8" s="1243"/>
      <c r="I8" s="1243"/>
      <c r="J8" s="1243"/>
      <c r="K8" s="1708"/>
      <c r="L8" s="1729"/>
      <c r="M8" s="1729"/>
      <c r="N8" s="1731"/>
    </row>
    <row r="9" spans="1:14" s="1239" customFormat="1" ht="12" customHeight="1">
      <c r="A9" s="1240" t="s">
        <v>695</v>
      </c>
      <c r="B9" s="1280" t="s">
        <v>753</v>
      </c>
      <c r="C9" s="1281">
        <f>SUM(E9:K9)</f>
        <v>0</v>
      </c>
      <c r="D9" s="1718">
        <f>C9+SUM(L9:N9)</f>
        <v>0</v>
      </c>
      <c r="E9" s="1243"/>
      <c r="F9" s="1243"/>
      <c r="G9" s="1243"/>
      <c r="H9" s="1243"/>
      <c r="I9" s="1243"/>
      <c r="J9" s="1243"/>
      <c r="K9" s="1708"/>
      <c r="L9" s="1729"/>
      <c r="M9" s="1729"/>
      <c r="N9" s="1731"/>
    </row>
    <row r="10" spans="1:14" s="1239" customFormat="1" ht="12" customHeight="1">
      <c r="A10" s="1244" t="s">
        <v>697</v>
      </c>
      <c r="B10" s="1282" t="s">
        <v>755</v>
      </c>
      <c r="C10" s="1281">
        <f t="shared" ref="C10:C18" si="0">SUM(E10:K10)</f>
        <v>0</v>
      </c>
      <c r="D10" s="1719">
        <f t="shared" ref="D10:D18" si="1">C10+SUM(L10:N10)</f>
        <v>0</v>
      </c>
      <c r="E10" s="1243"/>
      <c r="F10" s="1243"/>
      <c r="G10" s="1243"/>
      <c r="H10" s="1243"/>
      <c r="I10" s="1243"/>
      <c r="J10" s="1243"/>
      <c r="K10" s="1708"/>
      <c r="L10" s="1729"/>
      <c r="M10" s="1729"/>
      <c r="N10" s="1731"/>
    </row>
    <row r="11" spans="1:14" s="1239" customFormat="1" ht="12" customHeight="1">
      <c r="A11" s="1244" t="s">
        <v>699</v>
      </c>
      <c r="B11" s="1282" t="s">
        <v>757</v>
      </c>
      <c r="C11" s="1281">
        <f t="shared" si="0"/>
        <v>2230400</v>
      </c>
      <c r="D11" s="1719">
        <f t="shared" si="1"/>
        <v>2230400</v>
      </c>
      <c r="E11" s="1243">
        <v>860400</v>
      </c>
      <c r="F11" s="1243"/>
      <c r="G11" s="1243">
        <v>1370000</v>
      </c>
      <c r="H11" s="1243"/>
      <c r="I11" s="1243"/>
      <c r="J11" s="1243"/>
      <c r="K11" s="1708"/>
      <c r="L11" s="1729"/>
      <c r="M11" s="1729"/>
      <c r="N11" s="1731"/>
    </row>
    <row r="12" spans="1:14" s="1239" customFormat="1" ht="12" customHeight="1">
      <c r="A12" s="1244" t="s">
        <v>701</v>
      </c>
      <c r="B12" s="1282" t="s">
        <v>759</v>
      </c>
      <c r="C12" s="1281">
        <f t="shared" si="0"/>
        <v>0</v>
      </c>
      <c r="D12" s="1719">
        <f t="shared" si="1"/>
        <v>0</v>
      </c>
      <c r="E12" s="1243"/>
      <c r="F12" s="1243"/>
      <c r="G12" s="1243"/>
      <c r="H12" s="1243"/>
      <c r="I12" s="1243"/>
      <c r="J12" s="1243"/>
      <c r="K12" s="1708"/>
      <c r="L12" s="1729"/>
      <c r="M12" s="1729"/>
      <c r="N12" s="1731"/>
    </row>
    <row r="13" spans="1:14" s="1239" customFormat="1" ht="12" customHeight="1">
      <c r="A13" s="1244" t="s">
        <v>703</v>
      </c>
      <c r="B13" s="1282" t="s">
        <v>761</v>
      </c>
      <c r="C13" s="1281">
        <f t="shared" si="0"/>
        <v>0</v>
      </c>
      <c r="D13" s="1719">
        <f t="shared" si="1"/>
        <v>0</v>
      </c>
      <c r="E13" s="1243"/>
      <c r="F13" s="1243"/>
      <c r="G13" s="1243"/>
      <c r="H13" s="1243"/>
      <c r="I13" s="1243"/>
      <c r="J13" s="1243"/>
      <c r="K13" s="1708"/>
      <c r="L13" s="1729"/>
      <c r="M13" s="1729"/>
      <c r="N13" s="1731"/>
    </row>
    <row r="14" spans="1:14" s="1239" customFormat="1" ht="12" customHeight="1">
      <c r="A14" s="1244" t="s">
        <v>705</v>
      </c>
      <c r="B14" s="1282" t="s">
        <v>972</v>
      </c>
      <c r="C14" s="1281">
        <f t="shared" si="0"/>
        <v>370000</v>
      </c>
      <c r="D14" s="1719">
        <f t="shared" si="1"/>
        <v>370000</v>
      </c>
      <c r="E14" s="1243"/>
      <c r="F14" s="1243"/>
      <c r="G14" s="1243">
        <v>370000</v>
      </c>
      <c r="H14" s="1243"/>
      <c r="I14" s="1243"/>
      <c r="J14" s="1243"/>
      <c r="K14" s="1708"/>
      <c r="L14" s="1729"/>
      <c r="M14" s="1729"/>
      <c r="N14" s="1731"/>
    </row>
    <row r="15" spans="1:14" s="1239" customFormat="1" ht="12" customHeight="1">
      <c r="A15" s="1244" t="s">
        <v>859</v>
      </c>
      <c r="B15" s="1283" t="s">
        <v>973</v>
      </c>
      <c r="C15" s="1281">
        <f t="shared" si="0"/>
        <v>0</v>
      </c>
      <c r="D15" s="1719">
        <f t="shared" si="1"/>
        <v>0</v>
      </c>
      <c r="E15" s="1243"/>
      <c r="F15" s="1243"/>
      <c r="G15" s="1243"/>
      <c r="H15" s="1243"/>
      <c r="I15" s="1243"/>
      <c r="J15" s="1243"/>
      <c r="K15" s="1708"/>
      <c r="L15" s="1729"/>
      <c r="M15" s="1729"/>
      <c r="N15" s="1731"/>
    </row>
    <row r="16" spans="1:14" s="1239" customFormat="1" ht="12" customHeight="1">
      <c r="A16" s="1244" t="s">
        <v>861</v>
      </c>
      <c r="B16" s="1282" t="s">
        <v>767</v>
      </c>
      <c r="C16" s="1281">
        <f t="shared" si="0"/>
        <v>0</v>
      </c>
      <c r="D16" s="1719">
        <f t="shared" si="1"/>
        <v>0</v>
      </c>
      <c r="E16" s="1243"/>
      <c r="F16" s="1243"/>
      <c r="G16" s="1243"/>
      <c r="H16" s="1243"/>
      <c r="I16" s="1243"/>
      <c r="J16" s="1243"/>
      <c r="K16" s="1708"/>
      <c r="L16" s="1729"/>
      <c r="M16" s="1729"/>
      <c r="N16" s="1731"/>
    </row>
    <row r="17" spans="1:14" s="1247" customFormat="1" ht="12" customHeight="1">
      <c r="A17" s="1244" t="s">
        <v>863</v>
      </c>
      <c r="B17" s="1282" t="s">
        <v>769</v>
      </c>
      <c r="C17" s="1281">
        <f t="shared" si="0"/>
        <v>0</v>
      </c>
      <c r="D17" s="1719">
        <f t="shared" si="1"/>
        <v>0</v>
      </c>
      <c r="E17" s="1243"/>
      <c r="F17" s="1243"/>
      <c r="G17" s="1243"/>
      <c r="H17" s="1243"/>
      <c r="I17" s="1243"/>
      <c r="J17" s="1243"/>
      <c r="K17" s="1708"/>
      <c r="L17" s="1729"/>
      <c r="M17" s="1729"/>
      <c r="N17" s="1731"/>
    </row>
    <row r="18" spans="1:14" s="1247" customFormat="1" ht="12" customHeight="1" thickBot="1">
      <c r="A18" s="1244" t="s">
        <v>865</v>
      </c>
      <c r="B18" s="1283" t="s">
        <v>771</v>
      </c>
      <c r="C18" s="1281">
        <f t="shared" si="0"/>
        <v>13000</v>
      </c>
      <c r="D18" s="1720">
        <f t="shared" si="1"/>
        <v>13000</v>
      </c>
      <c r="E18" s="1243">
        <v>10000</v>
      </c>
      <c r="F18" s="1243"/>
      <c r="G18" s="1243"/>
      <c r="H18" s="1243"/>
      <c r="I18" s="1243">
        <v>3000</v>
      </c>
      <c r="J18" s="1243"/>
      <c r="K18" s="1708"/>
      <c r="L18" s="1729"/>
      <c r="M18" s="1729"/>
      <c r="N18" s="1731"/>
    </row>
    <row r="19" spans="1:14" s="1239" customFormat="1" ht="12" customHeight="1" thickBot="1">
      <c r="A19" s="1094" t="s">
        <v>707</v>
      </c>
      <c r="B19" s="1278" t="s">
        <v>974</v>
      </c>
      <c r="C19" s="1279">
        <f>SUM(C20:C22)</f>
        <v>0</v>
      </c>
      <c r="D19" s="1237">
        <f>SUM(D20:D22)</f>
        <v>0</v>
      </c>
      <c r="E19" s="1243"/>
      <c r="F19" s="1243"/>
      <c r="G19" s="1243"/>
      <c r="H19" s="1243"/>
      <c r="I19" s="1243"/>
      <c r="J19" s="1243"/>
      <c r="K19" s="1708"/>
      <c r="L19" s="1729"/>
      <c r="M19" s="1729"/>
      <c r="N19" s="1731"/>
    </row>
    <row r="20" spans="1:14" s="1247" customFormat="1" ht="12" customHeight="1">
      <c r="A20" s="1244" t="s">
        <v>709</v>
      </c>
      <c r="B20" s="1284" t="s">
        <v>710</v>
      </c>
      <c r="C20" s="1281">
        <f t="shared" ref="C20:C23" si="2">SUM(E20:K20)</f>
        <v>0</v>
      </c>
      <c r="D20" s="1718">
        <f t="shared" ref="D20:D23" si="3">C20+SUM(L20:N20)</f>
        <v>0</v>
      </c>
      <c r="E20" s="1243"/>
      <c r="F20" s="1243"/>
      <c r="G20" s="1243"/>
      <c r="H20" s="1243"/>
      <c r="I20" s="1243"/>
      <c r="J20" s="1243"/>
      <c r="K20" s="1708"/>
      <c r="L20" s="1729"/>
      <c r="M20" s="1729"/>
      <c r="N20" s="1731"/>
    </row>
    <row r="21" spans="1:14" s="1247" customFormat="1" ht="12" customHeight="1">
      <c r="A21" s="1244" t="s">
        <v>711</v>
      </c>
      <c r="B21" s="1282" t="s">
        <v>975</v>
      </c>
      <c r="C21" s="1281">
        <f t="shared" si="2"/>
        <v>0</v>
      </c>
      <c r="D21" s="1719">
        <f t="shared" si="3"/>
        <v>0</v>
      </c>
      <c r="E21" s="1243"/>
      <c r="F21" s="1243"/>
      <c r="G21" s="1243"/>
      <c r="H21" s="1243"/>
      <c r="I21" s="1243"/>
      <c r="J21" s="1243"/>
      <c r="K21" s="1708"/>
      <c r="L21" s="1729"/>
      <c r="M21" s="1729"/>
      <c r="N21" s="1731"/>
    </row>
    <row r="22" spans="1:14" s="1247" customFormat="1" ht="12" customHeight="1">
      <c r="A22" s="1244" t="s">
        <v>713</v>
      </c>
      <c r="B22" s="1282" t="s">
        <v>976</v>
      </c>
      <c r="C22" s="1281">
        <f t="shared" si="2"/>
        <v>0</v>
      </c>
      <c r="D22" s="1719">
        <f t="shared" si="3"/>
        <v>0</v>
      </c>
      <c r="E22" s="1243"/>
      <c r="F22" s="1243"/>
      <c r="G22" s="1243"/>
      <c r="H22" s="1243"/>
      <c r="I22" s="1243"/>
      <c r="J22" s="1243"/>
      <c r="K22" s="1708"/>
      <c r="L22" s="1729"/>
      <c r="M22" s="1729"/>
      <c r="N22" s="1731"/>
    </row>
    <row r="23" spans="1:14" s="1247" customFormat="1" ht="12" customHeight="1" thickBot="1">
      <c r="A23" s="1244" t="s">
        <v>715</v>
      </c>
      <c r="B23" s="1282" t="s">
        <v>977</v>
      </c>
      <c r="C23" s="1281">
        <f t="shared" si="2"/>
        <v>0</v>
      </c>
      <c r="D23" s="1720">
        <f t="shared" si="3"/>
        <v>0</v>
      </c>
      <c r="E23" s="1243"/>
      <c r="F23" s="1243"/>
      <c r="G23" s="1243"/>
      <c r="H23" s="1243"/>
      <c r="I23" s="1243"/>
      <c r="J23" s="1243"/>
      <c r="K23" s="1708"/>
      <c r="L23" s="1729"/>
      <c r="M23" s="1729"/>
      <c r="N23" s="1731"/>
    </row>
    <row r="24" spans="1:14" s="1247" customFormat="1" ht="12" customHeight="1" thickBot="1">
      <c r="A24" s="1249" t="s">
        <v>721</v>
      </c>
      <c r="B24" s="1285" t="s">
        <v>282</v>
      </c>
      <c r="C24" s="1286"/>
      <c r="D24" s="1250"/>
      <c r="E24" s="1243"/>
      <c r="F24" s="1243"/>
      <c r="G24" s="1243"/>
      <c r="H24" s="1243"/>
      <c r="I24" s="1243"/>
      <c r="J24" s="1243"/>
      <c r="K24" s="1708"/>
      <c r="L24" s="1729"/>
      <c r="M24" s="1729"/>
      <c r="N24" s="1731"/>
    </row>
    <row r="25" spans="1:14" s="1247" customFormat="1" ht="12" customHeight="1" thickBot="1">
      <c r="A25" s="1249" t="s">
        <v>897</v>
      </c>
      <c r="B25" s="1285" t="s">
        <v>978</v>
      </c>
      <c r="C25" s="1279">
        <f>+C26+C27</f>
        <v>0</v>
      </c>
      <c r="D25" s="1237">
        <f>+D26+D27</f>
        <v>0</v>
      </c>
      <c r="E25" s="1243"/>
      <c r="F25" s="1243"/>
      <c r="G25" s="1243"/>
      <c r="H25" s="1243"/>
      <c r="I25" s="1243"/>
      <c r="J25" s="1243"/>
      <c r="K25" s="1708"/>
      <c r="L25" s="1729"/>
      <c r="M25" s="1729"/>
      <c r="N25" s="1731"/>
    </row>
    <row r="26" spans="1:14" s="1247" customFormat="1" ht="12" customHeight="1">
      <c r="A26" s="1251" t="s">
        <v>737</v>
      </c>
      <c r="B26" s="1287" t="s">
        <v>975</v>
      </c>
      <c r="C26" s="1281">
        <f t="shared" ref="C26:C28" si="4">SUM(E26:K26)</f>
        <v>0</v>
      </c>
      <c r="D26" s="1718">
        <f t="shared" ref="D26:D28" si="5">C26+SUM(L26:N26)</f>
        <v>0</v>
      </c>
      <c r="E26" s="1243"/>
      <c r="F26" s="1243"/>
      <c r="G26" s="1243"/>
      <c r="H26" s="1243"/>
      <c r="I26" s="1243"/>
      <c r="J26" s="1243"/>
      <c r="K26" s="1708"/>
      <c r="L26" s="1729"/>
      <c r="M26" s="1729"/>
      <c r="N26" s="1731"/>
    </row>
    <row r="27" spans="1:14" s="1247" customFormat="1" ht="12" customHeight="1">
      <c r="A27" s="1251" t="s">
        <v>749</v>
      </c>
      <c r="B27" s="1288" t="s">
        <v>979</v>
      </c>
      <c r="C27" s="1281">
        <f t="shared" si="4"/>
        <v>0</v>
      </c>
      <c r="D27" s="1719">
        <f t="shared" si="5"/>
        <v>0</v>
      </c>
      <c r="E27" s="1243"/>
      <c r="F27" s="1243"/>
      <c r="G27" s="1243"/>
      <c r="H27" s="1243"/>
      <c r="I27" s="1243"/>
      <c r="J27" s="1243"/>
      <c r="K27" s="1708"/>
      <c r="L27" s="1729"/>
      <c r="M27" s="1729"/>
      <c r="N27" s="1731"/>
    </row>
    <row r="28" spans="1:14" s="1247" customFormat="1" ht="12" customHeight="1" thickBot="1">
      <c r="A28" s="1244" t="s">
        <v>980</v>
      </c>
      <c r="B28" s="1289" t="s">
        <v>981</v>
      </c>
      <c r="C28" s="1281">
        <f t="shared" si="4"/>
        <v>0</v>
      </c>
      <c r="D28" s="1720">
        <f t="shared" si="5"/>
        <v>0</v>
      </c>
      <c r="E28" s="1243"/>
      <c r="F28" s="1243"/>
      <c r="G28" s="1243"/>
      <c r="H28" s="1243"/>
      <c r="I28" s="1243"/>
      <c r="J28" s="1243"/>
      <c r="K28" s="1708"/>
      <c r="L28" s="1729"/>
      <c r="M28" s="1729"/>
      <c r="N28" s="1731"/>
    </row>
    <row r="29" spans="1:14" s="1247" customFormat="1" ht="12" customHeight="1" thickBot="1">
      <c r="A29" s="1249" t="s">
        <v>750</v>
      </c>
      <c r="B29" s="1285" t="s">
        <v>982</v>
      </c>
      <c r="C29" s="1279">
        <f>+C30+C31+C32</f>
        <v>0</v>
      </c>
      <c r="D29" s="1237">
        <f>+D30+D31+D32</f>
        <v>0</v>
      </c>
      <c r="E29" s="1243"/>
      <c r="F29" s="1243"/>
      <c r="G29" s="1243"/>
      <c r="H29" s="1243"/>
      <c r="I29" s="1243"/>
      <c r="J29" s="1243"/>
      <c r="K29" s="1708"/>
      <c r="L29" s="1729"/>
      <c r="M29" s="1729"/>
      <c r="N29" s="1731"/>
    </row>
    <row r="30" spans="1:14" s="1247" customFormat="1" ht="12" customHeight="1">
      <c r="A30" s="1251" t="s">
        <v>752</v>
      </c>
      <c r="B30" s="1287" t="s">
        <v>775</v>
      </c>
      <c r="C30" s="1281">
        <f t="shared" ref="C30:C32" si="6">SUM(E30:K30)</f>
        <v>0</v>
      </c>
      <c r="D30" s="1718">
        <f t="shared" ref="D30:D32" si="7">C30+SUM(L30:N30)</f>
        <v>0</v>
      </c>
      <c r="E30" s="1243"/>
      <c r="F30" s="1243"/>
      <c r="G30" s="1243"/>
      <c r="H30" s="1243"/>
      <c r="I30" s="1243"/>
      <c r="J30" s="1243"/>
      <c r="K30" s="1708"/>
      <c r="L30" s="1729"/>
      <c r="M30" s="1729"/>
      <c r="N30" s="1731"/>
    </row>
    <row r="31" spans="1:14" s="1247" customFormat="1" ht="12" customHeight="1">
      <c r="A31" s="1251" t="s">
        <v>754</v>
      </c>
      <c r="B31" s="1288" t="s">
        <v>655</v>
      </c>
      <c r="C31" s="1281">
        <f t="shared" si="6"/>
        <v>0</v>
      </c>
      <c r="D31" s="1719">
        <f t="shared" si="7"/>
        <v>0</v>
      </c>
      <c r="E31" s="1243"/>
      <c r="F31" s="1243"/>
      <c r="G31" s="1243"/>
      <c r="H31" s="1243"/>
      <c r="I31" s="1243"/>
      <c r="J31" s="1243"/>
      <c r="K31" s="1708"/>
      <c r="L31" s="1729"/>
      <c r="M31" s="1729"/>
      <c r="N31" s="1731"/>
    </row>
    <row r="32" spans="1:14" s="1247" customFormat="1" ht="12" customHeight="1" thickBot="1">
      <c r="A32" s="1244" t="s">
        <v>756</v>
      </c>
      <c r="B32" s="1290" t="s">
        <v>778</v>
      </c>
      <c r="C32" s="1281">
        <f t="shared" si="6"/>
        <v>0</v>
      </c>
      <c r="D32" s="1720">
        <f t="shared" si="7"/>
        <v>0</v>
      </c>
      <c r="E32" s="1243"/>
      <c r="F32" s="1243"/>
      <c r="G32" s="1243"/>
      <c r="H32" s="1243"/>
      <c r="I32" s="1243"/>
      <c r="J32" s="1243"/>
      <c r="K32" s="1708"/>
      <c r="L32" s="1729"/>
      <c r="M32" s="1729"/>
      <c r="N32" s="1731"/>
    </row>
    <row r="33" spans="1:14" s="1239" customFormat="1" ht="12" customHeight="1" thickBot="1">
      <c r="A33" s="1249" t="s">
        <v>772</v>
      </c>
      <c r="B33" s="1285" t="s">
        <v>983</v>
      </c>
      <c r="C33" s="1286"/>
      <c r="D33" s="1250"/>
      <c r="E33" s="1243"/>
      <c r="F33" s="1243"/>
      <c r="G33" s="1243"/>
      <c r="H33" s="1243"/>
      <c r="I33" s="1243"/>
      <c r="J33" s="1243"/>
      <c r="K33" s="1708"/>
      <c r="L33" s="1729"/>
      <c r="M33" s="1729"/>
      <c r="N33" s="1731"/>
    </row>
    <row r="34" spans="1:14" s="1239" customFormat="1" ht="12" customHeight="1" thickBot="1">
      <c r="A34" s="1249" t="s">
        <v>908</v>
      </c>
      <c r="B34" s="1285" t="s">
        <v>984</v>
      </c>
      <c r="C34" s="1286"/>
      <c r="D34" s="1257"/>
      <c r="E34" s="1243"/>
      <c r="F34" s="1243"/>
      <c r="G34" s="1243"/>
      <c r="H34" s="1243"/>
      <c r="I34" s="1243"/>
      <c r="J34" s="1243"/>
      <c r="K34" s="1708"/>
      <c r="L34" s="1729"/>
      <c r="M34" s="1729"/>
      <c r="N34" s="1731"/>
    </row>
    <row r="35" spans="1:14" s="1239" customFormat="1" ht="12" customHeight="1" thickBot="1">
      <c r="A35" s="1094" t="s">
        <v>793</v>
      </c>
      <c r="B35" s="1285" t="s">
        <v>985</v>
      </c>
      <c r="C35" s="1279">
        <f>+C8+C19+C24+C25+C29+C33+C34</f>
        <v>2613400</v>
      </c>
      <c r="D35" s="1258">
        <f>+D8+D19+D24+D25+D29+D33+D34</f>
        <v>2613400</v>
      </c>
      <c r="E35" s="1243"/>
      <c r="F35" s="1243"/>
      <c r="G35" s="1243"/>
      <c r="H35" s="1243"/>
      <c r="I35" s="1243"/>
      <c r="J35" s="1243"/>
      <c r="K35" s="1708"/>
      <c r="L35" s="1729"/>
      <c r="M35" s="1729"/>
      <c r="N35" s="1731"/>
    </row>
    <row r="36" spans="1:14" s="1239" customFormat="1" ht="12" customHeight="1" thickBot="1">
      <c r="A36" s="1259" t="s">
        <v>803</v>
      </c>
      <c r="B36" s="1285" t="s">
        <v>986</v>
      </c>
      <c r="C36" s="1279">
        <f>+C37+C38+C39</f>
        <v>98121883</v>
      </c>
      <c r="D36" s="1258">
        <f>+D37+D38+D39</f>
        <v>98305139</v>
      </c>
      <c r="E36" s="1243"/>
      <c r="F36" s="1243"/>
      <c r="G36" s="1243"/>
      <c r="H36" s="1243"/>
      <c r="I36" s="1243"/>
      <c r="J36" s="1243"/>
      <c r="K36" s="1708"/>
      <c r="L36" s="1729"/>
      <c r="M36" s="1729"/>
      <c r="N36" s="1731"/>
    </row>
    <row r="37" spans="1:14" s="1239" customFormat="1" ht="12" customHeight="1">
      <c r="A37" s="1251" t="s">
        <v>987</v>
      </c>
      <c r="B37" s="1287" t="s">
        <v>988</v>
      </c>
      <c r="C37" s="1281">
        <f t="shared" ref="C37:C39" si="8">SUM(E37:K37)</f>
        <v>0</v>
      </c>
      <c r="D37" s="1718">
        <f t="shared" ref="D37:D39" si="9">C37+SUM(L37:N37)</f>
        <v>183256</v>
      </c>
      <c r="E37" s="1243"/>
      <c r="F37" s="1243"/>
      <c r="G37" s="1243"/>
      <c r="H37" s="1243"/>
      <c r="I37" s="1243"/>
      <c r="J37" s="1243"/>
      <c r="K37" s="1708"/>
      <c r="L37" s="1729"/>
      <c r="M37" s="1729"/>
      <c r="N37" s="1731">
        <v>183256</v>
      </c>
    </row>
    <row r="38" spans="1:14" s="1239" customFormat="1" ht="12" customHeight="1">
      <c r="A38" s="1251" t="s">
        <v>989</v>
      </c>
      <c r="B38" s="1288" t="s">
        <v>990</v>
      </c>
      <c r="C38" s="1281">
        <f t="shared" si="8"/>
        <v>0</v>
      </c>
      <c r="D38" s="1719">
        <f t="shared" si="9"/>
        <v>0</v>
      </c>
      <c r="E38" s="1243"/>
      <c r="F38" s="1243"/>
      <c r="G38" s="1243"/>
      <c r="H38" s="1243"/>
      <c r="I38" s="1243"/>
      <c r="J38" s="1243"/>
      <c r="K38" s="1708"/>
      <c r="L38" s="1729"/>
      <c r="M38" s="1729"/>
      <c r="N38" s="1731"/>
    </row>
    <row r="39" spans="1:14" s="1247" customFormat="1" ht="12" customHeight="1" thickBot="1">
      <c r="A39" s="1244" t="s">
        <v>991</v>
      </c>
      <c r="B39" s="1290" t="s">
        <v>992</v>
      </c>
      <c r="C39" s="1281">
        <f t="shared" si="8"/>
        <v>98121883</v>
      </c>
      <c r="D39" s="1720">
        <f t="shared" si="9"/>
        <v>98121883</v>
      </c>
      <c r="E39" s="1243"/>
      <c r="F39" s="1243"/>
      <c r="G39" s="1243"/>
      <c r="H39" s="1243">
        <v>98121883</v>
      </c>
      <c r="I39" s="1243"/>
      <c r="J39" s="1243"/>
      <c r="K39" s="1708"/>
      <c r="L39" s="1729"/>
      <c r="M39" s="1729"/>
      <c r="N39" s="1731"/>
    </row>
    <row r="40" spans="1:14" s="1247" customFormat="1" ht="15" customHeight="1" thickBot="1">
      <c r="A40" s="1259" t="s">
        <v>920</v>
      </c>
      <c r="B40" s="1291" t="s">
        <v>993</v>
      </c>
      <c r="C40" s="1292">
        <f>+C35+C36</f>
        <v>100735283</v>
      </c>
      <c r="D40" s="1261">
        <f>+D35+D36</f>
        <v>100918539</v>
      </c>
      <c r="E40" s="1243">
        <f>SUM(E8:E39)</f>
        <v>870400</v>
      </c>
      <c r="F40" s="1243">
        <f t="shared" ref="F40:K40" si="10">SUM(F8:F39)</f>
        <v>0</v>
      </c>
      <c r="G40" s="1243">
        <f t="shared" si="10"/>
        <v>1740000</v>
      </c>
      <c r="H40" s="1243">
        <f t="shared" si="10"/>
        <v>98121883</v>
      </c>
      <c r="I40" s="1243">
        <f t="shared" si="10"/>
        <v>3000</v>
      </c>
      <c r="J40" s="1243">
        <f t="shared" si="10"/>
        <v>0</v>
      </c>
      <c r="K40" s="1708">
        <f t="shared" si="10"/>
        <v>0</v>
      </c>
      <c r="L40" s="1729"/>
      <c r="M40" s="1729"/>
      <c r="N40" s="1731"/>
    </row>
    <row r="41" spans="1:14" s="1247" customFormat="1" ht="15" customHeight="1">
      <c r="A41" s="1141"/>
      <c r="B41" s="1142"/>
      <c r="C41" s="1143"/>
      <c r="D41" s="1143"/>
      <c r="E41" s="1243"/>
      <c r="F41" s="1243"/>
      <c r="G41" s="1243"/>
      <c r="H41" s="1243"/>
      <c r="I41" s="1243"/>
      <c r="J41" s="1243"/>
      <c r="K41" s="1708"/>
      <c r="L41" s="1729"/>
      <c r="M41" s="1729"/>
      <c r="N41" s="1731"/>
    </row>
    <row r="42" spans="1:14" ht="13.5" thickBot="1">
      <c r="A42" s="1262"/>
      <c r="B42" s="1145"/>
      <c r="C42" s="1146"/>
      <c r="D42" s="1146"/>
      <c r="E42" s="1243"/>
      <c r="F42" s="1243"/>
      <c r="G42" s="1243"/>
      <c r="H42" s="1243"/>
      <c r="I42" s="1243"/>
      <c r="J42" s="1243"/>
      <c r="K42" s="1708"/>
      <c r="L42" s="1243"/>
      <c r="M42" s="1243"/>
      <c r="N42" s="1708"/>
    </row>
    <row r="43" spans="1:14" s="1235" customFormat="1" ht="16.5" customHeight="1" thickBot="1">
      <c r="A43" s="1827" t="s">
        <v>853</v>
      </c>
      <c r="B43" s="1828"/>
      <c r="C43" s="1828"/>
      <c r="D43" s="1829"/>
      <c r="E43" s="1263"/>
      <c r="F43" s="1263"/>
      <c r="G43" s="1263"/>
      <c r="H43" s="1263"/>
      <c r="I43" s="1263"/>
      <c r="J43" s="1263"/>
      <c r="K43" s="1709"/>
      <c r="L43" s="1728"/>
      <c r="M43" s="1728"/>
      <c r="N43" s="1730"/>
    </row>
    <row r="44" spans="1:14" s="1264" customFormat="1" ht="12" customHeight="1" thickBot="1">
      <c r="A44" s="1249" t="s">
        <v>693</v>
      </c>
      <c r="B44" s="1285" t="s">
        <v>994</v>
      </c>
      <c r="C44" s="1279">
        <f>SUM(C45:C49)</f>
        <v>99535133</v>
      </c>
      <c r="D44" s="1237">
        <f>SUM(D45:D49)</f>
        <v>99718389</v>
      </c>
      <c r="E44" s="1243"/>
      <c r="F44" s="1243"/>
      <c r="G44" s="1243"/>
      <c r="H44" s="1243"/>
      <c r="I44" s="1243"/>
      <c r="J44" s="1243"/>
      <c r="K44" s="1708"/>
      <c r="L44" s="1243"/>
      <c r="M44" s="1243"/>
      <c r="N44" s="1708"/>
    </row>
    <row r="45" spans="1:14" ht="12" customHeight="1">
      <c r="A45" s="1244" t="s">
        <v>695</v>
      </c>
      <c r="B45" s="1284" t="s">
        <v>855</v>
      </c>
      <c r="C45" s="1281">
        <f t="shared" ref="C45:C49" si="11">SUM(E45:K45)</f>
        <v>74539359</v>
      </c>
      <c r="D45" s="1718">
        <f t="shared" ref="D45:D49" si="12">C45+SUM(L45:N45)</f>
        <v>74839359</v>
      </c>
      <c r="E45" s="1243">
        <v>60779687</v>
      </c>
      <c r="F45" s="1243">
        <v>1596000</v>
      </c>
      <c r="G45" s="1243"/>
      <c r="H45" s="1243"/>
      <c r="I45" s="1243">
        <v>12163672</v>
      </c>
      <c r="J45" s="1243"/>
      <c r="K45" s="1708"/>
      <c r="L45" s="1243">
        <v>300000</v>
      </c>
      <c r="M45" s="1243"/>
      <c r="N45" s="1708"/>
    </row>
    <row r="46" spans="1:14" ht="12" customHeight="1">
      <c r="A46" s="1244" t="s">
        <v>697</v>
      </c>
      <c r="B46" s="1282" t="s">
        <v>30</v>
      </c>
      <c r="C46" s="1281">
        <f t="shared" si="11"/>
        <v>14452704</v>
      </c>
      <c r="D46" s="1719">
        <f t="shared" si="12"/>
        <v>14152704</v>
      </c>
      <c r="E46" s="1243">
        <v>11678572</v>
      </c>
      <c r="F46" s="1243">
        <v>311220</v>
      </c>
      <c r="G46" s="1243"/>
      <c r="H46" s="1243"/>
      <c r="I46" s="1243">
        <v>2462912</v>
      </c>
      <c r="J46" s="1243"/>
      <c r="K46" s="1708"/>
      <c r="L46" s="1243">
        <v>-300000</v>
      </c>
      <c r="M46" s="1243"/>
      <c r="N46" s="1708"/>
    </row>
    <row r="47" spans="1:14" ht="12" customHeight="1">
      <c r="A47" s="1244" t="s">
        <v>699</v>
      </c>
      <c r="B47" s="1282" t="s">
        <v>856</v>
      </c>
      <c r="C47" s="1281">
        <f t="shared" si="11"/>
        <v>10543070</v>
      </c>
      <c r="D47" s="1719">
        <f t="shared" si="12"/>
        <v>10726326</v>
      </c>
      <c r="E47" s="1243">
        <v>1107760</v>
      </c>
      <c r="F47" s="1243">
        <v>1200000</v>
      </c>
      <c r="G47" s="1243">
        <v>6156800</v>
      </c>
      <c r="H47" s="1243"/>
      <c r="I47" s="1243">
        <v>2078510</v>
      </c>
      <c r="J47" s="1243"/>
      <c r="K47" s="1708"/>
      <c r="L47" s="1243"/>
      <c r="M47" s="1243">
        <f>145000+38256</f>
        <v>183256</v>
      </c>
      <c r="N47" s="1708"/>
    </row>
    <row r="48" spans="1:14" ht="12" customHeight="1">
      <c r="A48" s="1244" t="s">
        <v>701</v>
      </c>
      <c r="B48" s="1282" t="s">
        <v>244</v>
      </c>
      <c r="C48" s="1281">
        <f t="shared" si="11"/>
        <v>0</v>
      </c>
      <c r="D48" s="1719">
        <f t="shared" si="12"/>
        <v>0</v>
      </c>
      <c r="E48" s="1243"/>
      <c r="F48" s="1243"/>
      <c r="G48" s="1243"/>
      <c r="H48" s="1243"/>
      <c r="I48" s="1243"/>
      <c r="J48" s="1243"/>
      <c r="K48" s="1708"/>
      <c r="L48" s="1243"/>
      <c r="M48" s="1243"/>
      <c r="N48" s="1708"/>
    </row>
    <row r="49" spans="1:14" ht="12" customHeight="1" thickBot="1">
      <c r="A49" s="1244" t="s">
        <v>703</v>
      </c>
      <c r="B49" s="1282" t="s">
        <v>63</v>
      </c>
      <c r="C49" s="1281">
        <f t="shared" si="11"/>
        <v>0</v>
      </c>
      <c r="D49" s="1720">
        <f t="shared" si="12"/>
        <v>0</v>
      </c>
      <c r="E49" s="1243"/>
      <c r="F49" s="1243"/>
      <c r="G49" s="1243"/>
      <c r="H49" s="1243"/>
      <c r="I49" s="1243"/>
      <c r="J49" s="1243"/>
      <c r="K49" s="1708"/>
      <c r="L49" s="1243"/>
      <c r="M49" s="1243"/>
      <c r="N49" s="1708"/>
    </row>
    <row r="50" spans="1:14" ht="12" customHeight="1" thickBot="1">
      <c r="A50" s="1249" t="s">
        <v>707</v>
      </c>
      <c r="B50" s="1285" t="s">
        <v>995</v>
      </c>
      <c r="C50" s="1279">
        <f>SUM(C51:C53)</f>
        <v>1200150</v>
      </c>
      <c r="D50" s="1237">
        <f>SUM(D51:D53)</f>
        <v>1200150</v>
      </c>
      <c r="E50" s="1243"/>
      <c r="F50" s="1243"/>
      <c r="G50" s="1243"/>
      <c r="H50" s="1243"/>
      <c r="I50" s="1243"/>
      <c r="J50" s="1243"/>
      <c r="K50" s="1708"/>
      <c r="L50" s="1243"/>
      <c r="M50" s="1243"/>
      <c r="N50" s="1708"/>
    </row>
    <row r="51" spans="1:14" s="1264" customFormat="1" ht="12" customHeight="1">
      <c r="A51" s="1244" t="s">
        <v>709</v>
      </c>
      <c r="B51" s="1284" t="s">
        <v>72</v>
      </c>
      <c r="C51" s="1281">
        <f t="shared" ref="C51:C54" si="13">SUM(E51:K51)</f>
        <v>1200150</v>
      </c>
      <c r="D51" s="1718">
        <f t="shared" ref="D51:D54" si="14">C51+SUM(L51:N51)</f>
        <v>1200150</v>
      </c>
      <c r="E51" s="1243"/>
      <c r="F51" s="1243"/>
      <c r="G51" s="1243">
        <v>1200150</v>
      </c>
      <c r="H51" s="1243"/>
      <c r="I51" s="1243"/>
      <c r="J51" s="1243"/>
      <c r="K51" s="1708"/>
      <c r="L51" s="1243"/>
      <c r="M51" s="1243"/>
      <c r="N51" s="1708"/>
    </row>
    <row r="52" spans="1:14" ht="12" customHeight="1">
      <c r="A52" s="1244" t="s">
        <v>711</v>
      </c>
      <c r="B52" s="1282" t="s">
        <v>172</v>
      </c>
      <c r="C52" s="1281">
        <f t="shared" si="13"/>
        <v>0</v>
      </c>
      <c r="D52" s="1719">
        <f t="shared" si="14"/>
        <v>0</v>
      </c>
      <c r="E52" s="1243"/>
      <c r="F52" s="1243"/>
      <c r="G52" s="1243"/>
      <c r="H52" s="1243"/>
      <c r="I52" s="1243"/>
      <c r="J52" s="1243"/>
      <c r="K52" s="1708"/>
      <c r="L52" s="1243"/>
      <c r="M52" s="1243"/>
      <c r="N52" s="1708"/>
    </row>
    <row r="53" spans="1:14" ht="12" customHeight="1">
      <c r="A53" s="1244" t="s">
        <v>713</v>
      </c>
      <c r="B53" s="1282" t="s">
        <v>996</v>
      </c>
      <c r="C53" s="1281">
        <f t="shared" si="13"/>
        <v>0</v>
      </c>
      <c r="D53" s="1719">
        <f t="shared" si="14"/>
        <v>0</v>
      </c>
      <c r="E53" s="1243"/>
      <c r="F53" s="1243"/>
      <c r="G53" s="1243"/>
      <c r="H53" s="1243"/>
      <c r="I53" s="1243"/>
      <c r="J53" s="1243"/>
      <c r="K53" s="1708"/>
      <c r="L53" s="1243"/>
      <c r="M53" s="1243"/>
      <c r="N53" s="1708"/>
    </row>
    <row r="54" spans="1:14" ht="12" customHeight="1" thickBot="1">
      <c r="A54" s="1244" t="s">
        <v>715</v>
      </c>
      <c r="B54" s="1282" t="s">
        <v>997</v>
      </c>
      <c r="C54" s="1281">
        <f t="shared" si="13"/>
        <v>0</v>
      </c>
      <c r="D54" s="1720">
        <f t="shared" si="14"/>
        <v>0</v>
      </c>
      <c r="E54" s="1243"/>
      <c r="F54" s="1243"/>
      <c r="G54" s="1243"/>
      <c r="H54" s="1243"/>
      <c r="I54" s="1243"/>
      <c r="J54" s="1243"/>
      <c r="K54" s="1708"/>
      <c r="L54" s="1243"/>
      <c r="M54" s="1243"/>
      <c r="N54" s="1708"/>
    </row>
    <row r="55" spans="1:14" ht="15" customHeight="1" thickBot="1">
      <c r="A55" s="1249" t="s">
        <v>721</v>
      </c>
      <c r="B55" s="1293" t="s">
        <v>998</v>
      </c>
      <c r="C55" s="1292">
        <f>+C44+C50</f>
        <v>100735283</v>
      </c>
      <c r="D55" s="1267">
        <f>+D44+D50</f>
        <v>100918539</v>
      </c>
      <c r="E55" s="1243">
        <f>SUM(E44:E54)</f>
        <v>73566019</v>
      </c>
      <c r="F55" s="1243">
        <f t="shared" ref="F55:K55" si="15">SUM(F44:F54)</f>
        <v>3107220</v>
      </c>
      <c r="G55" s="1243">
        <f t="shared" si="15"/>
        <v>7356950</v>
      </c>
      <c r="H55" s="1243">
        <f t="shared" si="15"/>
        <v>0</v>
      </c>
      <c r="I55" s="1243">
        <f t="shared" si="15"/>
        <v>16705094</v>
      </c>
      <c r="J55" s="1243">
        <f t="shared" si="15"/>
        <v>0</v>
      </c>
      <c r="K55" s="1708">
        <f t="shared" si="15"/>
        <v>0</v>
      </c>
      <c r="L55" s="1243"/>
      <c r="M55" s="1243"/>
      <c r="N55" s="1708"/>
    </row>
    <row r="56" spans="1:14" ht="13.5" thickBot="1">
      <c r="C56" s="1270"/>
      <c r="D56" s="1270"/>
      <c r="E56" s="1243"/>
      <c r="F56" s="1243"/>
      <c r="G56" s="1243"/>
      <c r="H56" s="1243"/>
      <c r="I56" s="1243"/>
      <c r="J56" s="1243"/>
      <c r="K56" s="1708"/>
      <c r="L56" s="1243"/>
      <c r="M56" s="1243"/>
      <c r="N56" s="1708"/>
    </row>
    <row r="57" spans="1:14" ht="15" customHeight="1" thickBot="1">
      <c r="A57" s="1220" t="s">
        <v>964</v>
      </c>
      <c r="B57" s="1294"/>
      <c r="C57" s="1295">
        <v>22</v>
      </c>
      <c r="D57" s="1295">
        <v>22</v>
      </c>
      <c r="E57" s="1243"/>
      <c r="F57" s="1243"/>
      <c r="G57" s="1243"/>
      <c r="H57" s="1243"/>
      <c r="I57" s="1243"/>
      <c r="J57" s="1243"/>
      <c r="K57" s="1708"/>
      <c r="L57" s="1243"/>
      <c r="M57" s="1243"/>
      <c r="N57" s="1708"/>
    </row>
    <row r="58" spans="1:14" ht="14.25" customHeight="1" thickBot="1">
      <c r="A58" s="1220" t="s">
        <v>965</v>
      </c>
      <c r="B58" s="1294"/>
      <c r="C58" s="1295">
        <v>0</v>
      </c>
      <c r="D58" s="1295">
        <v>0</v>
      </c>
      <c r="E58" s="1243"/>
      <c r="F58" s="1243"/>
      <c r="G58" s="1243"/>
      <c r="H58" s="1243"/>
      <c r="I58" s="1243"/>
      <c r="J58" s="1243"/>
      <c r="K58" s="1708"/>
      <c r="L58" s="1243"/>
      <c r="M58" s="1243"/>
      <c r="N58" s="1708"/>
    </row>
    <row r="59" spans="1:14" ht="12.75" customHeight="1">
      <c r="A59" s="1867"/>
      <c r="B59" s="1867"/>
      <c r="C59" s="1867"/>
      <c r="D59" s="1867"/>
      <c r="E59" s="1243"/>
      <c r="F59" s="1243"/>
      <c r="G59" s="1243"/>
      <c r="H59" s="1243"/>
      <c r="I59" s="1243"/>
      <c r="J59" s="1243"/>
      <c r="K59" s="1708"/>
      <c r="L59" s="1243"/>
      <c r="M59" s="1243"/>
      <c r="N59" s="1708"/>
    </row>
    <row r="60" spans="1:14">
      <c r="L60" s="1243"/>
      <c r="M60" s="1243"/>
      <c r="N60" s="1708"/>
    </row>
  </sheetData>
  <sheetProtection selectLockedCells="1" selectUnlockedCells="1"/>
  <mergeCells count="6">
    <mergeCell ref="A59:D59"/>
    <mergeCell ref="A1:D1"/>
    <mergeCell ref="C2:D3"/>
    <mergeCell ref="C4:D4"/>
    <mergeCell ref="A7:D7"/>
    <mergeCell ref="A43:D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K198"/>
  <sheetViews>
    <sheetView workbookViewId="0">
      <selection activeCell="U184" sqref="U184"/>
    </sheetView>
  </sheetViews>
  <sheetFormatPr defaultRowHeight="15.75"/>
  <cols>
    <col min="1" max="1" width="39.42578125" customWidth="1"/>
    <col min="2" max="3" width="12.42578125" customWidth="1"/>
    <col min="4" max="4" width="17" customWidth="1"/>
    <col min="5" max="8" width="12.42578125" customWidth="1"/>
    <col min="9" max="10" width="11.42578125" customWidth="1"/>
    <col min="11" max="11" width="14" customWidth="1"/>
    <col min="12" max="12" width="22" customWidth="1"/>
    <col min="13" max="13" width="12.42578125" customWidth="1"/>
    <col min="14" max="14" width="10.42578125" customWidth="1"/>
    <col min="15" max="15" width="12.28515625" customWidth="1"/>
    <col min="16" max="16" width="17.140625" customWidth="1"/>
    <col min="17" max="19" width="12.42578125" customWidth="1"/>
    <col min="20" max="20" width="22" customWidth="1"/>
    <col min="21" max="21" width="19" customWidth="1"/>
    <col min="22" max="26" width="12.42578125" customWidth="1"/>
    <col min="27" max="27" width="18.28515625" customWidth="1"/>
    <col min="28" max="28" width="17.140625" customWidth="1"/>
    <col min="29" max="29" width="22.28515625" customWidth="1"/>
    <col min="30" max="30" width="18.7109375" customWidth="1"/>
    <col min="31" max="31" width="13.140625" style="722" customWidth="1"/>
    <col min="32" max="32" width="14" style="722" customWidth="1"/>
    <col min="33" max="33" width="15.5703125" style="174" customWidth="1"/>
    <col min="34" max="34" width="11" style="174" bestFit="1" customWidth="1"/>
    <col min="35" max="35" width="14" customWidth="1"/>
    <col min="36" max="36" width="25.5703125" style="1051" customWidth="1"/>
    <col min="37" max="37" width="16.42578125" style="1048" customWidth="1"/>
    <col min="257" max="257" width="39.42578125" customWidth="1"/>
    <col min="258" max="264" width="12.42578125" customWidth="1"/>
    <col min="265" max="266" width="11.42578125" customWidth="1"/>
    <col min="267" max="267" width="14" customWidth="1"/>
    <col min="268" max="268" width="22" customWidth="1"/>
    <col min="269" max="269" width="12.42578125" customWidth="1"/>
    <col min="270" max="270" width="10.42578125" customWidth="1"/>
    <col min="271" max="271" width="12.28515625" customWidth="1"/>
    <col min="272" max="272" width="17.140625" customWidth="1"/>
    <col min="273" max="275" width="12.42578125" customWidth="1"/>
    <col min="276" max="276" width="17.140625" customWidth="1"/>
    <col min="277" max="277" width="19" customWidth="1"/>
    <col min="278" max="282" width="12.42578125" customWidth="1"/>
    <col min="283" max="283" width="18.28515625" customWidth="1"/>
    <col min="284" max="284" width="17.140625" customWidth="1"/>
    <col min="285" max="285" width="22.28515625" customWidth="1"/>
    <col min="286" max="286" width="18.7109375" customWidth="1"/>
    <col min="287" max="287" width="13.140625" customWidth="1"/>
    <col min="288" max="288" width="14" customWidth="1"/>
    <col min="289" max="289" width="15.5703125" customWidth="1"/>
    <col min="290" max="290" width="13.7109375" customWidth="1"/>
    <col min="291" max="291" width="13.140625" customWidth="1"/>
    <col min="513" max="513" width="39.42578125" customWidth="1"/>
    <col min="514" max="520" width="12.42578125" customWidth="1"/>
    <col min="521" max="522" width="11.42578125" customWidth="1"/>
    <col min="523" max="523" width="14" customWidth="1"/>
    <col min="524" max="524" width="22" customWidth="1"/>
    <col min="525" max="525" width="12.42578125" customWidth="1"/>
    <col min="526" max="526" width="10.42578125" customWidth="1"/>
    <col min="527" max="527" width="12.28515625" customWidth="1"/>
    <col min="528" max="528" width="17.140625" customWidth="1"/>
    <col min="529" max="531" width="12.42578125" customWidth="1"/>
    <col min="532" max="532" width="17.140625" customWidth="1"/>
    <col min="533" max="533" width="19" customWidth="1"/>
    <col min="534" max="538" width="12.42578125" customWidth="1"/>
    <col min="539" max="539" width="18.28515625" customWidth="1"/>
    <col min="540" max="540" width="17.140625" customWidth="1"/>
    <col min="541" max="541" width="22.28515625" customWidth="1"/>
    <col min="542" max="542" width="18.7109375" customWidth="1"/>
    <col min="543" max="543" width="13.140625" customWidth="1"/>
    <col min="544" max="544" width="14" customWidth="1"/>
    <col min="545" max="545" width="15.5703125" customWidth="1"/>
    <col min="546" max="546" width="13.7109375" customWidth="1"/>
    <col min="547" max="547" width="13.140625" customWidth="1"/>
    <col min="769" max="769" width="39.42578125" customWidth="1"/>
    <col min="770" max="776" width="12.42578125" customWidth="1"/>
    <col min="777" max="778" width="11.42578125" customWidth="1"/>
    <col min="779" max="779" width="14" customWidth="1"/>
    <col min="780" max="780" width="22" customWidth="1"/>
    <col min="781" max="781" width="12.42578125" customWidth="1"/>
    <col min="782" max="782" width="10.42578125" customWidth="1"/>
    <col min="783" max="783" width="12.28515625" customWidth="1"/>
    <col min="784" max="784" width="17.140625" customWidth="1"/>
    <col min="785" max="787" width="12.42578125" customWidth="1"/>
    <col min="788" max="788" width="17.140625" customWidth="1"/>
    <col min="789" max="789" width="19" customWidth="1"/>
    <col min="790" max="794" width="12.42578125" customWidth="1"/>
    <col min="795" max="795" width="18.28515625" customWidth="1"/>
    <col min="796" max="796" width="17.140625" customWidth="1"/>
    <col min="797" max="797" width="22.28515625" customWidth="1"/>
    <col min="798" max="798" width="18.7109375" customWidth="1"/>
    <col min="799" max="799" width="13.140625" customWidth="1"/>
    <col min="800" max="800" width="14" customWidth="1"/>
    <col min="801" max="801" width="15.5703125" customWidth="1"/>
    <col min="802" max="802" width="13.7109375" customWidth="1"/>
    <col min="803" max="803" width="13.140625" customWidth="1"/>
    <col min="1025" max="1025" width="39.42578125" customWidth="1"/>
    <col min="1026" max="1032" width="12.42578125" customWidth="1"/>
    <col min="1033" max="1034" width="11.42578125" customWidth="1"/>
    <col min="1035" max="1035" width="14" customWidth="1"/>
    <col min="1036" max="1036" width="22" customWidth="1"/>
    <col min="1037" max="1037" width="12.42578125" customWidth="1"/>
    <col min="1038" max="1038" width="10.42578125" customWidth="1"/>
    <col min="1039" max="1039" width="12.28515625" customWidth="1"/>
    <col min="1040" max="1040" width="17.140625" customWidth="1"/>
    <col min="1041" max="1043" width="12.42578125" customWidth="1"/>
    <col min="1044" max="1044" width="17.140625" customWidth="1"/>
    <col min="1045" max="1045" width="19" customWidth="1"/>
    <col min="1046" max="1050" width="12.42578125" customWidth="1"/>
    <col min="1051" max="1051" width="18.28515625" customWidth="1"/>
    <col min="1052" max="1052" width="17.140625" customWidth="1"/>
    <col min="1053" max="1053" width="22.28515625" customWidth="1"/>
    <col min="1054" max="1054" width="18.7109375" customWidth="1"/>
    <col min="1055" max="1055" width="13.140625" customWidth="1"/>
    <col min="1056" max="1056" width="14" customWidth="1"/>
    <col min="1057" max="1057" width="15.5703125" customWidth="1"/>
    <col min="1058" max="1058" width="13.7109375" customWidth="1"/>
    <col min="1059" max="1059" width="13.140625" customWidth="1"/>
    <col min="1281" max="1281" width="39.42578125" customWidth="1"/>
    <col min="1282" max="1288" width="12.42578125" customWidth="1"/>
    <col min="1289" max="1290" width="11.42578125" customWidth="1"/>
    <col min="1291" max="1291" width="14" customWidth="1"/>
    <col min="1292" max="1292" width="22" customWidth="1"/>
    <col min="1293" max="1293" width="12.42578125" customWidth="1"/>
    <col min="1294" max="1294" width="10.42578125" customWidth="1"/>
    <col min="1295" max="1295" width="12.28515625" customWidth="1"/>
    <col min="1296" max="1296" width="17.140625" customWidth="1"/>
    <col min="1297" max="1299" width="12.42578125" customWidth="1"/>
    <col min="1300" max="1300" width="17.140625" customWidth="1"/>
    <col min="1301" max="1301" width="19" customWidth="1"/>
    <col min="1302" max="1306" width="12.42578125" customWidth="1"/>
    <col min="1307" max="1307" width="18.28515625" customWidth="1"/>
    <col min="1308" max="1308" width="17.140625" customWidth="1"/>
    <col min="1309" max="1309" width="22.28515625" customWidth="1"/>
    <col min="1310" max="1310" width="18.7109375" customWidth="1"/>
    <col min="1311" max="1311" width="13.140625" customWidth="1"/>
    <col min="1312" max="1312" width="14" customWidth="1"/>
    <col min="1313" max="1313" width="15.5703125" customWidth="1"/>
    <col min="1314" max="1314" width="13.7109375" customWidth="1"/>
    <col min="1315" max="1315" width="13.140625" customWidth="1"/>
    <col min="1537" max="1537" width="39.42578125" customWidth="1"/>
    <col min="1538" max="1544" width="12.42578125" customWidth="1"/>
    <col min="1545" max="1546" width="11.42578125" customWidth="1"/>
    <col min="1547" max="1547" width="14" customWidth="1"/>
    <col min="1548" max="1548" width="22" customWidth="1"/>
    <col min="1549" max="1549" width="12.42578125" customWidth="1"/>
    <col min="1550" max="1550" width="10.42578125" customWidth="1"/>
    <col min="1551" max="1551" width="12.28515625" customWidth="1"/>
    <col min="1552" max="1552" width="17.140625" customWidth="1"/>
    <col min="1553" max="1555" width="12.42578125" customWidth="1"/>
    <col min="1556" max="1556" width="17.140625" customWidth="1"/>
    <col min="1557" max="1557" width="19" customWidth="1"/>
    <col min="1558" max="1562" width="12.42578125" customWidth="1"/>
    <col min="1563" max="1563" width="18.28515625" customWidth="1"/>
    <col min="1564" max="1564" width="17.140625" customWidth="1"/>
    <col min="1565" max="1565" width="22.28515625" customWidth="1"/>
    <col min="1566" max="1566" width="18.7109375" customWidth="1"/>
    <col min="1567" max="1567" width="13.140625" customWidth="1"/>
    <col min="1568" max="1568" width="14" customWidth="1"/>
    <col min="1569" max="1569" width="15.5703125" customWidth="1"/>
    <col min="1570" max="1570" width="13.7109375" customWidth="1"/>
    <col min="1571" max="1571" width="13.140625" customWidth="1"/>
    <col min="1793" max="1793" width="39.42578125" customWidth="1"/>
    <col min="1794" max="1800" width="12.42578125" customWidth="1"/>
    <col min="1801" max="1802" width="11.42578125" customWidth="1"/>
    <col min="1803" max="1803" width="14" customWidth="1"/>
    <col min="1804" max="1804" width="22" customWidth="1"/>
    <col min="1805" max="1805" width="12.42578125" customWidth="1"/>
    <col min="1806" max="1806" width="10.42578125" customWidth="1"/>
    <col min="1807" max="1807" width="12.28515625" customWidth="1"/>
    <col min="1808" max="1808" width="17.140625" customWidth="1"/>
    <col min="1809" max="1811" width="12.42578125" customWidth="1"/>
    <col min="1812" max="1812" width="17.140625" customWidth="1"/>
    <col min="1813" max="1813" width="19" customWidth="1"/>
    <col min="1814" max="1818" width="12.42578125" customWidth="1"/>
    <col min="1819" max="1819" width="18.28515625" customWidth="1"/>
    <col min="1820" max="1820" width="17.140625" customWidth="1"/>
    <col min="1821" max="1821" width="22.28515625" customWidth="1"/>
    <col min="1822" max="1822" width="18.7109375" customWidth="1"/>
    <col min="1823" max="1823" width="13.140625" customWidth="1"/>
    <col min="1824" max="1824" width="14" customWidth="1"/>
    <col min="1825" max="1825" width="15.5703125" customWidth="1"/>
    <col min="1826" max="1826" width="13.7109375" customWidth="1"/>
    <col min="1827" max="1827" width="13.140625" customWidth="1"/>
    <col min="2049" max="2049" width="39.42578125" customWidth="1"/>
    <col min="2050" max="2056" width="12.42578125" customWidth="1"/>
    <col min="2057" max="2058" width="11.42578125" customWidth="1"/>
    <col min="2059" max="2059" width="14" customWidth="1"/>
    <col min="2060" max="2060" width="22" customWidth="1"/>
    <col min="2061" max="2061" width="12.42578125" customWidth="1"/>
    <col min="2062" max="2062" width="10.42578125" customWidth="1"/>
    <col min="2063" max="2063" width="12.28515625" customWidth="1"/>
    <col min="2064" max="2064" width="17.140625" customWidth="1"/>
    <col min="2065" max="2067" width="12.42578125" customWidth="1"/>
    <col min="2068" max="2068" width="17.140625" customWidth="1"/>
    <col min="2069" max="2069" width="19" customWidth="1"/>
    <col min="2070" max="2074" width="12.42578125" customWidth="1"/>
    <col min="2075" max="2075" width="18.28515625" customWidth="1"/>
    <col min="2076" max="2076" width="17.140625" customWidth="1"/>
    <col min="2077" max="2077" width="22.28515625" customWidth="1"/>
    <col min="2078" max="2078" width="18.7109375" customWidth="1"/>
    <col min="2079" max="2079" width="13.140625" customWidth="1"/>
    <col min="2080" max="2080" width="14" customWidth="1"/>
    <col min="2081" max="2081" width="15.5703125" customWidth="1"/>
    <col min="2082" max="2082" width="13.7109375" customWidth="1"/>
    <col min="2083" max="2083" width="13.140625" customWidth="1"/>
    <col min="2305" max="2305" width="39.42578125" customWidth="1"/>
    <col min="2306" max="2312" width="12.42578125" customWidth="1"/>
    <col min="2313" max="2314" width="11.42578125" customWidth="1"/>
    <col min="2315" max="2315" width="14" customWidth="1"/>
    <col min="2316" max="2316" width="22" customWidth="1"/>
    <col min="2317" max="2317" width="12.42578125" customWidth="1"/>
    <col min="2318" max="2318" width="10.42578125" customWidth="1"/>
    <col min="2319" max="2319" width="12.28515625" customWidth="1"/>
    <col min="2320" max="2320" width="17.140625" customWidth="1"/>
    <col min="2321" max="2323" width="12.42578125" customWidth="1"/>
    <col min="2324" max="2324" width="17.140625" customWidth="1"/>
    <col min="2325" max="2325" width="19" customWidth="1"/>
    <col min="2326" max="2330" width="12.42578125" customWidth="1"/>
    <col min="2331" max="2331" width="18.28515625" customWidth="1"/>
    <col min="2332" max="2332" width="17.140625" customWidth="1"/>
    <col min="2333" max="2333" width="22.28515625" customWidth="1"/>
    <col min="2334" max="2334" width="18.7109375" customWidth="1"/>
    <col min="2335" max="2335" width="13.140625" customWidth="1"/>
    <col min="2336" max="2336" width="14" customWidth="1"/>
    <col min="2337" max="2337" width="15.5703125" customWidth="1"/>
    <col min="2338" max="2338" width="13.7109375" customWidth="1"/>
    <col min="2339" max="2339" width="13.140625" customWidth="1"/>
    <col min="2561" max="2561" width="39.42578125" customWidth="1"/>
    <col min="2562" max="2568" width="12.42578125" customWidth="1"/>
    <col min="2569" max="2570" width="11.42578125" customWidth="1"/>
    <col min="2571" max="2571" width="14" customWidth="1"/>
    <col min="2572" max="2572" width="22" customWidth="1"/>
    <col min="2573" max="2573" width="12.42578125" customWidth="1"/>
    <col min="2574" max="2574" width="10.42578125" customWidth="1"/>
    <col min="2575" max="2575" width="12.28515625" customWidth="1"/>
    <col min="2576" max="2576" width="17.140625" customWidth="1"/>
    <col min="2577" max="2579" width="12.42578125" customWidth="1"/>
    <col min="2580" max="2580" width="17.140625" customWidth="1"/>
    <col min="2581" max="2581" width="19" customWidth="1"/>
    <col min="2582" max="2586" width="12.42578125" customWidth="1"/>
    <col min="2587" max="2587" width="18.28515625" customWidth="1"/>
    <col min="2588" max="2588" width="17.140625" customWidth="1"/>
    <col min="2589" max="2589" width="22.28515625" customWidth="1"/>
    <col min="2590" max="2590" width="18.7109375" customWidth="1"/>
    <col min="2591" max="2591" width="13.140625" customWidth="1"/>
    <col min="2592" max="2592" width="14" customWidth="1"/>
    <col min="2593" max="2593" width="15.5703125" customWidth="1"/>
    <col min="2594" max="2594" width="13.7109375" customWidth="1"/>
    <col min="2595" max="2595" width="13.140625" customWidth="1"/>
    <col min="2817" max="2817" width="39.42578125" customWidth="1"/>
    <col min="2818" max="2824" width="12.42578125" customWidth="1"/>
    <col min="2825" max="2826" width="11.42578125" customWidth="1"/>
    <col min="2827" max="2827" width="14" customWidth="1"/>
    <col min="2828" max="2828" width="22" customWidth="1"/>
    <col min="2829" max="2829" width="12.42578125" customWidth="1"/>
    <col min="2830" max="2830" width="10.42578125" customWidth="1"/>
    <col min="2831" max="2831" width="12.28515625" customWidth="1"/>
    <col min="2832" max="2832" width="17.140625" customWidth="1"/>
    <col min="2833" max="2835" width="12.42578125" customWidth="1"/>
    <col min="2836" max="2836" width="17.140625" customWidth="1"/>
    <col min="2837" max="2837" width="19" customWidth="1"/>
    <col min="2838" max="2842" width="12.42578125" customWidth="1"/>
    <col min="2843" max="2843" width="18.28515625" customWidth="1"/>
    <col min="2844" max="2844" width="17.140625" customWidth="1"/>
    <col min="2845" max="2845" width="22.28515625" customWidth="1"/>
    <col min="2846" max="2846" width="18.7109375" customWidth="1"/>
    <col min="2847" max="2847" width="13.140625" customWidth="1"/>
    <col min="2848" max="2848" width="14" customWidth="1"/>
    <col min="2849" max="2849" width="15.5703125" customWidth="1"/>
    <col min="2850" max="2850" width="13.7109375" customWidth="1"/>
    <col min="2851" max="2851" width="13.140625" customWidth="1"/>
    <col min="3073" max="3073" width="39.42578125" customWidth="1"/>
    <col min="3074" max="3080" width="12.42578125" customWidth="1"/>
    <col min="3081" max="3082" width="11.42578125" customWidth="1"/>
    <col min="3083" max="3083" width="14" customWidth="1"/>
    <col min="3084" max="3084" width="22" customWidth="1"/>
    <col min="3085" max="3085" width="12.42578125" customWidth="1"/>
    <col min="3086" max="3086" width="10.42578125" customWidth="1"/>
    <col min="3087" max="3087" width="12.28515625" customWidth="1"/>
    <col min="3088" max="3088" width="17.140625" customWidth="1"/>
    <col min="3089" max="3091" width="12.42578125" customWidth="1"/>
    <col min="3092" max="3092" width="17.140625" customWidth="1"/>
    <col min="3093" max="3093" width="19" customWidth="1"/>
    <col min="3094" max="3098" width="12.42578125" customWidth="1"/>
    <col min="3099" max="3099" width="18.28515625" customWidth="1"/>
    <col min="3100" max="3100" width="17.140625" customWidth="1"/>
    <col min="3101" max="3101" width="22.28515625" customWidth="1"/>
    <col min="3102" max="3102" width="18.7109375" customWidth="1"/>
    <col min="3103" max="3103" width="13.140625" customWidth="1"/>
    <col min="3104" max="3104" width="14" customWidth="1"/>
    <col min="3105" max="3105" width="15.5703125" customWidth="1"/>
    <col min="3106" max="3106" width="13.7109375" customWidth="1"/>
    <col min="3107" max="3107" width="13.140625" customWidth="1"/>
    <col min="3329" max="3329" width="39.42578125" customWidth="1"/>
    <col min="3330" max="3336" width="12.42578125" customWidth="1"/>
    <col min="3337" max="3338" width="11.42578125" customWidth="1"/>
    <col min="3339" max="3339" width="14" customWidth="1"/>
    <col min="3340" max="3340" width="22" customWidth="1"/>
    <col min="3341" max="3341" width="12.42578125" customWidth="1"/>
    <col min="3342" max="3342" width="10.42578125" customWidth="1"/>
    <col min="3343" max="3343" width="12.28515625" customWidth="1"/>
    <col min="3344" max="3344" width="17.140625" customWidth="1"/>
    <col min="3345" max="3347" width="12.42578125" customWidth="1"/>
    <col min="3348" max="3348" width="17.140625" customWidth="1"/>
    <col min="3349" max="3349" width="19" customWidth="1"/>
    <col min="3350" max="3354" width="12.42578125" customWidth="1"/>
    <col min="3355" max="3355" width="18.28515625" customWidth="1"/>
    <col min="3356" max="3356" width="17.140625" customWidth="1"/>
    <col min="3357" max="3357" width="22.28515625" customWidth="1"/>
    <col min="3358" max="3358" width="18.7109375" customWidth="1"/>
    <col min="3359" max="3359" width="13.140625" customWidth="1"/>
    <col min="3360" max="3360" width="14" customWidth="1"/>
    <col min="3361" max="3361" width="15.5703125" customWidth="1"/>
    <col min="3362" max="3362" width="13.7109375" customWidth="1"/>
    <col min="3363" max="3363" width="13.140625" customWidth="1"/>
    <col min="3585" max="3585" width="39.42578125" customWidth="1"/>
    <col min="3586" max="3592" width="12.42578125" customWidth="1"/>
    <col min="3593" max="3594" width="11.42578125" customWidth="1"/>
    <col min="3595" max="3595" width="14" customWidth="1"/>
    <col min="3596" max="3596" width="22" customWidth="1"/>
    <col min="3597" max="3597" width="12.42578125" customWidth="1"/>
    <col min="3598" max="3598" width="10.42578125" customWidth="1"/>
    <col min="3599" max="3599" width="12.28515625" customWidth="1"/>
    <col min="3600" max="3600" width="17.140625" customWidth="1"/>
    <col min="3601" max="3603" width="12.42578125" customWidth="1"/>
    <col min="3604" max="3604" width="17.140625" customWidth="1"/>
    <col min="3605" max="3605" width="19" customWidth="1"/>
    <col min="3606" max="3610" width="12.42578125" customWidth="1"/>
    <col min="3611" max="3611" width="18.28515625" customWidth="1"/>
    <col min="3612" max="3612" width="17.140625" customWidth="1"/>
    <col min="3613" max="3613" width="22.28515625" customWidth="1"/>
    <col min="3614" max="3614" width="18.7109375" customWidth="1"/>
    <col min="3615" max="3615" width="13.140625" customWidth="1"/>
    <col min="3616" max="3616" width="14" customWidth="1"/>
    <col min="3617" max="3617" width="15.5703125" customWidth="1"/>
    <col min="3618" max="3618" width="13.7109375" customWidth="1"/>
    <col min="3619" max="3619" width="13.140625" customWidth="1"/>
    <col min="3841" max="3841" width="39.42578125" customWidth="1"/>
    <col min="3842" max="3848" width="12.42578125" customWidth="1"/>
    <col min="3849" max="3850" width="11.42578125" customWidth="1"/>
    <col min="3851" max="3851" width="14" customWidth="1"/>
    <col min="3852" max="3852" width="22" customWidth="1"/>
    <col min="3853" max="3853" width="12.42578125" customWidth="1"/>
    <col min="3854" max="3854" width="10.42578125" customWidth="1"/>
    <col min="3855" max="3855" width="12.28515625" customWidth="1"/>
    <col min="3856" max="3856" width="17.140625" customWidth="1"/>
    <col min="3857" max="3859" width="12.42578125" customWidth="1"/>
    <col min="3860" max="3860" width="17.140625" customWidth="1"/>
    <col min="3861" max="3861" width="19" customWidth="1"/>
    <col min="3862" max="3866" width="12.42578125" customWidth="1"/>
    <col min="3867" max="3867" width="18.28515625" customWidth="1"/>
    <col min="3868" max="3868" width="17.140625" customWidth="1"/>
    <col min="3869" max="3869" width="22.28515625" customWidth="1"/>
    <col min="3870" max="3870" width="18.7109375" customWidth="1"/>
    <col min="3871" max="3871" width="13.140625" customWidth="1"/>
    <col min="3872" max="3872" width="14" customWidth="1"/>
    <col min="3873" max="3873" width="15.5703125" customWidth="1"/>
    <col min="3874" max="3874" width="13.7109375" customWidth="1"/>
    <col min="3875" max="3875" width="13.140625" customWidth="1"/>
    <col min="4097" max="4097" width="39.42578125" customWidth="1"/>
    <col min="4098" max="4104" width="12.42578125" customWidth="1"/>
    <col min="4105" max="4106" width="11.42578125" customWidth="1"/>
    <col min="4107" max="4107" width="14" customWidth="1"/>
    <col min="4108" max="4108" width="22" customWidth="1"/>
    <col min="4109" max="4109" width="12.42578125" customWidth="1"/>
    <col min="4110" max="4110" width="10.42578125" customWidth="1"/>
    <col min="4111" max="4111" width="12.28515625" customWidth="1"/>
    <col min="4112" max="4112" width="17.140625" customWidth="1"/>
    <col min="4113" max="4115" width="12.42578125" customWidth="1"/>
    <col min="4116" max="4116" width="17.140625" customWidth="1"/>
    <col min="4117" max="4117" width="19" customWidth="1"/>
    <col min="4118" max="4122" width="12.42578125" customWidth="1"/>
    <col min="4123" max="4123" width="18.28515625" customWidth="1"/>
    <col min="4124" max="4124" width="17.140625" customWidth="1"/>
    <col min="4125" max="4125" width="22.28515625" customWidth="1"/>
    <col min="4126" max="4126" width="18.7109375" customWidth="1"/>
    <col min="4127" max="4127" width="13.140625" customWidth="1"/>
    <col min="4128" max="4128" width="14" customWidth="1"/>
    <col min="4129" max="4129" width="15.5703125" customWidth="1"/>
    <col min="4130" max="4130" width="13.7109375" customWidth="1"/>
    <col min="4131" max="4131" width="13.140625" customWidth="1"/>
    <col min="4353" max="4353" width="39.42578125" customWidth="1"/>
    <col min="4354" max="4360" width="12.42578125" customWidth="1"/>
    <col min="4361" max="4362" width="11.42578125" customWidth="1"/>
    <col min="4363" max="4363" width="14" customWidth="1"/>
    <col min="4364" max="4364" width="22" customWidth="1"/>
    <col min="4365" max="4365" width="12.42578125" customWidth="1"/>
    <col min="4366" max="4366" width="10.42578125" customWidth="1"/>
    <col min="4367" max="4367" width="12.28515625" customWidth="1"/>
    <col min="4368" max="4368" width="17.140625" customWidth="1"/>
    <col min="4369" max="4371" width="12.42578125" customWidth="1"/>
    <col min="4372" max="4372" width="17.140625" customWidth="1"/>
    <col min="4373" max="4373" width="19" customWidth="1"/>
    <col min="4374" max="4378" width="12.42578125" customWidth="1"/>
    <col min="4379" max="4379" width="18.28515625" customWidth="1"/>
    <col min="4380" max="4380" width="17.140625" customWidth="1"/>
    <col min="4381" max="4381" width="22.28515625" customWidth="1"/>
    <col min="4382" max="4382" width="18.7109375" customWidth="1"/>
    <col min="4383" max="4383" width="13.140625" customWidth="1"/>
    <col min="4384" max="4384" width="14" customWidth="1"/>
    <col min="4385" max="4385" width="15.5703125" customWidth="1"/>
    <col min="4386" max="4386" width="13.7109375" customWidth="1"/>
    <col min="4387" max="4387" width="13.140625" customWidth="1"/>
    <col min="4609" max="4609" width="39.42578125" customWidth="1"/>
    <col min="4610" max="4616" width="12.42578125" customWidth="1"/>
    <col min="4617" max="4618" width="11.42578125" customWidth="1"/>
    <col min="4619" max="4619" width="14" customWidth="1"/>
    <col min="4620" max="4620" width="22" customWidth="1"/>
    <col min="4621" max="4621" width="12.42578125" customWidth="1"/>
    <col min="4622" max="4622" width="10.42578125" customWidth="1"/>
    <col min="4623" max="4623" width="12.28515625" customWidth="1"/>
    <col min="4624" max="4624" width="17.140625" customWidth="1"/>
    <col min="4625" max="4627" width="12.42578125" customWidth="1"/>
    <col min="4628" max="4628" width="17.140625" customWidth="1"/>
    <col min="4629" max="4629" width="19" customWidth="1"/>
    <col min="4630" max="4634" width="12.42578125" customWidth="1"/>
    <col min="4635" max="4635" width="18.28515625" customWidth="1"/>
    <col min="4636" max="4636" width="17.140625" customWidth="1"/>
    <col min="4637" max="4637" width="22.28515625" customWidth="1"/>
    <col min="4638" max="4638" width="18.7109375" customWidth="1"/>
    <col min="4639" max="4639" width="13.140625" customWidth="1"/>
    <col min="4640" max="4640" width="14" customWidth="1"/>
    <col min="4641" max="4641" width="15.5703125" customWidth="1"/>
    <col min="4642" max="4642" width="13.7109375" customWidth="1"/>
    <col min="4643" max="4643" width="13.140625" customWidth="1"/>
    <col min="4865" max="4865" width="39.42578125" customWidth="1"/>
    <col min="4866" max="4872" width="12.42578125" customWidth="1"/>
    <col min="4873" max="4874" width="11.42578125" customWidth="1"/>
    <col min="4875" max="4875" width="14" customWidth="1"/>
    <col min="4876" max="4876" width="22" customWidth="1"/>
    <col min="4877" max="4877" width="12.42578125" customWidth="1"/>
    <col min="4878" max="4878" width="10.42578125" customWidth="1"/>
    <col min="4879" max="4879" width="12.28515625" customWidth="1"/>
    <col min="4880" max="4880" width="17.140625" customWidth="1"/>
    <col min="4881" max="4883" width="12.42578125" customWidth="1"/>
    <col min="4884" max="4884" width="17.140625" customWidth="1"/>
    <col min="4885" max="4885" width="19" customWidth="1"/>
    <col min="4886" max="4890" width="12.42578125" customWidth="1"/>
    <col min="4891" max="4891" width="18.28515625" customWidth="1"/>
    <col min="4892" max="4892" width="17.140625" customWidth="1"/>
    <col min="4893" max="4893" width="22.28515625" customWidth="1"/>
    <col min="4894" max="4894" width="18.7109375" customWidth="1"/>
    <col min="4895" max="4895" width="13.140625" customWidth="1"/>
    <col min="4896" max="4896" width="14" customWidth="1"/>
    <col min="4897" max="4897" width="15.5703125" customWidth="1"/>
    <col min="4898" max="4898" width="13.7109375" customWidth="1"/>
    <col min="4899" max="4899" width="13.140625" customWidth="1"/>
    <col min="5121" max="5121" width="39.42578125" customWidth="1"/>
    <col min="5122" max="5128" width="12.42578125" customWidth="1"/>
    <col min="5129" max="5130" width="11.42578125" customWidth="1"/>
    <col min="5131" max="5131" width="14" customWidth="1"/>
    <col min="5132" max="5132" width="22" customWidth="1"/>
    <col min="5133" max="5133" width="12.42578125" customWidth="1"/>
    <col min="5134" max="5134" width="10.42578125" customWidth="1"/>
    <col min="5135" max="5135" width="12.28515625" customWidth="1"/>
    <col min="5136" max="5136" width="17.140625" customWidth="1"/>
    <col min="5137" max="5139" width="12.42578125" customWidth="1"/>
    <col min="5140" max="5140" width="17.140625" customWidth="1"/>
    <col min="5141" max="5141" width="19" customWidth="1"/>
    <col min="5142" max="5146" width="12.42578125" customWidth="1"/>
    <col min="5147" max="5147" width="18.28515625" customWidth="1"/>
    <col min="5148" max="5148" width="17.140625" customWidth="1"/>
    <col min="5149" max="5149" width="22.28515625" customWidth="1"/>
    <col min="5150" max="5150" width="18.7109375" customWidth="1"/>
    <col min="5151" max="5151" width="13.140625" customWidth="1"/>
    <col min="5152" max="5152" width="14" customWidth="1"/>
    <col min="5153" max="5153" width="15.5703125" customWidth="1"/>
    <col min="5154" max="5154" width="13.7109375" customWidth="1"/>
    <col min="5155" max="5155" width="13.140625" customWidth="1"/>
    <col min="5377" max="5377" width="39.42578125" customWidth="1"/>
    <col min="5378" max="5384" width="12.42578125" customWidth="1"/>
    <col min="5385" max="5386" width="11.42578125" customWidth="1"/>
    <col min="5387" max="5387" width="14" customWidth="1"/>
    <col min="5388" max="5388" width="22" customWidth="1"/>
    <col min="5389" max="5389" width="12.42578125" customWidth="1"/>
    <col min="5390" max="5390" width="10.42578125" customWidth="1"/>
    <col min="5391" max="5391" width="12.28515625" customWidth="1"/>
    <col min="5392" max="5392" width="17.140625" customWidth="1"/>
    <col min="5393" max="5395" width="12.42578125" customWidth="1"/>
    <col min="5396" max="5396" width="17.140625" customWidth="1"/>
    <col min="5397" max="5397" width="19" customWidth="1"/>
    <col min="5398" max="5402" width="12.42578125" customWidth="1"/>
    <col min="5403" max="5403" width="18.28515625" customWidth="1"/>
    <col min="5404" max="5404" width="17.140625" customWidth="1"/>
    <col min="5405" max="5405" width="22.28515625" customWidth="1"/>
    <col min="5406" max="5406" width="18.7109375" customWidth="1"/>
    <col min="5407" max="5407" width="13.140625" customWidth="1"/>
    <col min="5408" max="5408" width="14" customWidth="1"/>
    <col min="5409" max="5409" width="15.5703125" customWidth="1"/>
    <col min="5410" max="5410" width="13.7109375" customWidth="1"/>
    <col min="5411" max="5411" width="13.140625" customWidth="1"/>
    <col min="5633" max="5633" width="39.42578125" customWidth="1"/>
    <col min="5634" max="5640" width="12.42578125" customWidth="1"/>
    <col min="5641" max="5642" width="11.42578125" customWidth="1"/>
    <col min="5643" max="5643" width="14" customWidth="1"/>
    <col min="5644" max="5644" width="22" customWidth="1"/>
    <col min="5645" max="5645" width="12.42578125" customWidth="1"/>
    <col min="5646" max="5646" width="10.42578125" customWidth="1"/>
    <col min="5647" max="5647" width="12.28515625" customWidth="1"/>
    <col min="5648" max="5648" width="17.140625" customWidth="1"/>
    <col min="5649" max="5651" width="12.42578125" customWidth="1"/>
    <col min="5652" max="5652" width="17.140625" customWidth="1"/>
    <col min="5653" max="5653" width="19" customWidth="1"/>
    <col min="5654" max="5658" width="12.42578125" customWidth="1"/>
    <col min="5659" max="5659" width="18.28515625" customWidth="1"/>
    <col min="5660" max="5660" width="17.140625" customWidth="1"/>
    <col min="5661" max="5661" width="22.28515625" customWidth="1"/>
    <col min="5662" max="5662" width="18.7109375" customWidth="1"/>
    <col min="5663" max="5663" width="13.140625" customWidth="1"/>
    <col min="5664" max="5664" width="14" customWidth="1"/>
    <col min="5665" max="5665" width="15.5703125" customWidth="1"/>
    <col min="5666" max="5666" width="13.7109375" customWidth="1"/>
    <col min="5667" max="5667" width="13.140625" customWidth="1"/>
    <col min="5889" max="5889" width="39.42578125" customWidth="1"/>
    <col min="5890" max="5896" width="12.42578125" customWidth="1"/>
    <col min="5897" max="5898" width="11.42578125" customWidth="1"/>
    <col min="5899" max="5899" width="14" customWidth="1"/>
    <col min="5900" max="5900" width="22" customWidth="1"/>
    <col min="5901" max="5901" width="12.42578125" customWidth="1"/>
    <col min="5902" max="5902" width="10.42578125" customWidth="1"/>
    <col min="5903" max="5903" width="12.28515625" customWidth="1"/>
    <col min="5904" max="5904" width="17.140625" customWidth="1"/>
    <col min="5905" max="5907" width="12.42578125" customWidth="1"/>
    <col min="5908" max="5908" width="17.140625" customWidth="1"/>
    <col min="5909" max="5909" width="19" customWidth="1"/>
    <col min="5910" max="5914" width="12.42578125" customWidth="1"/>
    <col min="5915" max="5915" width="18.28515625" customWidth="1"/>
    <col min="5916" max="5916" width="17.140625" customWidth="1"/>
    <col min="5917" max="5917" width="22.28515625" customWidth="1"/>
    <col min="5918" max="5918" width="18.7109375" customWidth="1"/>
    <col min="5919" max="5919" width="13.140625" customWidth="1"/>
    <col min="5920" max="5920" width="14" customWidth="1"/>
    <col min="5921" max="5921" width="15.5703125" customWidth="1"/>
    <col min="5922" max="5922" width="13.7109375" customWidth="1"/>
    <col min="5923" max="5923" width="13.140625" customWidth="1"/>
    <col min="6145" max="6145" width="39.42578125" customWidth="1"/>
    <col min="6146" max="6152" width="12.42578125" customWidth="1"/>
    <col min="6153" max="6154" width="11.42578125" customWidth="1"/>
    <col min="6155" max="6155" width="14" customWidth="1"/>
    <col min="6156" max="6156" width="22" customWidth="1"/>
    <col min="6157" max="6157" width="12.42578125" customWidth="1"/>
    <col min="6158" max="6158" width="10.42578125" customWidth="1"/>
    <col min="6159" max="6159" width="12.28515625" customWidth="1"/>
    <col min="6160" max="6160" width="17.140625" customWidth="1"/>
    <col min="6161" max="6163" width="12.42578125" customWidth="1"/>
    <col min="6164" max="6164" width="17.140625" customWidth="1"/>
    <col min="6165" max="6165" width="19" customWidth="1"/>
    <col min="6166" max="6170" width="12.42578125" customWidth="1"/>
    <col min="6171" max="6171" width="18.28515625" customWidth="1"/>
    <col min="6172" max="6172" width="17.140625" customWidth="1"/>
    <col min="6173" max="6173" width="22.28515625" customWidth="1"/>
    <col min="6174" max="6174" width="18.7109375" customWidth="1"/>
    <col min="6175" max="6175" width="13.140625" customWidth="1"/>
    <col min="6176" max="6176" width="14" customWidth="1"/>
    <col min="6177" max="6177" width="15.5703125" customWidth="1"/>
    <col min="6178" max="6178" width="13.7109375" customWidth="1"/>
    <col min="6179" max="6179" width="13.140625" customWidth="1"/>
    <col min="6401" max="6401" width="39.42578125" customWidth="1"/>
    <col min="6402" max="6408" width="12.42578125" customWidth="1"/>
    <col min="6409" max="6410" width="11.42578125" customWidth="1"/>
    <col min="6411" max="6411" width="14" customWidth="1"/>
    <col min="6412" max="6412" width="22" customWidth="1"/>
    <col min="6413" max="6413" width="12.42578125" customWidth="1"/>
    <col min="6414" max="6414" width="10.42578125" customWidth="1"/>
    <col min="6415" max="6415" width="12.28515625" customWidth="1"/>
    <col min="6416" max="6416" width="17.140625" customWidth="1"/>
    <col min="6417" max="6419" width="12.42578125" customWidth="1"/>
    <col min="6420" max="6420" width="17.140625" customWidth="1"/>
    <col min="6421" max="6421" width="19" customWidth="1"/>
    <col min="6422" max="6426" width="12.42578125" customWidth="1"/>
    <col min="6427" max="6427" width="18.28515625" customWidth="1"/>
    <col min="6428" max="6428" width="17.140625" customWidth="1"/>
    <col min="6429" max="6429" width="22.28515625" customWidth="1"/>
    <col min="6430" max="6430" width="18.7109375" customWidth="1"/>
    <col min="6431" max="6431" width="13.140625" customWidth="1"/>
    <col min="6432" max="6432" width="14" customWidth="1"/>
    <col min="6433" max="6433" width="15.5703125" customWidth="1"/>
    <col min="6434" max="6434" width="13.7109375" customWidth="1"/>
    <col min="6435" max="6435" width="13.140625" customWidth="1"/>
    <col min="6657" max="6657" width="39.42578125" customWidth="1"/>
    <col min="6658" max="6664" width="12.42578125" customWidth="1"/>
    <col min="6665" max="6666" width="11.42578125" customWidth="1"/>
    <col min="6667" max="6667" width="14" customWidth="1"/>
    <col min="6668" max="6668" width="22" customWidth="1"/>
    <col min="6669" max="6669" width="12.42578125" customWidth="1"/>
    <col min="6670" max="6670" width="10.42578125" customWidth="1"/>
    <col min="6671" max="6671" width="12.28515625" customWidth="1"/>
    <col min="6672" max="6672" width="17.140625" customWidth="1"/>
    <col min="6673" max="6675" width="12.42578125" customWidth="1"/>
    <col min="6676" max="6676" width="17.140625" customWidth="1"/>
    <col min="6677" max="6677" width="19" customWidth="1"/>
    <col min="6678" max="6682" width="12.42578125" customWidth="1"/>
    <col min="6683" max="6683" width="18.28515625" customWidth="1"/>
    <col min="6684" max="6684" width="17.140625" customWidth="1"/>
    <col min="6685" max="6685" width="22.28515625" customWidth="1"/>
    <col min="6686" max="6686" width="18.7109375" customWidth="1"/>
    <col min="6687" max="6687" width="13.140625" customWidth="1"/>
    <col min="6688" max="6688" width="14" customWidth="1"/>
    <col min="6689" max="6689" width="15.5703125" customWidth="1"/>
    <col min="6690" max="6690" width="13.7109375" customWidth="1"/>
    <col min="6691" max="6691" width="13.140625" customWidth="1"/>
    <col min="6913" max="6913" width="39.42578125" customWidth="1"/>
    <col min="6914" max="6920" width="12.42578125" customWidth="1"/>
    <col min="6921" max="6922" width="11.42578125" customWidth="1"/>
    <col min="6923" max="6923" width="14" customWidth="1"/>
    <col min="6924" max="6924" width="22" customWidth="1"/>
    <col min="6925" max="6925" width="12.42578125" customWidth="1"/>
    <col min="6926" max="6926" width="10.42578125" customWidth="1"/>
    <col min="6927" max="6927" width="12.28515625" customWidth="1"/>
    <col min="6928" max="6928" width="17.140625" customWidth="1"/>
    <col min="6929" max="6931" width="12.42578125" customWidth="1"/>
    <col min="6932" max="6932" width="17.140625" customWidth="1"/>
    <col min="6933" max="6933" width="19" customWidth="1"/>
    <col min="6934" max="6938" width="12.42578125" customWidth="1"/>
    <col min="6939" max="6939" width="18.28515625" customWidth="1"/>
    <col min="6940" max="6940" width="17.140625" customWidth="1"/>
    <col min="6941" max="6941" width="22.28515625" customWidth="1"/>
    <col min="6942" max="6942" width="18.7109375" customWidth="1"/>
    <col min="6943" max="6943" width="13.140625" customWidth="1"/>
    <col min="6944" max="6944" width="14" customWidth="1"/>
    <col min="6945" max="6945" width="15.5703125" customWidth="1"/>
    <col min="6946" max="6946" width="13.7109375" customWidth="1"/>
    <col min="6947" max="6947" width="13.140625" customWidth="1"/>
    <col min="7169" max="7169" width="39.42578125" customWidth="1"/>
    <col min="7170" max="7176" width="12.42578125" customWidth="1"/>
    <col min="7177" max="7178" width="11.42578125" customWidth="1"/>
    <col min="7179" max="7179" width="14" customWidth="1"/>
    <col min="7180" max="7180" width="22" customWidth="1"/>
    <col min="7181" max="7181" width="12.42578125" customWidth="1"/>
    <col min="7182" max="7182" width="10.42578125" customWidth="1"/>
    <col min="7183" max="7183" width="12.28515625" customWidth="1"/>
    <col min="7184" max="7184" width="17.140625" customWidth="1"/>
    <col min="7185" max="7187" width="12.42578125" customWidth="1"/>
    <col min="7188" max="7188" width="17.140625" customWidth="1"/>
    <col min="7189" max="7189" width="19" customWidth="1"/>
    <col min="7190" max="7194" width="12.42578125" customWidth="1"/>
    <col min="7195" max="7195" width="18.28515625" customWidth="1"/>
    <col min="7196" max="7196" width="17.140625" customWidth="1"/>
    <col min="7197" max="7197" width="22.28515625" customWidth="1"/>
    <col min="7198" max="7198" width="18.7109375" customWidth="1"/>
    <col min="7199" max="7199" width="13.140625" customWidth="1"/>
    <col min="7200" max="7200" width="14" customWidth="1"/>
    <col min="7201" max="7201" width="15.5703125" customWidth="1"/>
    <col min="7202" max="7202" width="13.7109375" customWidth="1"/>
    <col min="7203" max="7203" width="13.140625" customWidth="1"/>
    <col min="7425" max="7425" width="39.42578125" customWidth="1"/>
    <col min="7426" max="7432" width="12.42578125" customWidth="1"/>
    <col min="7433" max="7434" width="11.42578125" customWidth="1"/>
    <col min="7435" max="7435" width="14" customWidth="1"/>
    <col min="7436" max="7436" width="22" customWidth="1"/>
    <col min="7437" max="7437" width="12.42578125" customWidth="1"/>
    <col min="7438" max="7438" width="10.42578125" customWidth="1"/>
    <col min="7439" max="7439" width="12.28515625" customWidth="1"/>
    <col min="7440" max="7440" width="17.140625" customWidth="1"/>
    <col min="7441" max="7443" width="12.42578125" customWidth="1"/>
    <col min="7444" max="7444" width="17.140625" customWidth="1"/>
    <col min="7445" max="7445" width="19" customWidth="1"/>
    <col min="7446" max="7450" width="12.42578125" customWidth="1"/>
    <col min="7451" max="7451" width="18.28515625" customWidth="1"/>
    <col min="7452" max="7452" width="17.140625" customWidth="1"/>
    <col min="7453" max="7453" width="22.28515625" customWidth="1"/>
    <col min="7454" max="7454" width="18.7109375" customWidth="1"/>
    <col min="7455" max="7455" width="13.140625" customWidth="1"/>
    <col min="7456" max="7456" width="14" customWidth="1"/>
    <col min="7457" max="7457" width="15.5703125" customWidth="1"/>
    <col min="7458" max="7458" width="13.7109375" customWidth="1"/>
    <col min="7459" max="7459" width="13.140625" customWidth="1"/>
    <col min="7681" max="7681" width="39.42578125" customWidth="1"/>
    <col min="7682" max="7688" width="12.42578125" customWidth="1"/>
    <col min="7689" max="7690" width="11.42578125" customWidth="1"/>
    <col min="7691" max="7691" width="14" customWidth="1"/>
    <col min="7692" max="7692" width="22" customWidth="1"/>
    <col min="7693" max="7693" width="12.42578125" customWidth="1"/>
    <col min="7694" max="7694" width="10.42578125" customWidth="1"/>
    <col min="7695" max="7695" width="12.28515625" customWidth="1"/>
    <col min="7696" max="7696" width="17.140625" customWidth="1"/>
    <col min="7697" max="7699" width="12.42578125" customWidth="1"/>
    <col min="7700" max="7700" width="17.140625" customWidth="1"/>
    <col min="7701" max="7701" width="19" customWidth="1"/>
    <col min="7702" max="7706" width="12.42578125" customWidth="1"/>
    <col min="7707" max="7707" width="18.28515625" customWidth="1"/>
    <col min="7708" max="7708" width="17.140625" customWidth="1"/>
    <col min="7709" max="7709" width="22.28515625" customWidth="1"/>
    <col min="7710" max="7710" width="18.7109375" customWidth="1"/>
    <col min="7711" max="7711" width="13.140625" customWidth="1"/>
    <col min="7712" max="7712" width="14" customWidth="1"/>
    <col min="7713" max="7713" width="15.5703125" customWidth="1"/>
    <col min="7714" max="7714" width="13.7109375" customWidth="1"/>
    <col min="7715" max="7715" width="13.140625" customWidth="1"/>
    <col min="7937" max="7937" width="39.42578125" customWidth="1"/>
    <col min="7938" max="7944" width="12.42578125" customWidth="1"/>
    <col min="7945" max="7946" width="11.42578125" customWidth="1"/>
    <col min="7947" max="7947" width="14" customWidth="1"/>
    <col min="7948" max="7948" width="22" customWidth="1"/>
    <col min="7949" max="7949" width="12.42578125" customWidth="1"/>
    <col min="7950" max="7950" width="10.42578125" customWidth="1"/>
    <col min="7951" max="7951" width="12.28515625" customWidth="1"/>
    <col min="7952" max="7952" width="17.140625" customWidth="1"/>
    <col min="7953" max="7955" width="12.42578125" customWidth="1"/>
    <col min="7956" max="7956" width="17.140625" customWidth="1"/>
    <col min="7957" max="7957" width="19" customWidth="1"/>
    <col min="7958" max="7962" width="12.42578125" customWidth="1"/>
    <col min="7963" max="7963" width="18.28515625" customWidth="1"/>
    <col min="7964" max="7964" width="17.140625" customWidth="1"/>
    <col min="7965" max="7965" width="22.28515625" customWidth="1"/>
    <col min="7966" max="7966" width="18.7109375" customWidth="1"/>
    <col min="7967" max="7967" width="13.140625" customWidth="1"/>
    <col min="7968" max="7968" width="14" customWidth="1"/>
    <col min="7969" max="7969" width="15.5703125" customWidth="1"/>
    <col min="7970" max="7970" width="13.7109375" customWidth="1"/>
    <col min="7971" max="7971" width="13.140625" customWidth="1"/>
    <col min="8193" max="8193" width="39.42578125" customWidth="1"/>
    <col min="8194" max="8200" width="12.42578125" customWidth="1"/>
    <col min="8201" max="8202" width="11.42578125" customWidth="1"/>
    <col min="8203" max="8203" width="14" customWidth="1"/>
    <col min="8204" max="8204" width="22" customWidth="1"/>
    <col min="8205" max="8205" width="12.42578125" customWidth="1"/>
    <col min="8206" max="8206" width="10.42578125" customWidth="1"/>
    <col min="8207" max="8207" width="12.28515625" customWidth="1"/>
    <col min="8208" max="8208" width="17.140625" customWidth="1"/>
    <col min="8209" max="8211" width="12.42578125" customWidth="1"/>
    <col min="8212" max="8212" width="17.140625" customWidth="1"/>
    <col min="8213" max="8213" width="19" customWidth="1"/>
    <col min="8214" max="8218" width="12.42578125" customWidth="1"/>
    <col min="8219" max="8219" width="18.28515625" customWidth="1"/>
    <col min="8220" max="8220" width="17.140625" customWidth="1"/>
    <col min="8221" max="8221" width="22.28515625" customWidth="1"/>
    <col min="8222" max="8222" width="18.7109375" customWidth="1"/>
    <col min="8223" max="8223" width="13.140625" customWidth="1"/>
    <col min="8224" max="8224" width="14" customWidth="1"/>
    <col min="8225" max="8225" width="15.5703125" customWidth="1"/>
    <col min="8226" max="8226" width="13.7109375" customWidth="1"/>
    <col min="8227" max="8227" width="13.140625" customWidth="1"/>
    <col min="8449" max="8449" width="39.42578125" customWidth="1"/>
    <col min="8450" max="8456" width="12.42578125" customWidth="1"/>
    <col min="8457" max="8458" width="11.42578125" customWidth="1"/>
    <col min="8459" max="8459" width="14" customWidth="1"/>
    <col min="8460" max="8460" width="22" customWidth="1"/>
    <col min="8461" max="8461" width="12.42578125" customWidth="1"/>
    <col min="8462" max="8462" width="10.42578125" customWidth="1"/>
    <col min="8463" max="8463" width="12.28515625" customWidth="1"/>
    <col min="8464" max="8464" width="17.140625" customWidth="1"/>
    <col min="8465" max="8467" width="12.42578125" customWidth="1"/>
    <col min="8468" max="8468" width="17.140625" customWidth="1"/>
    <col min="8469" max="8469" width="19" customWidth="1"/>
    <col min="8470" max="8474" width="12.42578125" customWidth="1"/>
    <col min="8475" max="8475" width="18.28515625" customWidth="1"/>
    <col min="8476" max="8476" width="17.140625" customWidth="1"/>
    <col min="8477" max="8477" width="22.28515625" customWidth="1"/>
    <col min="8478" max="8478" width="18.7109375" customWidth="1"/>
    <col min="8479" max="8479" width="13.140625" customWidth="1"/>
    <col min="8480" max="8480" width="14" customWidth="1"/>
    <col min="8481" max="8481" width="15.5703125" customWidth="1"/>
    <col min="8482" max="8482" width="13.7109375" customWidth="1"/>
    <col min="8483" max="8483" width="13.140625" customWidth="1"/>
    <col min="8705" max="8705" width="39.42578125" customWidth="1"/>
    <col min="8706" max="8712" width="12.42578125" customWidth="1"/>
    <col min="8713" max="8714" width="11.42578125" customWidth="1"/>
    <col min="8715" max="8715" width="14" customWidth="1"/>
    <col min="8716" max="8716" width="22" customWidth="1"/>
    <col min="8717" max="8717" width="12.42578125" customWidth="1"/>
    <col min="8718" max="8718" width="10.42578125" customWidth="1"/>
    <col min="8719" max="8719" width="12.28515625" customWidth="1"/>
    <col min="8720" max="8720" width="17.140625" customWidth="1"/>
    <col min="8721" max="8723" width="12.42578125" customWidth="1"/>
    <col min="8724" max="8724" width="17.140625" customWidth="1"/>
    <col min="8725" max="8725" width="19" customWidth="1"/>
    <col min="8726" max="8730" width="12.42578125" customWidth="1"/>
    <col min="8731" max="8731" width="18.28515625" customWidth="1"/>
    <col min="8732" max="8732" width="17.140625" customWidth="1"/>
    <col min="8733" max="8733" width="22.28515625" customWidth="1"/>
    <col min="8734" max="8734" width="18.7109375" customWidth="1"/>
    <col min="8735" max="8735" width="13.140625" customWidth="1"/>
    <col min="8736" max="8736" width="14" customWidth="1"/>
    <col min="8737" max="8737" width="15.5703125" customWidth="1"/>
    <col min="8738" max="8738" width="13.7109375" customWidth="1"/>
    <col min="8739" max="8739" width="13.140625" customWidth="1"/>
    <col min="8961" max="8961" width="39.42578125" customWidth="1"/>
    <col min="8962" max="8968" width="12.42578125" customWidth="1"/>
    <col min="8969" max="8970" width="11.42578125" customWidth="1"/>
    <col min="8971" max="8971" width="14" customWidth="1"/>
    <col min="8972" max="8972" width="22" customWidth="1"/>
    <col min="8973" max="8973" width="12.42578125" customWidth="1"/>
    <col min="8974" max="8974" width="10.42578125" customWidth="1"/>
    <col min="8975" max="8975" width="12.28515625" customWidth="1"/>
    <col min="8976" max="8976" width="17.140625" customWidth="1"/>
    <col min="8977" max="8979" width="12.42578125" customWidth="1"/>
    <col min="8980" max="8980" width="17.140625" customWidth="1"/>
    <col min="8981" max="8981" width="19" customWidth="1"/>
    <col min="8982" max="8986" width="12.42578125" customWidth="1"/>
    <col min="8987" max="8987" width="18.28515625" customWidth="1"/>
    <col min="8988" max="8988" width="17.140625" customWidth="1"/>
    <col min="8989" max="8989" width="22.28515625" customWidth="1"/>
    <col min="8990" max="8990" width="18.7109375" customWidth="1"/>
    <col min="8991" max="8991" width="13.140625" customWidth="1"/>
    <col min="8992" max="8992" width="14" customWidth="1"/>
    <col min="8993" max="8993" width="15.5703125" customWidth="1"/>
    <col min="8994" max="8994" width="13.7109375" customWidth="1"/>
    <col min="8995" max="8995" width="13.140625" customWidth="1"/>
    <col min="9217" max="9217" width="39.42578125" customWidth="1"/>
    <col min="9218" max="9224" width="12.42578125" customWidth="1"/>
    <col min="9225" max="9226" width="11.42578125" customWidth="1"/>
    <col min="9227" max="9227" width="14" customWidth="1"/>
    <col min="9228" max="9228" width="22" customWidth="1"/>
    <col min="9229" max="9229" width="12.42578125" customWidth="1"/>
    <col min="9230" max="9230" width="10.42578125" customWidth="1"/>
    <col min="9231" max="9231" width="12.28515625" customWidth="1"/>
    <col min="9232" max="9232" width="17.140625" customWidth="1"/>
    <col min="9233" max="9235" width="12.42578125" customWidth="1"/>
    <col min="9236" max="9236" width="17.140625" customWidth="1"/>
    <col min="9237" max="9237" width="19" customWidth="1"/>
    <col min="9238" max="9242" width="12.42578125" customWidth="1"/>
    <col min="9243" max="9243" width="18.28515625" customWidth="1"/>
    <col min="9244" max="9244" width="17.140625" customWidth="1"/>
    <col min="9245" max="9245" width="22.28515625" customWidth="1"/>
    <col min="9246" max="9246" width="18.7109375" customWidth="1"/>
    <col min="9247" max="9247" width="13.140625" customWidth="1"/>
    <col min="9248" max="9248" width="14" customWidth="1"/>
    <col min="9249" max="9249" width="15.5703125" customWidth="1"/>
    <col min="9250" max="9250" width="13.7109375" customWidth="1"/>
    <col min="9251" max="9251" width="13.140625" customWidth="1"/>
    <col min="9473" max="9473" width="39.42578125" customWidth="1"/>
    <col min="9474" max="9480" width="12.42578125" customWidth="1"/>
    <col min="9481" max="9482" width="11.42578125" customWidth="1"/>
    <col min="9483" max="9483" width="14" customWidth="1"/>
    <col min="9484" max="9484" width="22" customWidth="1"/>
    <col min="9485" max="9485" width="12.42578125" customWidth="1"/>
    <col min="9486" max="9486" width="10.42578125" customWidth="1"/>
    <col min="9487" max="9487" width="12.28515625" customWidth="1"/>
    <col min="9488" max="9488" width="17.140625" customWidth="1"/>
    <col min="9489" max="9491" width="12.42578125" customWidth="1"/>
    <col min="9492" max="9492" width="17.140625" customWidth="1"/>
    <col min="9493" max="9493" width="19" customWidth="1"/>
    <col min="9494" max="9498" width="12.42578125" customWidth="1"/>
    <col min="9499" max="9499" width="18.28515625" customWidth="1"/>
    <col min="9500" max="9500" width="17.140625" customWidth="1"/>
    <col min="9501" max="9501" width="22.28515625" customWidth="1"/>
    <col min="9502" max="9502" width="18.7109375" customWidth="1"/>
    <col min="9503" max="9503" width="13.140625" customWidth="1"/>
    <col min="9504" max="9504" width="14" customWidth="1"/>
    <col min="9505" max="9505" width="15.5703125" customWidth="1"/>
    <col min="9506" max="9506" width="13.7109375" customWidth="1"/>
    <col min="9507" max="9507" width="13.140625" customWidth="1"/>
    <col min="9729" max="9729" width="39.42578125" customWidth="1"/>
    <col min="9730" max="9736" width="12.42578125" customWidth="1"/>
    <col min="9737" max="9738" width="11.42578125" customWidth="1"/>
    <col min="9739" max="9739" width="14" customWidth="1"/>
    <col min="9740" max="9740" width="22" customWidth="1"/>
    <col min="9741" max="9741" width="12.42578125" customWidth="1"/>
    <col min="9742" max="9742" width="10.42578125" customWidth="1"/>
    <col min="9743" max="9743" width="12.28515625" customWidth="1"/>
    <col min="9744" max="9744" width="17.140625" customWidth="1"/>
    <col min="9745" max="9747" width="12.42578125" customWidth="1"/>
    <col min="9748" max="9748" width="17.140625" customWidth="1"/>
    <col min="9749" max="9749" width="19" customWidth="1"/>
    <col min="9750" max="9754" width="12.42578125" customWidth="1"/>
    <col min="9755" max="9755" width="18.28515625" customWidth="1"/>
    <col min="9756" max="9756" width="17.140625" customWidth="1"/>
    <col min="9757" max="9757" width="22.28515625" customWidth="1"/>
    <col min="9758" max="9758" width="18.7109375" customWidth="1"/>
    <col min="9759" max="9759" width="13.140625" customWidth="1"/>
    <col min="9760" max="9760" width="14" customWidth="1"/>
    <col min="9761" max="9761" width="15.5703125" customWidth="1"/>
    <col min="9762" max="9762" width="13.7109375" customWidth="1"/>
    <col min="9763" max="9763" width="13.140625" customWidth="1"/>
    <col min="9985" max="9985" width="39.42578125" customWidth="1"/>
    <col min="9986" max="9992" width="12.42578125" customWidth="1"/>
    <col min="9993" max="9994" width="11.42578125" customWidth="1"/>
    <col min="9995" max="9995" width="14" customWidth="1"/>
    <col min="9996" max="9996" width="22" customWidth="1"/>
    <col min="9997" max="9997" width="12.42578125" customWidth="1"/>
    <col min="9998" max="9998" width="10.42578125" customWidth="1"/>
    <col min="9999" max="9999" width="12.28515625" customWidth="1"/>
    <col min="10000" max="10000" width="17.140625" customWidth="1"/>
    <col min="10001" max="10003" width="12.42578125" customWidth="1"/>
    <col min="10004" max="10004" width="17.140625" customWidth="1"/>
    <col min="10005" max="10005" width="19" customWidth="1"/>
    <col min="10006" max="10010" width="12.42578125" customWidth="1"/>
    <col min="10011" max="10011" width="18.28515625" customWidth="1"/>
    <col min="10012" max="10012" width="17.140625" customWidth="1"/>
    <col min="10013" max="10013" width="22.28515625" customWidth="1"/>
    <col min="10014" max="10014" width="18.7109375" customWidth="1"/>
    <col min="10015" max="10015" width="13.140625" customWidth="1"/>
    <col min="10016" max="10016" width="14" customWidth="1"/>
    <col min="10017" max="10017" width="15.5703125" customWidth="1"/>
    <col min="10018" max="10018" width="13.7109375" customWidth="1"/>
    <col min="10019" max="10019" width="13.140625" customWidth="1"/>
    <col min="10241" max="10241" width="39.42578125" customWidth="1"/>
    <col min="10242" max="10248" width="12.42578125" customWidth="1"/>
    <col min="10249" max="10250" width="11.42578125" customWidth="1"/>
    <col min="10251" max="10251" width="14" customWidth="1"/>
    <col min="10252" max="10252" width="22" customWidth="1"/>
    <col min="10253" max="10253" width="12.42578125" customWidth="1"/>
    <col min="10254" max="10254" width="10.42578125" customWidth="1"/>
    <col min="10255" max="10255" width="12.28515625" customWidth="1"/>
    <col min="10256" max="10256" width="17.140625" customWidth="1"/>
    <col min="10257" max="10259" width="12.42578125" customWidth="1"/>
    <col min="10260" max="10260" width="17.140625" customWidth="1"/>
    <col min="10261" max="10261" width="19" customWidth="1"/>
    <col min="10262" max="10266" width="12.42578125" customWidth="1"/>
    <col min="10267" max="10267" width="18.28515625" customWidth="1"/>
    <col min="10268" max="10268" width="17.140625" customWidth="1"/>
    <col min="10269" max="10269" width="22.28515625" customWidth="1"/>
    <col min="10270" max="10270" width="18.7109375" customWidth="1"/>
    <col min="10271" max="10271" width="13.140625" customWidth="1"/>
    <col min="10272" max="10272" width="14" customWidth="1"/>
    <col min="10273" max="10273" width="15.5703125" customWidth="1"/>
    <col min="10274" max="10274" width="13.7109375" customWidth="1"/>
    <col min="10275" max="10275" width="13.140625" customWidth="1"/>
    <col min="10497" max="10497" width="39.42578125" customWidth="1"/>
    <col min="10498" max="10504" width="12.42578125" customWidth="1"/>
    <col min="10505" max="10506" width="11.42578125" customWidth="1"/>
    <col min="10507" max="10507" width="14" customWidth="1"/>
    <col min="10508" max="10508" width="22" customWidth="1"/>
    <col min="10509" max="10509" width="12.42578125" customWidth="1"/>
    <col min="10510" max="10510" width="10.42578125" customWidth="1"/>
    <col min="10511" max="10511" width="12.28515625" customWidth="1"/>
    <col min="10512" max="10512" width="17.140625" customWidth="1"/>
    <col min="10513" max="10515" width="12.42578125" customWidth="1"/>
    <col min="10516" max="10516" width="17.140625" customWidth="1"/>
    <col min="10517" max="10517" width="19" customWidth="1"/>
    <col min="10518" max="10522" width="12.42578125" customWidth="1"/>
    <col min="10523" max="10523" width="18.28515625" customWidth="1"/>
    <col min="10524" max="10524" width="17.140625" customWidth="1"/>
    <col min="10525" max="10525" width="22.28515625" customWidth="1"/>
    <col min="10526" max="10526" width="18.7109375" customWidth="1"/>
    <col min="10527" max="10527" width="13.140625" customWidth="1"/>
    <col min="10528" max="10528" width="14" customWidth="1"/>
    <col min="10529" max="10529" width="15.5703125" customWidth="1"/>
    <col min="10530" max="10530" width="13.7109375" customWidth="1"/>
    <col min="10531" max="10531" width="13.140625" customWidth="1"/>
    <col min="10753" max="10753" width="39.42578125" customWidth="1"/>
    <col min="10754" max="10760" width="12.42578125" customWidth="1"/>
    <col min="10761" max="10762" width="11.42578125" customWidth="1"/>
    <col min="10763" max="10763" width="14" customWidth="1"/>
    <col min="10764" max="10764" width="22" customWidth="1"/>
    <col min="10765" max="10765" width="12.42578125" customWidth="1"/>
    <col min="10766" max="10766" width="10.42578125" customWidth="1"/>
    <col min="10767" max="10767" width="12.28515625" customWidth="1"/>
    <col min="10768" max="10768" width="17.140625" customWidth="1"/>
    <col min="10769" max="10771" width="12.42578125" customWidth="1"/>
    <col min="10772" max="10772" width="17.140625" customWidth="1"/>
    <col min="10773" max="10773" width="19" customWidth="1"/>
    <col min="10774" max="10778" width="12.42578125" customWidth="1"/>
    <col min="10779" max="10779" width="18.28515625" customWidth="1"/>
    <col min="10780" max="10780" width="17.140625" customWidth="1"/>
    <col min="10781" max="10781" width="22.28515625" customWidth="1"/>
    <col min="10782" max="10782" width="18.7109375" customWidth="1"/>
    <col min="10783" max="10783" width="13.140625" customWidth="1"/>
    <col min="10784" max="10784" width="14" customWidth="1"/>
    <col min="10785" max="10785" width="15.5703125" customWidth="1"/>
    <col min="10786" max="10786" width="13.7109375" customWidth="1"/>
    <col min="10787" max="10787" width="13.140625" customWidth="1"/>
    <col min="11009" max="11009" width="39.42578125" customWidth="1"/>
    <col min="11010" max="11016" width="12.42578125" customWidth="1"/>
    <col min="11017" max="11018" width="11.42578125" customWidth="1"/>
    <col min="11019" max="11019" width="14" customWidth="1"/>
    <col min="11020" max="11020" width="22" customWidth="1"/>
    <col min="11021" max="11021" width="12.42578125" customWidth="1"/>
    <col min="11022" max="11022" width="10.42578125" customWidth="1"/>
    <col min="11023" max="11023" width="12.28515625" customWidth="1"/>
    <col min="11024" max="11024" width="17.140625" customWidth="1"/>
    <col min="11025" max="11027" width="12.42578125" customWidth="1"/>
    <col min="11028" max="11028" width="17.140625" customWidth="1"/>
    <col min="11029" max="11029" width="19" customWidth="1"/>
    <col min="11030" max="11034" width="12.42578125" customWidth="1"/>
    <col min="11035" max="11035" width="18.28515625" customWidth="1"/>
    <col min="11036" max="11036" width="17.140625" customWidth="1"/>
    <col min="11037" max="11037" width="22.28515625" customWidth="1"/>
    <col min="11038" max="11038" width="18.7109375" customWidth="1"/>
    <col min="11039" max="11039" width="13.140625" customWidth="1"/>
    <col min="11040" max="11040" width="14" customWidth="1"/>
    <col min="11041" max="11041" width="15.5703125" customWidth="1"/>
    <col min="11042" max="11042" width="13.7109375" customWidth="1"/>
    <col min="11043" max="11043" width="13.140625" customWidth="1"/>
    <col min="11265" max="11265" width="39.42578125" customWidth="1"/>
    <col min="11266" max="11272" width="12.42578125" customWidth="1"/>
    <col min="11273" max="11274" width="11.42578125" customWidth="1"/>
    <col min="11275" max="11275" width="14" customWidth="1"/>
    <col min="11276" max="11276" width="22" customWidth="1"/>
    <col min="11277" max="11277" width="12.42578125" customWidth="1"/>
    <col min="11278" max="11278" width="10.42578125" customWidth="1"/>
    <col min="11279" max="11279" width="12.28515625" customWidth="1"/>
    <col min="11280" max="11280" width="17.140625" customWidth="1"/>
    <col min="11281" max="11283" width="12.42578125" customWidth="1"/>
    <col min="11284" max="11284" width="17.140625" customWidth="1"/>
    <col min="11285" max="11285" width="19" customWidth="1"/>
    <col min="11286" max="11290" width="12.42578125" customWidth="1"/>
    <col min="11291" max="11291" width="18.28515625" customWidth="1"/>
    <col min="11292" max="11292" width="17.140625" customWidth="1"/>
    <col min="11293" max="11293" width="22.28515625" customWidth="1"/>
    <col min="11294" max="11294" width="18.7109375" customWidth="1"/>
    <col min="11295" max="11295" width="13.140625" customWidth="1"/>
    <col min="11296" max="11296" width="14" customWidth="1"/>
    <col min="11297" max="11297" width="15.5703125" customWidth="1"/>
    <col min="11298" max="11298" width="13.7109375" customWidth="1"/>
    <col min="11299" max="11299" width="13.140625" customWidth="1"/>
    <col min="11521" max="11521" width="39.42578125" customWidth="1"/>
    <col min="11522" max="11528" width="12.42578125" customWidth="1"/>
    <col min="11529" max="11530" width="11.42578125" customWidth="1"/>
    <col min="11531" max="11531" width="14" customWidth="1"/>
    <col min="11532" max="11532" width="22" customWidth="1"/>
    <col min="11533" max="11533" width="12.42578125" customWidth="1"/>
    <col min="11534" max="11534" width="10.42578125" customWidth="1"/>
    <col min="11535" max="11535" width="12.28515625" customWidth="1"/>
    <col min="11536" max="11536" width="17.140625" customWidth="1"/>
    <col min="11537" max="11539" width="12.42578125" customWidth="1"/>
    <col min="11540" max="11540" width="17.140625" customWidth="1"/>
    <col min="11541" max="11541" width="19" customWidth="1"/>
    <col min="11542" max="11546" width="12.42578125" customWidth="1"/>
    <col min="11547" max="11547" width="18.28515625" customWidth="1"/>
    <col min="11548" max="11548" width="17.140625" customWidth="1"/>
    <col min="11549" max="11549" width="22.28515625" customWidth="1"/>
    <col min="11550" max="11550" width="18.7109375" customWidth="1"/>
    <col min="11551" max="11551" width="13.140625" customWidth="1"/>
    <col min="11552" max="11552" width="14" customWidth="1"/>
    <col min="11553" max="11553" width="15.5703125" customWidth="1"/>
    <col min="11554" max="11554" width="13.7109375" customWidth="1"/>
    <col min="11555" max="11555" width="13.140625" customWidth="1"/>
    <col min="11777" max="11777" width="39.42578125" customWidth="1"/>
    <col min="11778" max="11784" width="12.42578125" customWidth="1"/>
    <col min="11785" max="11786" width="11.42578125" customWidth="1"/>
    <col min="11787" max="11787" width="14" customWidth="1"/>
    <col min="11788" max="11788" width="22" customWidth="1"/>
    <col min="11789" max="11789" width="12.42578125" customWidth="1"/>
    <col min="11790" max="11790" width="10.42578125" customWidth="1"/>
    <col min="11791" max="11791" width="12.28515625" customWidth="1"/>
    <col min="11792" max="11792" width="17.140625" customWidth="1"/>
    <col min="11793" max="11795" width="12.42578125" customWidth="1"/>
    <col min="11796" max="11796" width="17.140625" customWidth="1"/>
    <col min="11797" max="11797" width="19" customWidth="1"/>
    <col min="11798" max="11802" width="12.42578125" customWidth="1"/>
    <col min="11803" max="11803" width="18.28515625" customWidth="1"/>
    <col min="11804" max="11804" width="17.140625" customWidth="1"/>
    <col min="11805" max="11805" width="22.28515625" customWidth="1"/>
    <col min="11806" max="11806" width="18.7109375" customWidth="1"/>
    <col min="11807" max="11807" width="13.140625" customWidth="1"/>
    <col min="11808" max="11808" width="14" customWidth="1"/>
    <col min="11809" max="11809" width="15.5703125" customWidth="1"/>
    <col min="11810" max="11810" width="13.7109375" customWidth="1"/>
    <col min="11811" max="11811" width="13.140625" customWidth="1"/>
    <col min="12033" max="12033" width="39.42578125" customWidth="1"/>
    <col min="12034" max="12040" width="12.42578125" customWidth="1"/>
    <col min="12041" max="12042" width="11.42578125" customWidth="1"/>
    <col min="12043" max="12043" width="14" customWidth="1"/>
    <col min="12044" max="12044" width="22" customWidth="1"/>
    <col min="12045" max="12045" width="12.42578125" customWidth="1"/>
    <col min="12046" max="12046" width="10.42578125" customWidth="1"/>
    <col min="12047" max="12047" width="12.28515625" customWidth="1"/>
    <col min="12048" max="12048" width="17.140625" customWidth="1"/>
    <col min="12049" max="12051" width="12.42578125" customWidth="1"/>
    <col min="12052" max="12052" width="17.140625" customWidth="1"/>
    <col min="12053" max="12053" width="19" customWidth="1"/>
    <col min="12054" max="12058" width="12.42578125" customWidth="1"/>
    <col min="12059" max="12059" width="18.28515625" customWidth="1"/>
    <col min="12060" max="12060" width="17.140625" customWidth="1"/>
    <col min="12061" max="12061" width="22.28515625" customWidth="1"/>
    <col min="12062" max="12062" width="18.7109375" customWidth="1"/>
    <col min="12063" max="12063" width="13.140625" customWidth="1"/>
    <col min="12064" max="12064" width="14" customWidth="1"/>
    <col min="12065" max="12065" width="15.5703125" customWidth="1"/>
    <col min="12066" max="12066" width="13.7109375" customWidth="1"/>
    <col min="12067" max="12067" width="13.140625" customWidth="1"/>
    <col min="12289" max="12289" width="39.42578125" customWidth="1"/>
    <col min="12290" max="12296" width="12.42578125" customWidth="1"/>
    <col min="12297" max="12298" width="11.42578125" customWidth="1"/>
    <col min="12299" max="12299" width="14" customWidth="1"/>
    <col min="12300" max="12300" width="22" customWidth="1"/>
    <col min="12301" max="12301" width="12.42578125" customWidth="1"/>
    <col min="12302" max="12302" width="10.42578125" customWidth="1"/>
    <col min="12303" max="12303" width="12.28515625" customWidth="1"/>
    <col min="12304" max="12304" width="17.140625" customWidth="1"/>
    <col min="12305" max="12307" width="12.42578125" customWidth="1"/>
    <col min="12308" max="12308" width="17.140625" customWidth="1"/>
    <col min="12309" max="12309" width="19" customWidth="1"/>
    <col min="12310" max="12314" width="12.42578125" customWidth="1"/>
    <col min="12315" max="12315" width="18.28515625" customWidth="1"/>
    <col min="12316" max="12316" width="17.140625" customWidth="1"/>
    <col min="12317" max="12317" width="22.28515625" customWidth="1"/>
    <col min="12318" max="12318" width="18.7109375" customWidth="1"/>
    <col min="12319" max="12319" width="13.140625" customWidth="1"/>
    <col min="12320" max="12320" width="14" customWidth="1"/>
    <col min="12321" max="12321" width="15.5703125" customWidth="1"/>
    <col min="12322" max="12322" width="13.7109375" customWidth="1"/>
    <col min="12323" max="12323" width="13.140625" customWidth="1"/>
    <col min="12545" max="12545" width="39.42578125" customWidth="1"/>
    <col min="12546" max="12552" width="12.42578125" customWidth="1"/>
    <col min="12553" max="12554" width="11.42578125" customWidth="1"/>
    <col min="12555" max="12555" width="14" customWidth="1"/>
    <col min="12556" max="12556" width="22" customWidth="1"/>
    <col min="12557" max="12557" width="12.42578125" customWidth="1"/>
    <col min="12558" max="12558" width="10.42578125" customWidth="1"/>
    <col min="12559" max="12559" width="12.28515625" customWidth="1"/>
    <col min="12560" max="12560" width="17.140625" customWidth="1"/>
    <col min="12561" max="12563" width="12.42578125" customWidth="1"/>
    <col min="12564" max="12564" width="17.140625" customWidth="1"/>
    <col min="12565" max="12565" width="19" customWidth="1"/>
    <col min="12566" max="12570" width="12.42578125" customWidth="1"/>
    <col min="12571" max="12571" width="18.28515625" customWidth="1"/>
    <col min="12572" max="12572" width="17.140625" customWidth="1"/>
    <col min="12573" max="12573" width="22.28515625" customWidth="1"/>
    <col min="12574" max="12574" width="18.7109375" customWidth="1"/>
    <col min="12575" max="12575" width="13.140625" customWidth="1"/>
    <col min="12576" max="12576" width="14" customWidth="1"/>
    <col min="12577" max="12577" width="15.5703125" customWidth="1"/>
    <col min="12578" max="12578" width="13.7109375" customWidth="1"/>
    <col min="12579" max="12579" width="13.140625" customWidth="1"/>
    <col min="12801" max="12801" width="39.42578125" customWidth="1"/>
    <col min="12802" max="12808" width="12.42578125" customWidth="1"/>
    <col min="12809" max="12810" width="11.42578125" customWidth="1"/>
    <col min="12811" max="12811" width="14" customWidth="1"/>
    <col min="12812" max="12812" width="22" customWidth="1"/>
    <col min="12813" max="12813" width="12.42578125" customWidth="1"/>
    <col min="12814" max="12814" width="10.42578125" customWidth="1"/>
    <col min="12815" max="12815" width="12.28515625" customWidth="1"/>
    <col min="12816" max="12816" width="17.140625" customWidth="1"/>
    <col min="12817" max="12819" width="12.42578125" customWidth="1"/>
    <col min="12820" max="12820" width="17.140625" customWidth="1"/>
    <col min="12821" max="12821" width="19" customWidth="1"/>
    <col min="12822" max="12826" width="12.42578125" customWidth="1"/>
    <col min="12827" max="12827" width="18.28515625" customWidth="1"/>
    <col min="12828" max="12828" width="17.140625" customWidth="1"/>
    <col min="12829" max="12829" width="22.28515625" customWidth="1"/>
    <col min="12830" max="12830" width="18.7109375" customWidth="1"/>
    <col min="12831" max="12831" width="13.140625" customWidth="1"/>
    <col min="12832" max="12832" width="14" customWidth="1"/>
    <col min="12833" max="12833" width="15.5703125" customWidth="1"/>
    <col min="12834" max="12834" width="13.7109375" customWidth="1"/>
    <col min="12835" max="12835" width="13.140625" customWidth="1"/>
    <col min="13057" max="13057" width="39.42578125" customWidth="1"/>
    <col min="13058" max="13064" width="12.42578125" customWidth="1"/>
    <col min="13065" max="13066" width="11.42578125" customWidth="1"/>
    <col min="13067" max="13067" width="14" customWidth="1"/>
    <col min="13068" max="13068" width="22" customWidth="1"/>
    <col min="13069" max="13069" width="12.42578125" customWidth="1"/>
    <col min="13070" max="13070" width="10.42578125" customWidth="1"/>
    <col min="13071" max="13071" width="12.28515625" customWidth="1"/>
    <col min="13072" max="13072" width="17.140625" customWidth="1"/>
    <col min="13073" max="13075" width="12.42578125" customWidth="1"/>
    <col min="13076" max="13076" width="17.140625" customWidth="1"/>
    <col min="13077" max="13077" width="19" customWidth="1"/>
    <col min="13078" max="13082" width="12.42578125" customWidth="1"/>
    <col min="13083" max="13083" width="18.28515625" customWidth="1"/>
    <col min="13084" max="13084" width="17.140625" customWidth="1"/>
    <col min="13085" max="13085" width="22.28515625" customWidth="1"/>
    <col min="13086" max="13086" width="18.7109375" customWidth="1"/>
    <col min="13087" max="13087" width="13.140625" customWidth="1"/>
    <col min="13088" max="13088" width="14" customWidth="1"/>
    <col min="13089" max="13089" width="15.5703125" customWidth="1"/>
    <col min="13090" max="13090" width="13.7109375" customWidth="1"/>
    <col min="13091" max="13091" width="13.140625" customWidth="1"/>
    <col min="13313" max="13313" width="39.42578125" customWidth="1"/>
    <col min="13314" max="13320" width="12.42578125" customWidth="1"/>
    <col min="13321" max="13322" width="11.42578125" customWidth="1"/>
    <col min="13323" max="13323" width="14" customWidth="1"/>
    <col min="13324" max="13324" width="22" customWidth="1"/>
    <col min="13325" max="13325" width="12.42578125" customWidth="1"/>
    <col min="13326" max="13326" width="10.42578125" customWidth="1"/>
    <col min="13327" max="13327" width="12.28515625" customWidth="1"/>
    <col min="13328" max="13328" width="17.140625" customWidth="1"/>
    <col min="13329" max="13331" width="12.42578125" customWidth="1"/>
    <col min="13332" max="13332" width="17.140625" customWidth="1"/>
    <col min="13333" max="13333" width="19" customWidth="1"/>
    <col min="13334" max="13338" width="12.42578125" customWidth="1"/>
    <col min="13339" max="13339" width="18.28515625" customWidth="1"/>
    <col min="13340" max="13340" width="17.140625" customWidth="1"/>
    <col min="13341" max="13341" width="22.28515625" customWidth="1"/>
    <col min="13342" max="13342" width="18.7109375" customWidth="1"/>
    <col min="13343" max="13343" width="13.140625" customWidth="1"/>
    <col min="13344" max="13344" width="14" customWidth="1"/>
    <col min="13345" max="13345" width="15.5703125" customWidth="1"/>
    <col min="13346" max="13346" width="13.7109375" customWidth="1"/>
    <col min="13347" max="13347" width="13.140625" customWidth="1"/>
    <col min="13569" max="13569" width="39.42578125" customWidth="1"/>
    <col min="13570" max="13576" width="12.42578125" customWidth="1"/>
    <col min="13577" max="13578" width="11.42578125" customWidth="1"/>
    <col min="13579" max="13579" width="14" customWidth="1"/>
    <col min="13580" max="13580" width="22" customWidth="1"/>
    <col min="13581" max="13581" width="12.42578125" customWidth="1"/>
    <col min="13582" max="13582" width="10.42578125" customWidth="1"/>
    <col min="13583" max="13583" width="12.28515625" customWidth="1"/>
    <col min="13584" max="13584" width="17.140625" customWidth="1"/>
    <col min="13585" max="13587" width="12.42578125" customWidth="1"/>
    <col min="13588" max="13588" width="17.140625" customWidth="1"/>
    <col min="13589" max="13589" width="19" customWidth="1"/>
    <col min="13590" max="13594" width="12.42578125" customWidth="1"/>
    <col min="13595" max="13595" width="18.28515625" customWidth="1"/>
    <col min="13596" max="13596" width="17.140625" customWidth="1"/>
    <col min="13597" max="13597" width="22.28515625" customWidth="1"/>
    <col min="13598" max="13598" width="18.7109375" customWidth="1"/>
    <col min="13599" max="13599" width="13.140625" customWidth="1"/>
    <col min="13600" max="13600" width="14" customWidth="1"/>
    <col min="13601" max="13601" width="15.5703125" customWidth="1"/>
    <col min="13602" max="13602" width="13.7109375" customWidth="1"/>
    <col min="13603" max="13603" width="13.140625" customWidth="1"/>
    <col min="13825" max="13825" width="39.42578125" customWidth="1"/>
    <col min="13826" max="13832" width="12.42578125" customWidth="1"/>
    <col min="13833" max="13834" width="11.42578125" customWidth="1"/>
    <col min="13835" max="13835" width="14" customWidth="1"/>
    <col min="13836" max="13836" width="22" customWidth="1"/>
    <col min="13837" max="13837" width="12.42578125" customWidth="1"/>
    <col min="13838" max="13838" width="10.42578125" customWidth="1"/>
    <col min="13839" max="13839" width="12.28515625" customWidth="1"/>
    <col min="13840" max="13840" width="17.140625" customWidth="1"/>
    <col min="13841" max="13843" width="12.42578125" customWidth="1"/>
    <col min="13844" max="13844" width="17.140625" customWidth="1"/>
    <col min="13845" max="13845" width="19" customWidth="1"/>
    <col min="13846" max="13850" width="12.42578125" customWidth="1"/>
    <col min="13851" max="13851" width="18.28515625" customWidth="1"/>
    <col min="13852" max="13852" width="17.140625" customWidth="1"/>
    <col min="13853" max="13853" width="22.28515625" customWidth="1"/>
    <col min="13854" max="13854" width="18.7109375" customWidth="1"/>
    <col min="13855" max="13855" width="13.140625" customWidth="1"/>
    <col min="13856" max="13856" width="14" customWidth="1"/>
    <col min="13857" max="13857" width="15.5703125" customWidth="1"/>
    <col min="13858" max="13858" width="13.7109375" customWidth="1"/>
    <col min="13859" max="13859" width="13.140625" customWidth="1"/>
    <col min="14081" max="14081" width="39.42578125" customWidth="1"/>
    <col min="14082" max="14088" width="12.42578125" customWidth="1"/>
    <col min="14089" max="14090" width="11.42578125" customWidth="1"/>
    <col min="14091" max="14091" width="14" customWidth="1"/>
    <col min="14092" max="14092" width="22" customWidth="1"/>
    <col min="14093" max="14093" width="12.42578125" customWidth="1"/>
    <col min="14094" max="14094" width="10.42578125" customWidth="1"/>
    <col min="14095" max="14095" width="12.28515625" customWidth="1"/>
    <col min="14096" max="14096" width="17.140625" customWidth="1"/>
    <col min="14097" max="14099" width="12.42578125" customWidth="1"/>
    <col min="14100" max="14100" width="17.140625" customWidth="1"/>
    <col min="14101" max="14101" width="19" customWidth="1"/>
    <col min="14102" max="14106" width="12.42578125" customWidth="1"/>
    <col min="14107" max="14107" width="18.28515625" customWidth="1"/>
    <col min="14108" max="14108" width="17.140625" customWidth="1"/>
    <col min="14109" max="14109" width="22.28515625" customWidth="1"/>
    <col min="14110" max="14110" width="18.7109375" customWidth="1"/>
    <col min="14111" max="14111" width="13.140625" customWidth="1"/>
    <col min="14112" max="14112" width="14" customWidth="1"/>
    <col min="14113" max="14113" width="15.5703125" customWidth="1"/>
    <col min="14114" max="14114" width="13.7109375" customWidth="1"/>
    <col min="14115" max="14115" width="13.140625" customWidth="1"/>
    <col min="14337" max="14337" width="39.42578125" customWidth="1"/>
    <col min="14338" max="14344" width="12.42578125" customWidth="1"/>
    <col min="14345" max="14346" width="11.42578125" customWidth="1"/>
    <col min="14347" max="14347" width="14" customWidth="1"/>
    <col min="14348" max="14348" width="22" customWidth="1"/>
    <col min="14349" max="14349" width="12.42578125" customWidth="1"/>
    <col min="14350" max="14350" width="10.42578125" customWidth="1"/>
    <col min="14351" max="14351" width="12.28515625" customWidth="1"/>
    <col min="14352" max="14352" width="17.140625" customWidth="1"/>
    <col min="14353" max="14355" width="12.42578125" customWidth="1"/>
    <col min="14356" max="14356" width="17.140625" customWidth="1"/>
    <col min="14357" max="14357" width="19" customWidth="1"/>
    <col min="14358" max="14362" width="12.42578125" customWidth="1"/>
    <col min="14363" max="14363" width="18.28515625" customWidth="1"/>
    <col min="14364" max="14364" width="17.140625" customWidth="1"/>
    <col min="14365" max="14365" width="22.28515625" customWidth="1"/>
    <col min="14366" max="14366" width="18.7109375" customWidth="1"/>
    <col min="14367" max="14367" width="13.140625" customWidth="1"/>
    <col min="14368" max="14368" width="14" customWidth="1"/>
    <col min="14369" max="14369" width="15.5703125" customWidth="1"/>
    <col min="14370" max="14370" width="13.7109375" customWidth="1"/>
    <col min="14371" max="14371" width="13.140625" customWidth="1"/>
    <col min="14593" max="14593" width="39.42578125" customWidth="1"/>
    <col min="14594" max="14600" width="12.42578125" customWidth="1"/>
    <col min="14601" max="14602" width="11.42578125" customWidth="1"/>
    <col min="14603" max="14603" width="14" customWidth="1"/>
    <col min="14604" max="14604" width="22" customWidth="1"/>
    <col min="14605" max="14605" width="12.42578125" customWidth="1"/>
    <col min="14606" max="14606" width="10.42578125" customWidth="1"/>
    <col min="14607" max="14607" width="12.28515625" customWidth="1"/>
    <col min="14608" max="14608" width="17.140625" customWidth="1"/>
    <col min="14609" max="14611" width="12.42578125" customWidth="1"/>
    <col min="14612" max="14612" width="17.140625" customWidth="1"/>
    <col min="14613" max="14613" width="19" customWidth="1"/>
    <col min="14614" max="14618" width="12.42578125" customWidth="1"/>
    <col min="14619" max="14619" width="18.28515625" customWidth="1"/>
    <col min="14620" max="14620" width="17.140625" customWidth="1"/>
    <col min="14621" max="14621" width="22.28515625" customWidth="1"/>
    <col min="14622" max="14622" width="18.7109375" customWidth="1"/>
    <col min="14623" max="14623" width="13.140625" customWidth="1"/>
    <col min="14624" max="14624" width="14" customWidth="1"/>
    <col min="14625" max="14625" width="15.5703125" customWidth="1"/>
    <col min="14626" max="14626" width="13.7109375" customWidth="1"/>
    <col min="14627" max="14627" width="13.140625" customWidth="1"/>
    <col min="14849" max="14849" width="39.42578125" customWidth="1"/>
    <col min="14850" max="14856" width="12.42578125" customWidth="1"/>
    <col min="14857" max="14858" width="11.42578125" customWidth="1"/>
    <col min="14859" max="14859" width="14" customWidth="1"/>
    <col min="14860" max="14860" width="22" customWidth="1"/>
    <col min="14861" max="14861" width="12.42578125" customWidth="1"/>
    <col min="14862" max="14862" width="10.42578125" customWidth="1"/>
    <col min="14863" max="14863" width="12.28515625" customWidth="1"/>
    <col min="14864" max="14864" width="17.140625" customWidth="1"/>
    <col min="14865" max="14867" width="12.42578125" customWidth="1"/>
    <col min="14868" max="14868" width="17.140625" customWidth="1"/>
    <col min="14869" max="14869" width="19" customWidth="1"/>
    <col min="14870" max="14874" width="12.42578125" customWidth="1"/>
    <col min="14875" max="14875" width="18.28515625" customWidth="1"/>
    <col min="14876" max="14876" width="17.140625" customWidth="1"/>
    <col min="14877" max="14877" width="22.28515625" customWidth="1"/>
    <col min="14878" max="14878" width="18.7109375" customWidth="1"/>
    <col min="14879" max="14879" width="13.140625" customWidth="1"/>
    <col min="14880" max="14880" width="14" customWidth="1"/>
    <col min="14881" max="14881" width="15.5703125" customWidth="1"/>
    <col min="14882" max="14882" width="13.7109375" customWidth="1"/>
    <col min="14883" max="14883" width="13.140625" customWidth="1"/>
    <col min="15105" max="15105" width="39.42578125" customWidth="1"/>
    <col min="15106" max="15112" width="12.42578125" customWidth="1"/>
    <col min="15113" max="15114" width="11.42578125" customWidth="1"/>
    <col min="15115" max="15115" width="14" customWidth="1"/>
    <col min="15116" max="15116" width="22" customWidth="1"/>
    <col min="15117" max="15117" width="12.42578125" customWidth="1"/>
    <col min="15118" max="15118" width="10.42578125" customWidth="1"/>
    <col min="15119" max="15119" width="12.28515625" customWidth="1"/>
    <col min="15120" max="15120" width="17.140625" customWidth="1"/>
    <col min="15121" max="15123" width="12.42578125" customWidth="1"/>
    <col min="15124" max="15124" width="17.140625" customWidth="1"/>
    <col min="15125" max="15125" width="19" customWidth="1"/>
    <col min="15126" max="15130" width="12.42578125" customWidth="1"/>
    <col min="15131" max="15131" width="18.28515625" customWidth="1"/>
    <col min="15132" max="15132" width="17.140625" customWidth="1"/>
    <col min="15133" max="15133" width="22.28515625" customWidth="1"/>
    <col min="15134" max="15134" width="18.7109375" customWidth="1"/>
    <col min="15135" max="15135" width="13.140625" customWidth="1"/>
    <col min="15136" max="15136" width="14" customWidth="1"/>
    <col min="15137" max="15137" width="15.5703125" customWidth="1"/>
    <col min="15138" max="15138" width="13.7109375" customWidth="1"/>
    <col min="15139" max="15139" width="13.140625" customWidth="1"/>
    <col min="15361" max="15361" width="39.42578125" customWidth="1"/>
    <col min="15362" max="15368" width="12.42578125" customWidth="1"/>
    <col min="15369" max="15370" width="11.42578125" customWidth="1"/>
    <col min="15371" max="15371" width="14" customWidth="1"/>
    <col min="15372" max="15372" width="22" customWidth="1"/>
    <col min="15373" max="15373" width="12.42578125" customWidth="1"/>
    <col min="15374" max="15374" width="10.42578125" customWidth="1"/>
    <col min="15375" max="15375" width="12.28515625" customWidth="1"/>
    <col min="15376" max="15376" width="17.140625" customWidth="1"/>
    <col min="15377" max="15379" width="12.42578125" customWidth="1"/>
    <col min="15380" max="15380" width="17.140625" customWidth="1"/>
    <col min="15381" max="15381" width="19" customWidth="1"/>
    <col min="15382" max="15386" width="12.42578125" customWidth="1"/>
    <col min="15387" max="15387" width="18.28515625" customWidth="1"/>
    <col min="15388" max="15388" width="17.140625" customWidth="1"/>
    <col min="15389" max="15389" width="22.28515625" customWidth="1"/>
    <col min="15390" max="15390" width="18.7109375" customWidth="1"/>
    <col min="15391" max="15391" width="13.140625" customWidth="1"/>
    <col min="15392" max="15392" width="14" customWidth="1"/>
    <col min="15393" max="15393" width="15.5703125" customWidth="1"/>
    <col min="15394" max="15394" width="13.7109375" customWidth="1"/>
    <col min="15395" max="15395" width="13.140625" customWidth="1"/>
    <col min="15617" max="15617" width="39.42578125" customWidth="1"/>
    <col min="15618" max="15624" width="12.42578125" customWidth="1"/>
    <col min="15625" max="15626" width="11.42578125" customWidth="1"/>
    <col min="15627" max="15627" width="14" customWidth="1"/>
    <col min="15628" max="15628" width="22" customWidth="1"/>
    <col min="15629" max="15629" width="12.42578125" customWidth="1"/>
    <col min="15630" max="15630" width="10.42578125" customWidth="1"/>
    <col min="15631" max="15631" width="12.28515625" customWidth="1"/>
    <col min="15632" max="15632" width="17.140625" customWidth="1"/>
    <col min="15633" max="15635" width="12.42578125" customWidth="1"/>
    <col min="15636" max="15636" width="17.140625" customWidth="1"/>
    <col min="15637" max="15637" width="19" customWidth="1"/>
    <col min="15638" max="15642" width="12.42578125" customWidth="1"/>
    <col min="15643" max="15643" width="18.28515625" customWidth="1"/>
    <col min="15644" max="15644" width="17.140625" customWidth="1"/>
    <col min="15645" max="15645" width="22.28515625" customWidth="1"/>
    <col min="15646" max="15646" width="18.7109375" customWidth="1"/>
    <col min="15647" max="15647" width="13.140625" customWidth="1"/>
    <col min="15648" max="15648" width="14" customWidth="1"/>
    <col min="15649" max="15649" width="15.5703125" customWidth="1"/>
    <col min="15650" max="15650" width="13.7109375" customWidth="1"/>
    <col min="15651" max="15651" width="13.140625" customWidth="1"/>
    <col min="15873" max="15873" width="39.42578125" customWidth="1"/>
    <col min="15874" max="15880" width="12.42578125" customWidth="1"/>
    <col min="15881" max="15882" width="11.42578125" customWidth="1"/>
    <col min="15883" max="15883" width="14" customWidth="1"/>
    <col min="15884" max="15884" width="22" customWidth="1"/>
    <col min="15885" max="15885" width="12.42578125" customWidth="1"/>
    <col min="15886" max="15886" width="10.42578125" customWidth="1"/>
    <col min="15887" max="15887" width="12.28515625" customWidth="1"/>
    <col min="15888" max="15888" width="17.140625" customWidth="1"/>
    <col min="15889" max="15891" width="12.42578125" customWidth="1"/>
    <col min="15892" max="15892" width="17.140625" customWidth="1"/>
    <col min="15893" max="15893" width="19" customWidth="1"/>
    <col min="15894" max="15898" width="12.42578125" customWidth="1"/>
    <col min="15899" max="15899" width="18.28515625" customWidth="1"/>
    <col min="15900" max="15900" width="17.140625" customWidth="1"/>
    <col min="15901" max="15901" width="22.28515625" customWidth="1"/>
    <col min="15902" max="15902" width="18.7109375" customWidth="1"/>
    <col min="15903" max="15903" width="13.140625" customWidth="1"/>
    <col min="15904" max="15904" width="14" customWidth="1"/>
    <col min="15905" max="15905" width="15.5703125" customWidth="1"/>
    <col min="15906" max="15906" width="13.7109375" customWidth="1"/>
    <col min="15907" max="15907" width="13.140625" customWidth="1"/>
    <col min="16129" max="16129" width="39.42578125" customWidth="1"/>
    <col min="16130" max="16136" width="12.42578125" customWidth="1"/>
    <col min="16137" max="16138" width="11.42578125" customWidth="1"/>
    <col min="16139" max="16139" width="14" customWidth="1"/>
    <col min="16140" max="16140" width="22" customWidth="1"/>
    <col min="16141" max="16141" width="12.42578125" customWidth="1"/>
    <col min="16142" max="16142" width="10.42578125" customWidth="1"/>
    <col min="16143" max="16143" width="12.28515625" customWidth="1"/>
    <col min="16144" max="16144" width="17.140625" customWidth="1"/>
    <col min="16145" max="16147" width="12.42578125" customWidth="1"/>
    <col min="16148" max="16148" width="17.140625" customWidth="1"/>
    <col min="16149" max="16149" width="19" customWidth="1"/>
    <col min="16150" max="16154" width="12.42578125" customWidth="1"/>
    <col min="16155" max="16155" width="18.28515625" customWidth="1"/>
    <col min="16156" max="16156" width="17.140625" customWidth="1"/>
    <col min="16157" max="16157" width="22.28515625" customWidth="1"/>
    <col min="16158" max="16158" width="18.7109375" customWidth="1"/>
    <col min="16159" max="16159" width="13.140625" customWidth="1"/>
    <col min="16160" max="16160" width="14" customWidth="1"/>
    <col min="16161" max="16161" width="15.5703125" customWidth="1"/>
    <col min="16162" max="16162" width="13.7109375" customWidth="1"/>
    <col min="16163" max="16163" width="13.140625" customWidth="1"/>
  </cols>
  <sheetData>
    <row r="1" spans="1:37" ht="19.5" thickBot="1">
      <c r="A1" s="1786" t="s">
        <v>285</v>
      </c>
      <c r="B1" s="1787"/>
      <c r="C1" s="1787"/>
      <c r="D1" s="1787"/>
      <c r="E1" s="1787"/>
      <c r="F1" s="1787"/>
      <c r="G1" s="1787"/>
      <c r="H1" s="1787"/>
      <c r="I1" s="1787"/>
      <c r="J1" s="1787"/>
      <c r="K1" s="1787"/>
      <c r="L1" s="1787"/>
      <c r="M1" s="1787"/>
      <c r="N1" s="1787"/>
      <c r="O1" s="1787"/>
      <c r="P1" s="1787"/>
      <c r="Q1" s="1787"/>
      <c r="R1" s="1787"/>
      <c r="S1" s="1787"/>
      <c r="T1" s="1787"/>
      <c r="U1" s="1787"/>
      <c r="V1" s="1787"/>
      <c r="W1" s="1787"/>
      <c r="X1" s="1787"/>
      <c r="Y1" s="1787"/>
      <c r="Z1" s="1787"/>
      <c r="AA1" s="1787"/>
      <c r="AB1" s="1787"/>
      <c r="AC1" s="1787"/>
      <c r="AD1" s="1787"/>
      <c r="AE1" s="1787"/>
      <c r="AF1" s="1788"/>
    </row>
    <row r="2" spans="1:37" ht="14.45" customHeight="1">
      <c r="A2" s="1789" t="s">
        <v>550</v>
      </c>
      <c r="B2" s="1791" t="s">
        <v>286</v>
      </c>
      <c r="C2" s="1792"/>
      <c r="D2" s="1792"/>
      <c r="E2" s="1792"/>
      <c r="F2" s="1792"/>
      <c r="G2" s="1792"/>
      <c r="H2" s="1792"/>
      <c r="I2" s="1792"/>
      <c r="J2" s="1792"/>
      <c r="K2" s="1792"/>
      <c r="L2" s="1793"/>
      <c r="M2" s="1794" t="s">
        <v>287</v>
      </c>
      <c r="N2" s="1794"/>
      <c r="O2" s="1794"/>
      <c r="P2" s="1795"/>
      <c r="Q2" s="1796" t="s">
        <v>288</v>
      </c>
      <c r="R2" s="1796"/>
      <c r="S2" s="1796"/>
      <c r="T2" s="1797"/>
      <c r="U2" s="1798" t="s">
        <v>289</v>
      </c>
      <c r="V2" s="1800" t="s">
        <v>290</v>
      </c>
      <c r="W2" s="1800"/>
      <c r="X2" s="1800"/>
      <c r="Y2" s="1800"/>
      <c r="Z2" s="1800"/>
      <c r="AA2" s="1800"/>
      <c r="AB2" s="1801"/>
      <c r="AC2" s="1802" t="s">
        <v>291</v>
      </c>
      <c r="AD2" s="1804" t="s">
        <v>292</v>
      </c>
      <c r="AE2" s="1806"/>
      <c r="AF2" s="1811" t="s">
        <v>293</v>
      </c>
    </row>
    <row r="3" spans="1:37" ht="75.75" thickBot="1">
      <c r="A3" s="1790"/>
      <c r="B3" s="175" t="s">
        <v>294</v>
      </c>
      <c r="C3" s="176" t="s">
        <v>295</v>
      </c>
      <c r="D3" s="176" t="s">
        <v>577</v>
      </c>
      <c r="E3" s="176" t="s">
        <v>296</v>
      </c>
      <c r="F3" s="176" t="s">
        <v>571</v>
      </c>
      <c r="G3" s="176" t="s">
        <v>572</v>
      </c>
      <c r="H3" s="176" t="s">
        <v>297</v>
      </c>
      <c r="I3" s="176" t="s">
        <v>570</v>
      </c>
      <c r="J3" s="176" t="s">
        <v>578</v>
      </c>
      <c r="K3" s="176" t="s">
        <v>573</v>
      </c>
      <c r="L3" s="177" t="s">
        <v>293</v>
      </c>
      <c r="M3" s="178" t="s">
        <v>299</v>
      </c>
      <c r="N3" s="179" t="s">
        <v>300</v>
      </c>
      <c r="O3" s="179" t="s">
        <v>301</v>
      </c>
      <c r="P3" s="180" t="s">
        <v>293</v>
      </c>
      <c r="Q3" s="181"/>
      <c r="R3" s="182"/>
      <c r="S3" s="182"/>
      <c r="T3" s="183" t="s">
        <v>293</v>
      </c>
      <c r="U3" s="1799"/>
      <c r="V3" s="184" t="s">
        <v>302</v>
      </c>
      <c r="W3" s="185" t="s">
        <v>298</v>
      </c>
      <c r="X3" s="185" t="s">
        <v>574</v>
      </c>
      <c r="Y3" s="185" t="s">
        <v>576</v>
      </c>
      <c r="Z3" s="185" t="s">
        <v>575</v>
      </c>
      <c r="AA3" s="185" t="s">
        <v>303</v>
      </c>
      <c r="AB3" s="186" t="s">
        <v>293</v>
      </c>
      <c r="AC3" s="1803"/>
      <c r="AD3" s="1805"/>
      <c r="AE3" s="1807"/>
      <c r="AF3" s="1812"/>
      <c r="AG3" s="187" t="s">
        <v>549</v>
      </c>
      <c r="AJ3" s="1052" t="s">
        <v>565</v>
      </c>
      <c r="AK3" s="1049" t="s">
        <v>566</v>
      </c>
    </row>
    <row r="4" spans="1:37" ht="30">
      <c r="A4" s="188" t="s">
        <v>304</v>
      </c>
      <c r="B4" s="189">
        <f>(195800+217550*11)/2</f>
        <v>1294425</v>
      </c>
      <c r="C4" s="190">
        <f>(195800+217550*11)/2</f>
        <v>1294425</v>
      </c>
      <c r="D4" s="190">
        <v>144118</v>
      </c>
      <c r="E4" s="190">
        <f>453400+504550*11</f>
        <v>6003450</v>
      </c>
      <c r="F4" s="190">
        <f>299660*10.5</f>
        <v>3146430</v>
      </c>
      <c r="G4" s="190">
        <f>286160*10.5+157143+164368</f>
        <v>3326191</v>
      </c>
      <c r="H4" s="190">
        <f>244400+2346680+732150</f>
        <v>3323230</v>
      </c>
      <c r="I4" s="190">
        <f>1350000+214750</f>
        <v>1564750</v>
      </c>
      <c r="J4" s="190">
        <v>97500</v>
      </c>
      <c r="K4" s="190">
        <f>43450*12</f>
        <v>521400</v>
      </c>
      <c r="L4" s="191">
        <f>SUM(B4:K4)</f>
        <v>20715919</v>
      </c>
      <c r="M4" s="192">
        <f>237600+269280*11</f>
        <v>3199680</v>
      </c>
      <c r="N4" s="193"/>
      <c r="O4" s="193"/>
      <c r="P4" s="194">
        <f>SUM(M4:O4)</f>
        <v>3199680</v>
      </c>
      <c r="Q4" s="195"/>
      <c r="R4" s="196"/>
      <c r="S4" s="196"/>
      <c r="T4" s="197">
        <f>SUM(Q4:S4)</f>
        <v>0</v>
      </c>
      <c r="U4" s="198"/>
      <c r="V4" s="199">
        <v>48039</v>
      </c>
      <c r="W4" s="200">
        <f>1350000+214750</f>
        <v>1564750</v>
      </c>
      <c r="X4" s="200">
        <f>240000*12</f>
        <v>2880000</v>
      </c>
      <c r="Y4" s="200">
        <f>70000+74500*11</f>
        <v>889500</v>
      </c>
      <c r="Z4" s="200">
        <f>370000*12</f>
        <v>4440000</v>
      </c>
      <c r="AA4" s="200"/>
      <c r="AB4" s="201">
        <f t="shared" ref="AB4:AB11" si="0">SUM(V4:AA4)</f>
        <v>9822289</v>
      </c>
      <c r="AC4" s="202"/>
      <c r="AD4" s="203"/>
      <c r="AE4" s="204"/>
      <c r="AF4" s="205">
        <f t="shared" ref="AF4:AF17" si="1">L4+P4+AC4+AD4+AE4+AB4+T4+U4</f>
        <v>33737888</v>
      </c>
      <c r="AG4" s="206">
        <v>29109515</v>
      </c>
      <c r="AJ4" s="1053"/>
      <c r="AK4" s="468"/>
    </row>
    <row r="5" spans="1:37">
      <c r="A5" s="207" t="s">
        <v>305</v>
      </c>
      <c r="B5" s="189">
        <v>129443</v>
      </c>
      <c r="C5" s="190">
        <v>129442</v>
      </c>
      <c r="D5" s="190"/>
      <c r="E5" s="190">
        <v>600345</v>
      </c>
      <c r="F5" s="190">
        <v>314643</v>
      </c>
      <c r="G5" s="190">
        <v>332619</v>
      </c>
      <c r="H5" s="190">
        <v>332323</v>
      </c>
      <c r="I5" s="190">
        <v>171475</v>
      </c>
      <c r="J5" s="190"/>
      <c r="K5" s="190">
        <v>52140</v>
      </c>
      <c r="L5" s="208">
        <f t="shared" ref="L5:L12" si="2">SUM(B5:K5)</f>
        <v>2062430</v>
      </c>
      <c r="M5" s="209">
        <v>319968</v>
      </c>
      <c r="N5" s="210"/>
      <c r="O5" s="210">
        <v>323890</v>
      </c>
      <c r="P5" s="211">
        <f>SUM(M5:O5)</f>
        <v>643858</v>
      </c>
      <c r="Q5" s="212"/>
      <c r="R5" s="213"/>
      <c r="S5" s="213"/>
      <c r="T5" s="214">
        <f>SUM(Q5:S5)</f>
        <v>0</v>
      </c>
      <c r="U5" s="215"/>
      <c r="V5" s="216"/>
      <c r="W5" s="217">
        <v>171475</v>
      </c>
      <c r="X5" s="217">
        <v>288000</v>
      </c>
      <c r="Y5" s="217">
        <v>88950</v>
      </c>
      <c r="Z5" s="217">
        <v>444000</v>
      </c>
      <c r="AA5" s="217"/>
      <c r="AB5" s="218">
        <f t="shared" si="0"/>
        <v>992425</v>
      </c>
      <c r="AC5" s="219"/>
      <c r="AD5" s="203"/>
      <c r="AE5" s="204"/>
      <c r="AF5" s="220">
        <f t="shared" si="1"/>
        <v>3698713</v>
      </c>
      <c r="AG5" s="206">
        <v>3616903</v>
      </c>
      <c r="AJ5" s="1053"/>
      <c r="AK5" s="468"/>
    </row>
    <row r="6" spans="1:37" ht="30">
      <c r="A6" s="221" t="s">
        <v>306</v>
      </c>
      <c r="B6" s="222"/>
      <c r="C6" s="223"/>
      <c r="D6" s="223"/>
      <c r="E6" s="223"/>
      <c r="F6" s="223"/>
      <c r="G6" s="223"/>
      <c r="H6" s="223"/>
      <c r="I6" s="223"/>
      <c r="J6" s="223"/>
      <c r="K6" s="223"/>
      <c r="L6" s="224">
        <f t="shared" si="2"/>
        <v>0</v>
      </c>
      <c r="M6" s="225"/>
      <c r="N6" s="226"/>
      <c r="O6" s="226"/>
      <c r="P6" s="211">
        <f>SUM(M6:O6)</f>
        <v>0</v>
      </c>
      <c r="Q6" s="227"/>
      <c r="R6" s="228"/>
      <c r="S6" s="228"/>
      <c r="T6" s="214">
        <f>SUM(Q6:S6)</f>
        <v>0</v>
      </c>
      <c r="U6" s="215"/>
      <c r="V6" s="229"/>
      <c r="W6" s="230"/>
      <c r="X6" s="230"/>
      <c r="Y6" s="230"/>
      <c r="Z6" s="230"/>
      <c r="AA6" s="230"/>
      <c r="AB6" s="218">
        <f t="shared" si="0"/>
        <v>0</v>
      </c>
      <c r="AC6" s="219"/>
      <c r="AD6" s="231"/>
      <c r="AE6" s="220"/>
      <c r="AF6" s="220">
        <f t="shared" si="1"/>
        <v>0</v>
      </c>
      <c r="AG6" s="206">
        <v>74345</v>
      </c>
      <c r="AJ6" s="1053"/>
      <c r="AK6" s="468"/>
    </row>
    <row r="7" spans="1:37">
      <c r="A7" s="221" t="s">
        <v>307</v>
      </c>
      <c r="B7" s="222"/>
      <c r="C7" s="223"/>
      <c r="D7" s="223"/>
      <c r="E7" s="223"/>
      <c r="F7" s="223"/>
      <c r="G7" s="223"/>
      <c r="H7" s="223"/>
      <c r="I7" s="223"/>
      <c r="J7" s="223"/>
      <c r="K7" s="223"/>
      <c r="L7" s="208">
        <f t="shared" si="2"/>
        <v>0</v>
      </c>
      <c r="M7" s="225"/>
      <c r="N7" s="226"/>
      <c r="O7" s="226"/>
      <c r="P7" s="211">
        <f>SUM(M7:O7)</f>
        <v>0</v>
      </c>
      <c r="Q7" s="227"/>
      <c r="R7" s="228"/>
      <c r="S7" s="228"/>
      <c r="T7" s="214">
        <f>SUM(Q7:S7)</f>
        <v>0</v>
      </c>
      <c r="U7" s="215"/>
      <c r="V7" s="229"/>
      <c r="W7" s="230"/>
      <c r="X7" s="230"/>
      <c r="Y7" s="230"/>
      <c r="Z7" s="230"/>
      <c r="AA7" s="230"/>
      <c r="AB7" s="218">
        <f t="shared" si="0"/>
        <v>0</v>
      </c>
      <c r="AC7" s="219"/>
      <c r="AD7" s="231"/>
      <c r="AE7" s="220"/>
      <c r="AF7" s="220">
        <f t="shared" si="1"/>
        <v>0</v>
      </c>
      <c r="AG7" s="206"/>
      <c r="AJ7" s="1053"/>
      <c r="AK7" s="468"/>
    </row>
    <row r="8" spans="1:37">
      <c r="A8" s="221" t="s">
        <v>308</v>
      </c>
      <c r="B8" s="222">
        <v>75000</v>
      </c>
      <c r="C8" s="223">
        <v>75000</v>
      </c>
      <c r="D8" s="223"/>
      <c r="E8" s="223">
        <v>150000</v>
      </c>
      <c r="F8" s="223">
        <v>150000</v>
      </c>
      <c r="G8" s="223">
        <v>150000</v>
      </c>
      <c r="H8" s="223">
        <v>150000</v>
      </c>
      <c r="I8" s="223">
        <v>75000</v>
      </c>
      <c r="J8" s="223"/>
      <c r="K8" s="223">
        <v>75000</v>
      </c>
      <c r="L8" s="208">
        <f t="shared" si="2"/>
        <v>900000</v>
      </c>
      <c r="M8" s="225">
        <v>150000</v>
      </c>
      <c r="N8" s="226"/>
      <c r="O8" s="226"/>
      <c r="P8" s="211">
        <f>SUM(M8:O8)</f>
        <v>150000</v>
      </c>
      <c r="Q8" s="227"/>
      <c r="R8" s="228"/>
      <c r="S8" s="228"/>
      <c r="T8" s="214">
        <f>SUM(Q8:S8)</f>
        <v>0</v>
      </c>
      <c r="U8" s="215"/>
      <c r="V8" s="229"/>
      <c r="W8" s="230">
        <v>75000</v>
      </c>
      <c r="X8" s="230">
        <v>150000</v>
      </c>
      <c r="Y8" s="230">
        <v>75000</v>
      </c>
      <c r="Z8" s="230">
        <v>150000</v>
      </c>
      <c r="AA8" s="230"/>
      <c r="AB8" s="218">
        <f t="shared" si="0"/>
        <v>450000</v>
      </c>
      <c r="AC8" s="219"/>
      <c r="AD8" s="231"/>
      <c r="AE8" s="220"/>
      <c r="AF8" s="220">
        <f t="shared" si="1"/>
        <v>1500000</v>
      </c>
      <c r="AG8" s="206">
        <v>1331576</v>
      </c>
      <c r="AJ8" s="1053"/>
      <c r="AK8" s="468"/>
    </row>
    <row r="9" spans="1:37">
      <c r="A9" s="221" t="s">
        <v>309</v>
      </c>
      <c r="B9" s="222"/>
      <c r="C9" s="223"/>
      <c r="D9" s="223"/>
      <c r="E9" s="223"/>
      <c r="F9" s="223"/>
      <c r="G9" s="223"/>
      <c r="H9" s="223"/>
      <c r="I9" s="223"/>
      <c r="J9" s="223"/>
      <c r="K9" s="223"/>
      <c r="L9" s="208">
        <f t="shared" si="2"/>
        <v>0</v>
      </c>
      <c r="M9" s="225"/>
      <c r="N9" s="226"/>
      <c r="O9" s="226"/>
      <c r="P9" s="211"/>
      <c r="Q9" s="227"/>
      <c r="R9" s="228"/>
      <c r="S9" s="228"/>
      <c r="T9" s="214"/>
      <c r="U9" s="215"/>
      <c r="V9" s="229"/>
      <c r="W9" s="230"/>
      <c r="X9" s="230"/>
      <c r="Y9" s="230"/>
      <c r="Z9" s="230"/>
      <c r="AA9" s="230"/>
      <c r="AB9" s="218">
        <f t="shared" si="0"/>
        <v>0</v>
      </c>
      <c r="AC9" s="219"/>
      <c r="AD9" s="231"/>
      <c r="AE9" s="220"/>
      <c r="AF9" s="220">
        <f t="shared" si="1"/>
        <v>0</v>
      </c>
      <c r="AG9" s="206"/>
      <c r="AJ9" s="1053"/>
      <c r="AK9" s="468"/>
    </row>
    <row r="10" spans="1:37">
      <c r="A10" s="221" t="s">
        <v>310</v>
      </c>
      <c r="B10" s="222"/>
      <c r="C10" s="223"/>
      <c r="D10" s="223">
        <v>6180</v>
      </c>
      <c r="E10" s="223">
        <f>17800*12</f>
        <v>213600</v>
      </c>
      <c r="F10" s="223">
        <f>5110*12</f>
        <v>61320</v>
      </c>
      <c r="G10" s="223">
        <f>5110*12</f>
        <v>61320</v>
      </c>
      <c r="H10" s="223">
        <f>10235*12</f>
        <v>122820</v>
      </c>
      <c r="I10" s="223">
        <f>8240</f>
        <v>8240</v>
      </c>
      <c r="J10" s="223"/>
      <c r="K10" s="223"/>
      <c r="L10" s="208">
        <f t="shared" si="2"/>
        <v>473480</v>
      </c>
      <c r="M10" s="225"/>
      <c r="N10" s="226"/>
      <c r="O10" s="226"/>
      <c r="P10" s="211">
        <f>SUM(M10:O10)</f>
        <v>0</v>
      </c>
      <c r="Q10" s="227"/>
      <c r="R10" s="228"/>
      <c r="S10" s="228"/>
      <c r="T10" s="214">
        <f>SUM(Q10:S10)</f>
        <v>0</v>
      </c>
      <c r="U10" s="215"/>
      <c r="V10" s="229">
        <v>2060</v>
      </c>
      <c r="W10" s="230">
        <v>8240</v>
      </c>
      <c r="X10" s="230"/>
      <c r="Y10" s="230"/>
      <c r="Z10" s="230"/>
      <c r="AA10" s="230"/>
      <c r="AB10" s="218">
        <f t="shared" si="0"/>
        <v>10300</v>
      </c>
      <c r="AC10" s="219"/>
      <c r="AD10" s="231"/>
      <c r="AE10" s="220"/>
      <c r="AF10" s="220">
        <f t="shared" si="1"/>
        <v>483780</v>
      </c>
      <c r="AG10" s="206">
        <v>874415</v>
      </c>
      <c r="AJ10" s="1053"/>
      <c r="AK10" s="468"/>
    </row>
    <row r="11" spans="1:37" ht="30">
      <c r="A11" s="221" t="s">
        <v>311</v>
      </c>
      <c r="B11" s="222">
        <v>6000</v>
      </c>
      <c r="C11" s="223">
        <v>6000</v>
      </c>
      <c r="D11" s="223"/>
      <c r="E11" s="223">
        <v>12000</v>
      </c>
      <c r="F11" s="223">
        <v>12000</v>
      </c>
      <c r="G11" s="223">
        <v>12000</v>
      </c>
      <c r="H11" s="223">
        <v>12000</v>
      </c>
      <c r="I11" s="223">
        <v>6000</v>
      </c>
      <c r="J11" s="223"/>
      <c r="K11" s="223"/>
      <c r="L11" s="208">
        <f t="shared" si="2"/>
        <v>66000</v>
      </c>
      <c r="M11" s="225">
        <v>12000</v>
      </c>
      <c r="N11" s="226"/>
      <c r="O11" s="226"/>
      <c r="P11" s="211">
        <f>SUM(M11:O11)</f>
        <v>12000</v>
      </c>
      <c r="Q11" s="227"/>
      <c r="R11" s="228"/>
      <c r="S11" s="228"/>
      <c r="T11" s="214"/>
      <c r="U11" s="215"/>
      <c r="V11" s="229"/>
      <c r="W11" s="230"/>
      <c r="X11" s="230"/>
      <c r="Y11" s="230"/>
      <c r="Z11" s="230"/>
      <c r="AA11" s="230"/>
      <c r="AB11" s="218">
        <f t="shared" si="0"/>
        <v>0</v>
      </c>
      <c r="AC11" s="219"/>
      <c r="AD11" s="231"/>
      <c r="AE11" s="220"/>
      <c r="AF11" s="220">
        <f t="shared" si="1"/>
        <v>78000</v>
      </c>
      <c r="AG11" s="206">
        <v>73255</v>
      </c>
      <c r="AJ11" s="1053"/>
      <c r="AK11" s="468"/>
    </row>
    <row r="12" spans="1:37" ht="30.75" thickBot="1">
      <c r="A12" s="232" t="s">
        <v>312</v>
      </c>
      <c r="B12" s="233"/>
      <c r="C12" s="234"/>
      <c r="D12" s="234"/>
      <c r="E12" s="234"/>
      <c r="F12" s="234"/>
      <c r="G12" s="234"/>
      <c r="H12" s="234"/>
      <c r="I12" s="234"/>
      <c r="J12" s="234"/>
      <c r="K12" s="234">
        <v>200000</v>
      </c>
      <c r="L12" s="235">
        <f t="shared" si="2"/>
        <v>200000</v>
      </c>
      <c r="M12" s="236"/>
      <c r="N12" s="237"/>
      <c r="O12" s="237"/>
      <c r="P12" s="238">
        <f t="shared" ref="P12:P38" si="3">SUM(M12:O12)</f>
        <v>0</v>
      </c>
      <c r="Q12" s="239"/>
      <c r="R12" s="240"/>
      <c r="S12" s="240"/>
      <c r="T12" s="241">
        <f t="shared" ref="T12:T38" si="4">SUM(Q12:S12)</f>
        <v>0</v>
      </c>
      <c r="U12" s="242"/>
      <c r="V12" s="243"/>
      <c r="W12" s="244"/>
      <c r="X12" s="244"/>
      <c r="Y12" s="244"/>
      <c r="Z12" s="244"/>
      <c r="AA12" s="244">
        <v>50000</v>
      </c>
      <c r="AB12" s="245">
        <f t="shared" ref="AB12:AB38" si="5">SUM(V12:AA12)</f>
        <v>50000</v>
      </c>
      <c r="AC12" s="246"/>
      <c r="AD12" s="247"/>
      <c r="AE12" s="248"/>
      <c r="AF12" s="249">
        <f t="shared" si="1"/>
        <v>250000</v>
      </c>
      <c r="AG12" s="206">
        <v>566031</v>
      </c>
      <c r="AJ12" s="1053"/>
      <c r="AK12" s="468"/>
    </row>
    <row r="13" spans="1:37" ht="16.5" thickBot="1">
      <c r="A13" s="250" t="s">
        <v>313</v>
      </c>
      <c r="B13" s="251">
        <f t="shared" ref="B13:O13" si="6">SUM(B4:B12)</f>
        <v>1504868</v>
      </c>
      <c r="C13" s="252">
        <f t="shared" si="6"/>
        <v>1504867</v>
      </c>
      <c r="D13" s="252">
        <f t="shared" si="6"/>
        <v>150298</v>
      </c>
      <c r="E13" s="252">
        <f t="shared" si="6"/>
        <v>6979395</v>
      </c>
      <c r="F13" s="252">
        <f t="shared" si="6"/>
        <v>3684393</v>
      </c>
      <c r="G13" s="252">
        <f t="shared" si="6"/>
        <v>3882130</v>
      </c>
      <c r="H13" s="252">
        <f t="shared" si="6"/>
        <v>3940373</v>
      </c>
      <c r="I13" s="252">
        <f t="shared" si="6"/>
        <v>1825465</v>
      </c>
      <c r="J13" s="252">
        <f t="shared" si="6"/>
        <v>97500</v>
      </c>
      <c r="K13" s="252">
        <f t="shared" si="6"/>
        <v>848540</v>
      </c>
      <c r="L13" s="253">
        <f>SUM(L4:L12)</f>
        <v>24417829</v>
      </c>
      <c r="M13" s="254">
        <f t="shared" si="6"/>
        <v>3681648</v>
      </c>
      <c r="N13" s="255">
        <f t="shared" si="6"/>
        <v>0</v>
      </c>
      <c r="O13" s="255">
        <f t="shared" si="6"/>
        <v>323890</v>
      </c>
      <c r="P13" s="256">
        <f t="shared" si="3"/>
        <v>4005538</v>
      </c>
      <c r="Q13" s="257">
        <f>SUM(Q4:Q12)</f>
        <v>0</v>
      </c>
      <c r="R13" s="258">
        <f>SUM(R4:R12)</f>
        <v>0</v>
      </c>
      <c r="S13" s="258">
        <f>SUM(S4:S12)</f>
        <v>0</v>
      </c>
      <c r="T13" s="259">
        <f t="shared" si="4"/>
        <v>0</v>
      </c>
      <c r="U13" s="260">
        <f t="shared" ref="U13:AA13" si="7">SUM(U4:U12)</f>
        <v>0</v>
      </c>
      <c r="V13" s="261">
        <f t="shared" si="7"/>
        <v>50099</v>
      </c>
      <c r="W13" s="262">
        <f t="shared" si="7"/>
        <v>1819465</v>
      </c>
      <c r="X13" s="262">
        <f t="shared" si="7"/>
        <v>3318000</v>
      </c>
      <c r="Y13" s="262">
        <f t="shared" si="7"/>
        <v>1053450</v>
      </c>
      <c r="Z13" s="262">
        <f t="shared" si="7"/>
        <v>5034000</v>
      </c>
      <c r="AA13" s="262">
        <f t="shared" si="7"/>
        <v>50000</v>
      </c>
      <c r="AB13" s="263">
        <f t="shared" si="5"/>
        <v>11325014</v>
      </c>
      <c r="AC13" s="264">
        <f>SUM(AC4:AC12)</f>
        <v>0</v>
      </c>
      <c r="AD13" s="265">
        <f>SUM(AD4:AD12)</f>
        <v>0</v>
      </c>
      <c r="AE13" s="266">
        <f>SUM(AE4:AE12)</f>
        <v>0</v>
      </c>
      <c r="AF13" s="205">
        <f t="shared" si="1"/>
        <v>39748381</v>
      </c>
      <c r="AG13" s="206"/>
      <c r="AJ13" s="1053"/>
      <c r="AK13" s="468"/>
    </row>
    <row r="14" spans="1:37">
      <c r="A14" s="267" t="s">
        <v>314</v>
      </c>
      <c r="B14" s="268"/>
      <c r="C14" s="269"/>
      <c r="D14" s="270"/>
      <c r="E14" s="270"/>
      <c r="F14" s="270"/>
      <c r="G14" s="270"/>
      <c r="H14" s="270"/>
      <c r="I14" s="269"/>
      <c r="J14" s="269"/>
      <c r="K14" s="269"/>
      <c r="L14" s="208">
        <f>SUM(B14:K14)</f>
        <v>0</v>
      </c>
      <c r="M14" s="236"/>
      <c r="N14" s="237"/>
      <c r="O14" s="237"/>
      <c r="P14" s="194">
        <f t="shared" si="3"/>
        <v>0</v>
      </c>
      <c r="Q14" s="239"/>
      <c r="R14" s="240"/>
      <c r="S14" s="240"/>
      <c r="T14" s="197">
        <f t="shared" si="4"/>
        <v>0</v>
      </c>
      <c r="U14" s="198"/>
      <c r="V14" s="243"/>
      <c r="W14" s="244"/>
      <c r="X14" s="244"/>
      <c r="Y14" s="244"/>
      <c r="Z14" s="244"/>
      <c r="AA14" s="244"/>
      <c r="AB14" s="201">
        <f t="shared" si="5"/>
        <v>0</v>
      </c>
      <c r="AC14" s="202"/>
      <c r="AD14" s="271"/>
      <c r="AE14" s="272"/>
      <c r="AF14" s="205">
        <f t="shared" si="1"/>
        <v>0</v>
      </c>
      <c r="AG14" s="206"/>
      <c r="AJ14" s="1053"/>
      <c r="AK14" s="468"/>
    </row>
    <row r="15" spans="1:37" ht="45">
      <c r="A15" s="232" t="s">
        <v>315</v>
      </c>
      <c r="B15" s="268">
        <v>100000</v>
      </c>
      <c r="C15" s="269"/>
      <c r="D15" s="270">
        <v>745680</v>
      </c>
      <c r="E15" s="269"/>
      <c r="F15" s="269"/>
      <c r="G15" s="269"/>
      <c r="H15" s="269"/>
      <c r="I15" s="269"/>
      <c r="J15" s="270">
        <f>330000*4</f>
        <v>1320000</v>
      </c>
      <c r="K15" s="270">
        <v>554320</v>
      </c>
      <c r="L15" s="208">
        <f>SUM(B15:K15)</f>
        <v>2720000</v>
      </c>
      <c r="M15" s="225"/>
      <c r="N15" s="226">
        <v>300000</v>
      </c>
      <c r="O15" s="226"/>
      <c r="P15" s="211">
        <f t="shared" si="3"/>
        <v>300000</v>
      </c>
      <c r="Q15" s="239"/>
      <c r="R15" s="240"/>
      <c r="S15" s="240"/>
      <c r="T15" s="214">
        <f t="shared" si="4"/>
        <v>0</v>
      </c>
      <c r="U15" s="215"/>
      <c r="V15" s="243"/>
      <c r="W15" s="244"/>
      <c r="X15" s="244"/>
      <c r="Y15" s="244"/>
      <c r="Z15" s="244"/>
      <c r="AA15" s="244"/>
      <c r="AB15" s="218">
        <f t="shared" si="5"/>
        <v>0</v>
      </c>
      <c r="AC15" s="219"/>
      <c r="AD15" s="247"/>
      <c r="AE15" s="248"/>
      <c r="AF15" s="220">
        <f t="shared" si="1"/>
        <v>3020000</v>
      </c>
      <c r="AG15" s="206">
        <v>6417515</v>
      </c>
      <c r="AJ15" s="1053"/>
      <c r="AK15" s="468"/>
    </row>
    <row r="16" spans="1:37" ht="30.75" thickBot="1">
      <c r="A16" s="232" t="s">
        <v>316</v>
      </c>
      <c r="B16" s="233"/>
      <c r="C16" s="234"/>
      <c r="D16" s="234"/>
      <c r="E16" s="234"/>
      <c r="F16" s="234"/>
      <c r="G16" s="234"/>
      <c r="H16" s="234"/>
      <c r="I16" s="234"/>
      <c r="J16" s="234"/>
      <c r="K16" s="234"/>
      <c r="L16" s="208">
        <f>SUM(B16:K16)</f>
        <v>0</v>
      </c>
      <c r="M16" s="273"/>
      <c r="N16" s="274"/>
      <c r="O16" s="274"/>
      <c r="P16" s="238">
        <f t="shared" si="3"/>
        <v>0</v>
      </c>
      <c r="Q16" s="275"/>
      <c r="R16" s="276"/>
      <c r="S16" s="276"/>
      <c r="T16" s="241">
        <f t="shared" si="4"/>
        <v>0</v>
      </c>
      <c r="U16" s="242"/>
      <c r="V16" s="277"/>
      <c r="W16" s="278"/>
      <c r="X16" s="278"/>
      <c r="Y16" s="278"/>
      <c r="Z16" s="278"/>
      <c r="AA16" s="278"/>
      <c r="AB16" s="245">
        <f t="shared" si="5"/>
        <v>0</v>
      </c>
      <c r="AC16" s="246"/>
      <c r="AD16" s="247"/>
      <c r="AE16" s="248"/>
      <c r="AF16" s="249">
        <f t="shared" si="1"/>
        <v>0</v>
      </c>
      <c r="AG16" s="206">
        <v>362636</v>
      </c>
      <c r="AJ16" s="1053"/>
      <c r="AK16" s="468"/>
    </row>
    <row r="17" spans="1:37" ht="16.5" thickBot="1">
      <c r="A17" s="250" t="s">
        <v>317</v>
      </c>
      <c r="B17" s="251">
        <f t="shared" ref="B17:J17" si="8">SUM(B16:B16)</f>
        <v>0</v>
      </c>
      <c r="C17" s="252">
        <f t="shared" si="8"/>
        <v>0</v>
      </c>
      <c r="D17" s="252">
        <f t="shared" si="8"/>
        <v>0</v>
      </c>
      <c r="E17" s="252">
        <f t="shared" si="8"/>
        <v>0</v>
      </c>
      <c r="F17" s="252">
        <f t="shared" si="8"/>
        <v>0</v>
      </c>
      <c r="G17" s="252">
        <f t="shared" si="8"/>
        <v>0</v>
      </c>
      <c r="H17" s="252">
        <f t="shared" si="8"/>
        <v>0</v>
      </c>
      <c r="I17" s="252">
        <f t="shared" si="8"/>
        <v>0</v>
      </c>
      <c r="J17" s="252">
        <f t="shared" si="8"/>
        <v>0</v>
      </c>
      <c r="K17" s="252">
        <f>SUM(K16:K16)</f>
        <v>0</v>
      </c>
      <c r="L17" s="253">
        <f>SUM(L14:L16)</f>
        <v>2720000</v>
      </c>
      <c r="M17" s="254">
        <f>SUM(M14:M16)</f>
        <v>0</v>
      </c>
      <c r="N17" s="255">
        <f>SUM(N14:N16)</f>
        <v>300000</v>
      </c>
      <c r="O17" s="255">
        <f>SUM(O14:O16)</f>
        <v>0</v>
      </c>
      <c r="P17" s="256">
        <f t="shared" si="3"/>
        <v>300000</v>
      </c>
      <c r="Q17" s="257">
        <f>SUM(Q14:Q16)</f>
        <v>0</v>
      </c>
      <c r="R17" s="258">
        <f>SUM(R14:R16)</f>
        <v>0</v>
      </c>
      <c r="S17" s="258">
        <f>SUM(S14:S16)</f>
        <v>0</v>
      </c>
      <c r="T17" s="259">
        <f t="shared" si="4"/>
        <v>0</v>
      </c>
      <c r="U17" s="260">
        <f t="shared" ref="U17:AA17" si="9">SUM(U14:U16)</f>
        <v>0</v>
      </c>
      <c r="V17" s="261">
        <f t="shared" si="9"/>
        <v>0</v>
      </c>
      <c r="W17" s="262">
        <f t="shared" si="9"/>
        <v>0</v>
      </c>
      <c r="X17" s="262">
        <f t="shared" si="9"/>
        <v>0</v>
      </c>
      <c r="Y17" s="262">
        <f t="shared" si="9"/>
        <v>0</v>
      </c>
      <c r="Z17" s="262">
        <f t="shared" si="9"/>
        <v>0</v>
      </c>
      <c r="AA17" s="262">
        <f t="shared" si="9"/>
        <v>0</v>
      </c>
      <c r="AB17" s="263">
        <f t="shared" si="5"/>
        <v>0</v>
      </c>
      <c r="AC17" s="264">
        <f>SUM(AC14:AC16)</f>
        <v>0</v>
      </c>
      <c r="AD17" s="265">
        <f>SUM(AD14:AD16)</f>
        <v>0</v>
      </c>
      <c r="AE17" s="266"/>
      <c r="AF17" s="205">
        <f t="shared" si="1"/>
        <v>3020000</v>
      </c>
      <c r="AG17" s="206"/>
      <c r="AJ17" s="1053"/>
      <c r="AK17" s="468"/>
    </row>
    <row r="18" spans="1:37" ht="16.5" thickBot="1">
      <c r="A18" s="279" t="s">
        <v>318</v>
      </c>
      <c r="B18" s="280">
        <f t="shared" ref="B18:O18" si="10">B13+B17</f>
        <v>1504868</v>
      </c>
      <c r="C18" s="281">
        <f t="shared" si="10"/>
        <v>1504867</v>
      </c>
      <c r="D18" s="281">
        <f t="shared" si="10"/>
        <v>150298</v>
      </c>
      <c r="E18" s="281">
        <f t="shared" si="10"/>
        <v>6979395</v>
      </c>
      <c r="F18" s="281">
        <f t="shared" si="10"/>
        <v>3684393</v>
      </c>
      <c r="G18" s="281">
        <f t="shared" si="10"/>
        <v>3882130</v>
      </c>
      <c r="H18" s="281">
        <f t="shared" si="10"/>
        <v>3940373</v>
      </c>
      <c r="I18" s="281">
        <f t="shared" si="10"/>
        <v>1825465</v>
      </c>
      <c r="J18" s="281">
        <f t="shared" si="10"/>
        <v>97500</v>
      </c>
      <c r="K18" s="281">
        <f t="shared" si="10"/>
        <v>848540</v>
      </c>
      <c r="L18" s="282">
        <f t="shared" si="10"/>
        <v>27137829</v>
      </c>
      <c r="M18" s="283">
        <f t="shared" si="10"/>
        <v>3681648</v>
      </c>
      <c r="N18" s="284">
        <f t="shared" si="10"/>
        <v>300000</v>
      </c>
      <c r="O18" s="284">
        <f t="shared" si="10"/>
        <v>323890</v>
      </c>
      <c r="P18" s="285">
        <f t="shared" si="3"/>
        <v>4305538</v>
      </c>
      <c r="Q18" s="286">
        <f>Q13+Q17</f>
        <v>0</v>
      </c>
      <c r="R18" s="287">
        <f>R13+R17</f>
        <v>0</v>
      </c>
      <c r="S18" s="287">
        <f>S13+S17</f>
        <v>0</v>
      </c>
      <c r="T18" s="288">
        <f t="shared" si="4"/>
        <v>0</v>
      </c>
      <c r="U18" s="289">
        <f t="shared" ref="U18:AA18" si="11">U13+U17</f>
        <v>0</v>
      </c>
      <c r="V18" s="290">
        <f t="shared" si="11"/>
        <v>50099</v>
      </c>
      <c r="W18" s="291">
        <f t="shared" si="11"/>
        <v>1819465</v>
      </c>
      <c r="X18" s="291">
        <f t="shared" si="11"/>
        <v>3318000</v>
      </c>
      <c r="Y18" s="291">
        <f t="shared" si="11"/>
        <v>1053450</v>
      </c>
      <c r="Z18" s="291">
        <f t="shared" si="11"/>
        <v>5034000</v>
      </c>
      <c r="AA18" s="291">
        <f t="shared" si="11"/>
        <v>50000</v>
      </c>
      <c r="AB18" s="292">
        <f t="shared" si="5"/>
        <v>11325014</v>
      </c>
      <c r="AC18" s="293">
        <f>AC13+AC17</f>
        <v>0</v>
      </c>
      <c r="AD18" s="294">
        <f>AD13+AD17</f>
        <v>0</v>
      </c>
      <c r="AE18" s="295">
        <f>AE13+AE17</f>
        <v>0</v>
      </c>
      <c r="AF18" s="296">
        <f>AF13+AF17</f>
        <v>42768381</v>
      </c>
      <c r="AG18" s="206"/>
      <c r="AH18" s="206">
        <f>SUM(AG4:AG16)</f>
        <v>42426191</v>
      </c>
      <c r="AI18" s="728">
        <f>AF18-AH18</f>
        <v>342190</v>
      </c>
      <c r="AJ18" s="1053">
        <v>44125480</v>
      </c>
      <c r="AK18" s="468">
        <f>AJ18-AH18</f>
        <v>1699289</v>
      </c>
    </row>
    <row r="19" spans="1:37">
      <c r="A19" s="188" t="s">
        <v>319</v>
      </c>
      <c r="B19" s="298">
        <f>(B4+B5+B15)*19.5%</f>
        <v>297154.26</v>
      </c>
      <c r="C19" s="299">
        <f>(C4+C5)*19.5%</f>
        <v>277654.065</v>
      </c>
      <c r="D19" s="299">
        <f>(D4+D5+D15)*19.5%</f>
        <v>173510.61000000002</v>
      </c>
      <c r="E19" s="299">
        <f>(E4+E5)*19.5%</f>
        <v>1287740.0250000001</v>
      </c>
      <c r="F19" s="299">
        <f>(F4+F5)*19.5%</f>
        <v>674909.23499999999</v>
      </c>
      <c r="G19" s="299">
        <f>(G4+G5)*19.5%</f>
        <v>713467.95000000007</v>
      </c>
      <c r="H19" s="299">
        <f>(H4+H5)*19.5%</f>
        <v>712832.83500000008</v>
      </c>
      <c r="I19" s="299">
        <f>(I4+I5)*19.5%</f>
        <v>338563.875</v>
      </c>
      <c r="J19" s="299">
        <f>(J4+J15)*19.5%</f>
        <v>276412.5</v>
      </c>
      <c r="K19" s="299">
        <f>(K4+K5+K12+K15)*19.5%</f>
        <v>258932.7</v>
      </c>
      <c r="L19" s="300">
        <f t="shared" ref="L19:L25" si="12">SUM(B19:K19)</f>
        <v>5011178.0550000006</v>
      </c>
      <c r="M19" s="192">
        <f>M4*19.5%</f>
        <v>623937.6</v>
      </c>
      <c r="N19" s="193">
        <f>N15*19.5%</f>
        <v>58500</v>
      </c>
      <c r="O19" s="193">
        <v>63159</v>
      </c>
      <c r="P19" s="194">
        <f t="shared" si="3"/>
        <v>745596.6</v>
      </c>
      <c r="Q19" s="195">
        <f>Q15*90%*19.5%</f>
        <v>0</v>
      </c>
      <c r="R19" s="196">
        <f>R15*90%*19.5%</f>
        <v>0</v>
      </c>
      <c r="S19" s="196">
        <f>S15*90%*19.5%</f>
        <v>0</v>
      </c>
      <c r="T19" s="197">
        <f t="shared" si="4"/>
        <v>0</v>
      </c>
      <c r="U19" s="198"/>
      <c r="V19" s="199">
        <f>(V4+V5)*19.5%</f>
        <v>9367.6049999999996</v>
      </c>
      <c r="W19" s="200">
        <f>(W4+W5)*19.5%</f>
        <v>338563.875</v>
      </c>
      <c r="X19" s="200">
        <f>(X4+X5)*19.5%</f>
        <v>617760</v>
      </c>
      <c r="Y19" s="200">
        <f>(Y4+Y5)*19.5%</f>
        <v>190797.75</v>
      </c>
      <c r="Z19" s="200">
        <f>(Z4+Z5)*19.5%</f>
        <v>952380</v>
      </c>
      <c r="AA19" s="200">
        <f>AA12*19.5%</f>
        <v>9750</v>
      </c>
      <c r="AB19" s="201">
        <f t="shared" si="5"/>
        <v>2118619.23</v>
      </c>
      <c r="AC19" s="202"/>
      <c r="AD19" s="301"/>
      <c r="AE19" s="302"/>
      <c r="AF19" s="205">
        <f>L19+P19+U19+AC19+AD19+AE19+AB19+T19</f>
        <v>7875393.8849999998</v>
      </c>
      <c r="AG19" s="206"/>
      <c r="AJ19" s="1053"/>
      <c r="AK19" s="468"/>
    </row>
    <row r="20" spans="1:37">
      <c r="A20" s="207" t="s">
        <v>320</v>
      </c>
      <c r="B20" s="189"/>
      <c r="C20" s="190"/>
      <c r="D20" s="190"/>
      <c r="E20" s="190"/>
      <c r="F20" s="190"/>
      <c r="G20" s="190"/>
      <c r="H20" s="190"/>
      <c r="I20" s="190"/>
      <c r="J20" s="190"/>
      <c r="K20" s="190"/>
      <c r="L20" s="208">
        <f t="shared" si="12"/>
        <v>0</v>
      </c>
      <c r="M20" s="209"/>
      <c r="N20" s="210"/>
      <c r="O20" s="210"/>
      <c r="P20" s="211">
        <f t="shared" si="3"/>
        <v>0</v>
      </c>
      <c r="Q20" s="212"/>
      <c r="R20" s="213"/>
      <c r="S20" s="213"/>
      <c r="T20" s="214">
        <f t="shared" si="4"/>
        <v>0</v>
      </c>
      <c r="U20" s="215"/>
      <c r="V20" s="216"/>
      <c r="W20" s="217"/>
      <c r="X20" s="217"/>
      <c r="Y20" s="217"/>
      <c r="Z20" s="217"/>
      <c r="AA20" s="217"/>
      <c r="AB20" s="218">
        <f t="shared" si="5"/>
        <v>0</v>
      </c>
      <c r="AC20" s="219"/>
      <c r="AD20" s="203"/>
      <c r="AE20" s="303"/>
      <c r="AF20" s="220">
        <f t="shared" ref="AF20:AF25" si="13">L20+P20+U20+AC20+AD20+AE20+AB20+T20</f>
        <v>0</v>
      </c>
      <c r="AG20" s="206"/>
      <c r="AJ20" s="1053"/>
      <c r="AK20" s="468"/>
    </row>
    <row r="21" spans="1:37">
      <c r="A21" s="207" t="s">
        <v>321</v>
      </c>
      <c r="B21" s="189"/>
      <c r="C21" s="190"/>
      <c r="D21" s="190"/>
      <c r="E21" s="190"/>
      <c r="F21" s="190"/>
      <c r="G21" s="190"/>
      <c r="H21" s="190"/>
      <c r="I21" s="190"/>
      <c r="J21" s="190"/>
      <c r="K21" s="190"/>
      <c r="L21" s="224">
        <f t="shared" si="12"/>
        <v>0</v>
      </c>
      <c r="M21" s="209"/>
      <c r="N21" s="210"/>
      <c r="O21" s="210"/>
      <c r="P21" s="211">
        <f t="shared" si="3"/>
        <v>0</v>
      </c>
      <c r="Q21" s="212"/>
      <c r="R21" s="213"/>
      <c r="S21" s="213"/>
      <c r="T21" s="214">
        <f t="shared" si="4"/>
        <v>0</v>
      </c>
      <c r="U21" s="215"/>
      <c r="V21" s="216"/>
      <c r="W21" s="217"/>
      <c r="X21" s="217"/>
      <c r="Y21" s="217"/>
      <c r="Z21" s="217"/>
      <c r="AA21" s="217"/>
      <c r="AB21" s="218">
        <f t="shared" si="5"/>
        <v>0</v>
      </c>
      <c r="AC21" s="219"/>
      <c r="AD21" s="203"/>
      <c r="AE21" s="303"/>
      <c r="AF21" s="220">
        <f t="shared" si="13"/>
        <v>0</v>
      </c>
      <c r="AG21" s="206"/>
      <c r="AJ21" s="1053"/>
      <c r="AK21" s="468"/>
    </row>
    <row r="22" spans="1:37" ht="30">
      <c r="A22" s="221" t="s">
        <v>322</v>
      </c>
      <c r="B22" s="222">
        <v>12500</v>
      </c>
      <c r="C22" s="223">
        <v>12500</v>
      </c>
      <c r="D22" s="223"/>
      <c r="E22" s="223">
        <v>25000</v>
      </c>
      <c r="F22" s="223">
        <v>25000</v>
      </c>
      <c r="G22" s="223">
        <v>25000</v>
      </c>
      <c r="H22" s="223">
        <v>25000</v>
      </c>
      <c r="I22" s="223">
        <v>25000</v>
      </c>
      <c r="J22" s="223"/>
      <c r="K22" s="223">
        <v>12500</v>
      </c>
      <c r="L22" s="208">
        <f t="shared" si="12"/>
        <v>162500</v>
      </c>
      <c r="M22" s="225">
        <v>25000</v>
      </c>
      <c r="N22" s="226"/>
      <c r="O22" s="226"/>
      <c r="P22" s="211">
        <f t="shared" si="3"/>
        <v>25000</v>
      </c>
      <c r="Q22" s="227"/>
      <c r="R22" s="228"/>
      <c r="S22" s="228"/>
      <c r="T22" s="214">
        <f t="shared" si="4"/>
        <v>0</v>
      </c>
      <c r="U22" s="215"/>
      <c r="V22" s="229"/>
      <c r="W22" s="230">
        <v>12500</v>
      </c>
      <c r="X22" s="230">
        <v>25000</v>
      </c>
      <c r="Y22" s="230">
        <v>12500</v>
      </c>
      <c r="Z22" s="230">
        <v>25000</v>
      </c>
      <c r="AA22" s="230"/>
      <c r="AB22" s="218">
        <f t="shared" si="5"/>
        <v>75000</v>
      </c>
      <c r="AC22" s="219"/>
      <c r="AD22" s="231"/>
      <c r="AE22" s="304"/>
      <c r="AF22" s="220">
        <f t="shared" si="13"/>
        <v>262500</v>
      </c>
      <c r="AG22" s="206"/>
      <c r="AJ22" s="1053"/>
      <c r="AK22" s="468"/>
    </row>
    <row r="23" spans="1:37">
      <c r="A23" s="221" t="s">
        <v>323</v>
      </c>
      <c r="B23" s="222"/>
      <c r="C23" s="223"/>
      <c r="D23" s="223"/>
      <c r="E23" s="223"/>
      <c r="F23" s="223"/>
      <c r="G23" s="223"/>
      <c r="H23" s="223"/>
      <c r="I23" s="223"/>
      <c r="J23" s="223"/>
      <c r="K23" s="223">
        <v>100000</v>
      </c>
      <c r="L23" s="208">
        <f t="shared" si="12"/>
        <v>100000</v>
      </c>
      <c r="M23" s="225"/>
      <c r="N23" s="226"/>
      <c r="O23" s="226"/>
      <c r="P23" s="211">
        <f t="shared" si="3"/>
        <v>0</v>
      </c>
      <c r="Q23" s="227"/>
      <c r="R23" s="228"/>
      <c r="S23" s="228"/>
      <c r="T23" s="214">
        <f t="shared" si="4"/>
        <v>0</v>
      </c>
      <c r="U23" s="215"/>
      <c r="V23" s="229"/>
      <c r="W23" s="230"/>
      <c r="X23" s="230"/>
      <c r="Y23" s="230"/>
      <c r="Z23" s="230"/>
      <c r="AA23" s="230"/>
      <c r="AB23" s="218">
        <f t="shared" si="5"/>
        <v>0</v>
      </c>
      <c r="AC23" s="219"/>
      <c r="AD23" s="231"/>
      <c r="AE23" s="304"/>
      <c r="AF23" s="220">
        <f t="shared" si="13"/>
        <v>100000</v>
      </c>
      <c r="AG23" s="206"/>
      <c r="AJ23" s="1053"/>
      <c r="AK23" s="468"/>
    </row>
    <row r="24" spans="1:37">
      <c r="A24" s="221" t="s">
        <v>324</v>
      </c>
      <c r="B24" s="222"/>
      <c r="C24" s="223"/>
      <c r="D24" s="223"/>
      <c r="E24" s="223"/>
      <c r="F24" s="223"/>
      <c r="G24" s="223"/>
      <c r="H24" s="223"/>
      <c r="I24" s="223"/>
      <c r="J24" s="223"/>
      <c r="K24" s="223"/>
      <c r="L24" s="208">
        <f t="shared" si="12"/>
        <v>0</v>
      </c>
      <c r="M24" s="225"/>
      <c r="N24" s="226"/>
      <c r="O24" s="226"/>
      <c r="P24" s="211">
        <f t="shared" si="3"/>
        <v>0</v>
      </c>
      <c r="Q24" s="227"/>
      <c r="R24" s="228"/>
      <c r="S24" s="228"/>
      <c r="T24" s="214">
        <f t="shared" si="4"/>
        <v>0</v>
      </c>
      <c r="U24" s="215"/>
      <c r="V24" s="229"/>
      <c r="W24" s="230"/>
      <c r="X24" s="230"/>
      <c r="Y24" s="230"/>
      <c r="Z24" s="230"/>
      <c r="AA24" s="230"/>
      <c r="AB24" s="218">
        <f t="shared" si="5"/>
        <v>0</v>
      </c>
      <c r="AC24" s="219"/>
      <c r="AD24" s="231"/>
      <c r="AE24" s="304"/>
      <c r="AF24" s="220">
        <f t="shared" si="13"/>
        <v>0</v>
      </c>
      <c r="AG24" s="206"/>
      <c r="AJ24" s="1053"/>
      <c r="AK24" s="468"/>
    </row>
    <row r="25" spans="1:37" ht="45.75" thickBot="1">
      <c r="A25" s="232" t="s">
        <v>325</v>
      </c>
      <c r="B25" s="305">
        <v>13500</v>
      </c>
      <c r="C25" s="306">
        <v>13500</v>
      </c>
      <c r="D25" s="306"/>
      <c r="E25" s="306">
        <v>27000</v>
      </c>
      <c r="F25" s="306">
        <v>27000</v>
      </c>
      <c r="G25" s="306">
        <v>27000</v>
      </c>
      <c r="H25" s="306">
        <v>27000</v>
      </c>
      <c r="I25" s="306">
        <v>27000</v>
      </c>
      <c r="J25" s="306"/>
      <c r="K25" s="306">
        <v>13500</v>
      </c>
      <c r="L25" s="208">
        <f t="shared" si="12"/>
        <v>175500</v>
      </c>
      <c r="M25" s="236">
        <v>27000</v>
      </c>
      <c r="N25" s="237"/>
      <c r="O25" s="237"/>
      <c r="P25" s="307">
        <f t="shared" si="3"/>
        <v>27000</v>
      </c>
      <c r="Q25" s="239"/>
      <c r="R25" s="240"/>
      <c r="S25" s="240"/>
      <c r="T25" s="308">
        <f t="shared" si="4"/>
        <v>0</v>
      </c>
      <c r="U25" s="215"/>
      <c r="V25" s="243"/>
      <c r="W25" s="244">
        <v>13500</v>
      </c>
      <c r="X25" s="244">
        <v>27000</v>
      </c>
      <c r="Y25" s="244">
        <v>13500</v>
      </c>
      <c r="Z25" s="244">
        <v>27000</v>
      </c>
      <c r="AA25" s="244"/>
      <c r="AB25" s="309">
        <f t="shared" si="5"/>
        <v>81000</v>
      </c>
      <c r="AC25" s="219"/>
      <c r="AD25" s="247"/>
      <c r="AE25" s="310"/>
      <c r="AF25" s="249">
        <f t="shared" si="13"/>
        <v>283500</v>
      </c>
      <c r="AG25" s="206"/>
      <c r="AJ25" s="1053"/>
      <c r="AK25" s="468"/>
    </row>
    <row r="26" spans="1:37" ht="32.25" thickBot="1">
      <c r="A26" s="311" t="s">
        <v>326</v>
      </c>
      <c r="B26" s="280">
        <f t="shared" ref="B26:O26" si="14">SUM(B19:B25)</f>
        <v>323154.26</v>
      </c>
      <c r="C26" s="281">
        <f t="shared" si="14"/>
        <v>303654.065</v>
      </c>
      <c r="D26" s="281">
        <f t="shared" si="14"/>
        <v>173510.61000000002</v>
      </c>
      <c r="E26" s="281">
        <f t="shared" si="14"/>
        <v>1339740.0250000001</v>
      </c>
      <c r="F26" s="281">
        <f t="shared" si="14"/>
        <v>726909.23499999999</v>
      </c>
      <c r="G26" s="281">
        <f t="shared" si="14"/>
        <v>765467.95000000007</v>
      </c>
      <c r="H26" s="281">
        <f t="shared" si="14"/>
        <v>764832.83500000008</v>
      </c>
      <c r="I26" s="281">
        <f t="shared" si="14"/>
        <v>390563.875</v>
      </c>
      <c r="J26" s="281">
        <f t="shared" si="14"/>
        <v>276412.5</v>
      </c>
      <c r="K26" s="281">
        <f t="shared" si="14"/>
        <v>384932.7</v>
      </c>
      <c r="L26" s="282">
        <f t="shared" si="14"/>
        <v>5449178.0550000006</v>
      </c>
      <c r="M26" s="283">
        <f t="shared" si="14"/>
        <v>675937.6</v>
      </c>
      <c r="N26" s="284">
        <f t="shared" si="14"/>
        <v>58500</v>
      </c>
      <c r="O26" s="284">
        <f t="shared" si="14"/>
        <v>63159</v>
      </c>
      <c r="P26" s="285">
        <f t="shared" si="3"/>
        <v>797596.6</v>
      </c>
      <c r="Q26" s="286">
        <f>SUM(Q19:Q25)</f>
        <v>0</v>
      </c>
      <c r="R26" s="287">
        <f>SUM(R19:R25)</f>
        <v>0</v>
      </c>
      <c r="S26" s="287">
        <f>SUM(S19:S25)</f>
        <v>0</v>
      </c>
      <c r="T26" s="288">
        <f t="shared" si="4"/>
        <v>0</v>
      </c>
      <c r="U26" s="312">
        <f t="shared" ref="U26:AA26" si="15">SUM(U19:U25)</f>
        <v>0</v>
      </c>
      <c r="V26" s="290">
        <f t="shared" si="15"/>
        <v>9367.6049999999996</v>
      </c>
      <c r="W26" s="291">
        <f t="shared" si="15"/>
        <v>364563.875</v>
      </c>
      <c r="X26" s="291">
        <f t="shared" si="15"/>
        <v>669760</v>
      </c>
      <c r="Y26" s="291">
        <f t="shared" si="15"/>
        <v>216797.75</v>
      </c>
      <c r="Z26" s="291">
        <f t="shared" si="15"/>
        <v>1004380</v>
      </c>
      <c r="AA26" s="291">
        <f t="shared" si="15"/>
        <v>9750</v>
      </c>
      <c r="AB26" s="292">
        <f t="shared" si="5"/>
        <v>2274619.23</v>
      </c>
      <c r="AC26" s="313">
        <f>SUM(AC19:AC25)</f>
        <v>0</v>
      </c>
      <c r="AD26" s="314">
        <f>SUM(AD19:AD25)</f>
        <v>0</v>
      </c>
      <c r="AE26" s="315">
        <f>SUM(AE19:AE25)</f>
        <v>0</v>
      </c>
      <c r="AF26" s="315">
        <f>SUM(AF19:AF25)</f>
        <v>8521393.8849999998</v>
      </c>
      <c r="AG26" s="206">
        <v>8390817</v>
      </c>
      <c r="AH26" s="206">
        <v>8390817</v>
      </c>
      <c r="AI26" s="1047">
        <f>AF26-AH26</f>
        <v>130576.88499999978</v>
      </c>
      <c r="AJ26" s="1053">
        <v>8569523</v>
      </c>
      <c r="AK26" s="468">
        <f>AJ26-AH26</f>
        <v>178706</v>
      </c>
    </row>
    <row r="27" spans="1:37">
      <c r="A27" s="316" t="s">
        <v>327</v>
      </c>
      <c r="B27" s="298"/>
      <c r="C27" s="299"/>
      <c r="D27" s="299"/>
      <c r="E27" s="299"/>
      <c r="F27" s="299"/>
      <c r="G27" s="299"/>
      <c r="H27" s="299"/>
      <c r="I27" s="299"/>
      <c r="J27" s="299"/>
      <c r="K27" s="299"/>
      <c r="L27" s="300">
        <f>SUM(B27:K27)</f>
        <v>0</v>
      </c>
      <c r="M27" s="192"/>
      <c r="N27" s="193"/>
      <c r="O27" s="193"/>
      <c r="P27" s="194">
        <f t="shared" si="3"/>
        <v>0</v>
      </c>
      <c r="Q27" s="195"/>
      <c r="R27" s="196"/>
      <c r="S27" s="196"/>
      <c r="T27" s="197">
        <f t="shared" si="4"/>
        <v>0</v>
      </c>
      <c r="U27" s="198"/>
      <c r="V27" s="199"/>
      <c r="W27" s="200"/>
      <c r="X27" s="200"/>
      <c r="Y27" s="200"/>
      <c r="Z27" s="200"/>
      <c r="AA27" s="200"/>
      <c r="AB27" s="201">
        <f t="shared" si="5"/>
        <v>0</v>
      </c>
      <c r="AC27" s="202"/>
      <c r="AD27" s="301"/>
      <c r="AE27" s="317"/>
      <c r="AF27" s="205">
        <f>L27+P27+U27+AC27+AD27+AE27+T27+AB27</f>
        <v>0</v>
      </c>
      <c r="AG27" s="206"/>
      <c r="AJ27" s="1053"/>
      <c r="AK27" s="468"/>
    </row>
    <row r="28" spans="1:37">
      <c r="A28" s="221" t="s">
        <v>328</v>
      </c>
      <c r="B28" s="222"/>
      <c r="C28" s="223"/>
      <c r="D28" s="223"/>
      <c r="E28" s="223"/>
      <c r="F28" s="223"/>
      <c r="G28" s="223"/>
      <c r="H28" s="223"/>
      <c r="I28" s="223"/>
      <c r="J28" s="223"/>
      <c r="K28" s="223"/>
      <c r="L28" s="208">
        <f>SUM(B28:K28)</f>
        <v>0</v>
      </c>
      <c r="M28" s="225"/>
      <c r="N28" s="226"/>
      <c r="O28" s="226"/>
      <c r="P28" s="211">
        <f t="shared" si="3"/>
        <v>0</v>
      </c>
      <c r="Q28" s="227"/>
      <c r="R28" s="228"/>
      <c r="S28" s="228"/>
      <c r="T28" s="214">
        <f t="shared" si="4"/>
        <v>0</v>
      </c>
      <c r="U28" s="215"/>
      <c r="V28" s="229"/>
      <c r="W28" s="230"/>
      <c r="X28" s="230"/>
      <c r="Y28" s="230"/>
      <c r="Z28" s="230"/>
      <c r="AA28" s="230"/>
      <c r="AB28" s="218">
        <f t="shared" si="5"/>
        <v>0</v>
      </c>
      <c r="AC28" s="219"/>
      <c r="AD28" s="231"/>
      <c r="AE28" s="318"/>
      <c r="AF28" s="220">
        <f>L28+P28+U28+AC28+AD28+AE28+T28+AB28</f>
        <v>0</v>
      </c>
      <c r="AG28" s="206"/>
      <c r="AJ28" s="1053"/>
      <c r="AK28" s="468"/>
    </row>
    <row r="29" spans="1:37" ht="45">
      <c r="A29" s="221" t="s">
        <v>329</v>
      </c>
      <c r="B29" s="222"/>
      <c r="C29" s="223"/>
      <c r="D29" s="223"/>
      <c r="E29" s="223"/>
      <c r="F29" s="223"/>
      <c r="G29" s="223"/>
      <c r="H29" s="223"/>
      <c r="I29" s="223"/>
      <c r="J29" s="223"/>
      <c r="K29" s="223">
        <v>252000</v>
      </c>
      <c r="L29" s="208">
        <f>SUM(B29:K29)</f>
        <v>252000</v>
      </c>
      <c r="M29" s="225"/>
      <c r="N29" s="226"/>
      <c r="O29" s="226">
        <v>36000</v>
      </c>
      <c r="P29" s="211">
        <f t="shared" si="3"/>
        <v>36000</v>
      </c>
      <c r="Q29" s="227"/>
      <c r="R29" s="228"/>
      <c r="S29" s="228"/>
      <c r="T29" s="214">
        <f t="shared" si="4"/>
        <v>0</v>
      </c>
      <c r="U29" s="215"/>
      <c r="V29" s="229"/>
      <c r="W29" s="230"/>
      <c r="X29" s="230"/>
      <c r="Y29" s="230"/>
      <c r="Z29" s="230"/>
      <c r="AA29" s="230"/>
      <c r="AB29" s="218">
        <f t="shared" si="5"/>
        <v>0</v>
      </c>
      <c r="AC29" s="219"/>
      <c r="AD29" s="231"/>
      <c r="AE29" s="318"/>
      <c r="AF29" s="220">
        <f>L29+P29+U29+AC29+AD29+AE29+T29+AB29</f>
        <v>288000</v>
      </c>
      <c r="AG29" s="206"/>
      <c r="AJ29" s="1053"/>
      <c r="AK29" s="468"/>
    </row>
    <row r="30" spans="1:37" ht="30">
      <c r="A30" s="319" t="s">
        <v>330</v>
      </c>
      <c r="B30" s="222"/>
      <c r="C30" s="223"/>
      <c r="D30" s="223"/>
      <c r="E30" s="223"/>
      <c r="F30" s="223"/>
      <c r="G30" s="223"/>
      <c r="H30" s="223"/>
      <c r="I30" s="223"/>
      <c r="J30" s="223"/>
      <c r="K30" s="223">
        <v>117000</v>
      </c>
      <c r="L30" s="208">
        <f>SUM(B30:K30)</f>
        <v>117000</v>
      </c>
      <c r="M30" s="225"/>
      <c r="N30" s="226"/>
      <c r="O30" s="226">
        <v>17000</v>
      </c>
      <c r="P30" s="211">
        <f t="shared" si="3"/>
        <v>17000</v>
      </c>
      <c r="Q30" s="227"/>
      <c r="R30" s="228"/>
      <c r="S30" s="228"/>
      <c r="T30" s="214">
        <f t="shared" si="4"/>
        <v>0</v>
      </c>
      <c r="U30" s="215"/>
      <c r="V30" s="229"/>
      <c r="W30" s="230"/>
      <c r="X30" s="230"/>
      <c r="Y30" s="230"/>
      <c r="Z30" s="230"/>
      <c r="AA30" s="230"/>
      <c r="AB30" s="218">
        <f t="shared" si="5"/>
        <v>0</v>
      </c>
      <c r="AC30" s="219"/>
      <c r="AD30" s="231"/>
      <c r="AE30" s="318"/>
      <c r="AF30" s="220">
        <f>L30+P30+U30+AC30+AD30+AE30+T30+AB30</f>
        <v>134000</v>
      </c>
      <c r="AG30" s="206"/>
      <c r="AJ30" s="1053"/>
      <c r="AK30" s="468"/>
    </row>
    <row r="31" spans="1:37">
      <c r="A31" s="319" t="s">
        <v>331</v>
      </c>
      <c r="B31" s="222"/>
      <c r="C31" s="223"/>
      <c r="D31" s="223"/>
      <c r="E31" s="223"/>
      <c r="F31" s="223"/>
      <c r="G31" s="223"/>
      <c r="H31" s="223"/>
      <c r="I31" s="223"/>
      <c r="J31" s="223"/>
      <c r="K31" s="223"/>
      <c r="L31" s="208">
        <f>SUM(B31:K31)</f>
        <v>0</v>
      </c>
      <c r="M31" s="225"/>
      <c r="N31" s="226"/>
      <c r="O31" s="226"/>
      <c r="P31" s="211">
        <f t="shared" si="3"/>
        <v>0</v>
      </c>
      <c r="Q31" s="227"/>
      <c r="R31" s="228"/>
      <c r="S31" s="228"/>
      <c r="T31" s="214">
        <f t="shared" si="4"/>
        <v>0</v>
      </c>
      <c r="U31" s="215"/>
      <c r="V31" s="229"/>
      <c r="W31" s="230"/>
      <c r="X31" s="230"/>
      <c r="Y31" s="230"/>
      <c r="Z31" s="230"/>
      <c r="AA31" s="230"/>
      <c r="AB31" s="218">
        <f t="shared" si="5"/>
        <v>0</v>
      </c>
      <c r="AC31" s="219"/>
      <c r="AD31" s="231"/>
      <c r="AE31" s="318"/>
      <c r="AF31" s="220">
        <f>L31+P31+U31+AC31+AD31+AE31+T31+AB31</f>
        <v>0</v>
      </c>
      <c r="AG31" s="206"/>
      <c r="AJ31" s="1053"/>
      <c r="AK31" s="468"/>
    </row>
    <row r="32" spans="1:37">
      <c r="A32" s="320" t="s">
        <v>332</v>
      </c>
      <c r="B32" s="321">
        <f>SUM(B27:B31)</f>
        <v>0</v>
      </c>
      <c r="C32" s="322">
        <f t="shared" ref="C32:J32" si="16">SUM(C27:C30)</f>
        <v>0</v>
      </c>
      <c r="D32" s="322">
        <f t="shared" si="16"/>
        <v>0</v>
      </c>
      <c r="E32" s="322">
        <f t="shared" si="16"/>
        <v>0</v>
      </c>
      <c r="F32" s="322">
        <f t="shared" si="16"/>
        <v>0</v>
      </c>
      <c r="G32" s="322">
        <f t="shared" si="16"/>
        <v>0</v>
      </c>
      <c r="H32" s="322">
        <f t="shared" si="16"/>
        <v>0</v>
      </c>
      <c r="I32" s="322">
        <f t="shared" si="16"/>
        <v>0</v>
      </c>
      <c r="J32" s="322">
        <f t="shared" si="16"/>
        <v>0</v>
      </c>
      <c r="K32" s="322">
        <f>SUM(K27:K31)</f>
        <v>369000</v>
      </c>
      <c r="L32" s="323">
        <f>SUM(L27:L31)</f>
        <v>369000</v>
      </c>
      <c r="M32" s="324">
        <f>SUM(M27:M31)</f>
        <v>0</v>
      </c>
      <c r="N32" s="325">
        <f>SUM(N27:N31)</f>
        <v>0</v>
      </c>
      <c r="O32" s="325">
        <f>SUM(O27:O31)</f>
        <v>53000</v>
      </c>
      <c r="P32" s="211">
        <f t="shared" si="3"/>
        <v>53000</v>
      </c>
      <c r="Q32" s="326">
        <f>SUM(Q27:Q31)</f>
        <v>0</v>
      </c>
      <c r="R32" s="327">
        <f>SUM(R27:R31)</f>
        <v>0</v>
      </c>
      <c r="S32" s="327">
        <f>SUM(S27:S31)</f>
        <v>0</v>
      </c>
      <c r="T32" s="214">
        <f t="shared" si="4"/>
        <v>0</v>
      </c>
      <c r="U32" s="328">
        <f t="shared" ref="U32:AA32" si="17">SUM(U27:U31)</f>
        <v>0</v>
      </c>
      <c r="V32" s="329">
        <f t="shared" si="17"/>
        <v>0</v>
      </c>
      <c r="W32" s="330">
        <f t="shared" si="17"/>
        <v>0</v>
      </c>
      <c r="X32" s="330">
        <f t="shared" si="17"/>
        <v>0</v>
      </c>
      <c r="Y32" s="330">
        <f t="shared" si="17"/>
        <v>0</v>
      </c>
      <c r="Z32" s="330">
        <f t="shared" si="17"/>
        <v>0</v>
      </c>
      <c r="AA32" s="330">
        <f t="shared" si="17"/>
        <v>0</v>
      </c>
      <c r="AB32" s="218">
        <f t="shared" si="5"/>
        <v>0</v>
      </c>
      <c r="AC32" s="331">
        <f>SUM(AC27:AC31)</f>
        <v>0</v>
      </c>
      <c r="AD32" s="332">
        <f>SUM(AD27:AD31)</f>
        <v>0</v>
      </c>
      <c r="AE32" s="333">
        <f>SUM(AE27:AE31)</f>
        <v>0</v>
      </c>
      <c r="AF32" s="334">
        <f>SUM(AF27:AF31)</f>
        <v>422000</v>
      </c>
      <c r="AG32" s="206">
        <v>422231</v>
      </c>
      <c r="AJ32" s="1053"/>
      <c r="AK32" s="468"/>
    </row>
    <row r="33" spans="1:37">
      <c r="A33" s="221" t="s">
        <v>333</v>
      </c>
      <c r="B33" s="222"/>
      <c r="C33" s="223"/>
      <c r="D33" s="223"/>
      <c r="E33" s="223"/>
      <c r="F33" s="223"/>
      <c r="G33" s="223"/>
      <c r="H33" s="223"/>
      <c r="I33" s="223"/>
      <c r="J33" s="223"/>
      <c r="K33" s="223"/>
      <c r="L33" s="208">
        <f t="shared" ref="L33:L38" si="18">SUM(B33:K33)</f>
        <v>0</v>
      </c>
      <c r="M33" s="225"/>
      <c r="N33" s="226"/>
      <c r="O33" s="226"/>
      <c r="P33" s="211">
        <f t="shared" si="3"/>
        <v>0</v>
      </c>
      <c r="Q33" s="227"/>
      <c r="R33" s="228"/>
      <c r="S33" s="228"/>
      <c r="T33" s="214">
        <f t="shared" si="4"/>
        <v>0</v>
      </c>
      <c r="U33" s="215"/>
      <c r="V33" s="229"/>
      <c r="W33" s="230"/>
      <c r="X33" s="230"/>
      <c r="Y33" s="230"/>
      <c r="Z33" s="230"/>
      <c r="AA33" s="230">
        <v>12771000</v>
      </c>
      <c r="AB33" s="218">
        <f t="shared" si="5"/>
        <v>12771000</v>
      </c>
      <c r="AC33" s="219"/>
      <c r="AD33" s="231"/>
      <c r="AE33" s="318"/>
      <c r="AF33" s="220">
        <f t="shared" ref="AF33:AF38" si="19">L33+P33+U33+AC33+AD33+AE33+T33+AB33</f>
        <v>12771000</v>
      </c>
      <c r="AG33" s="206"/>
      <c r="AJ33" s="1053"/>
      <c r="AK33" s="468"/>
    </row>
    <row r="34" spans="1:37">
      <c r="A34" s="221" t="s">
        <v>334</v>
      </c>
      <c r="B34" s="222"/>
      <c r="C34" s="223"/>
      <c r="D34" s="223"/>
      <c r="E34" s="223"/>
      <c r="F34" s="223"/>
      <c r="G34" s="223"/>
      <c r="H34" s="223"/>
      <c r="I34" s="223"/>
      <c r="J34" s="223"/>
      <c r="K34" s="223">
        <v>160000</v>
      </c>
      <c r="L34" s="208">
        <f t="shared" si="18"/>
        <v>160000</v>
      </c>
      <c r="M34" s="225"/>
      <c r="N34" s="226"/>
      <c r="O34" s="226">
        <v>20000</v>
      </c>
      <c r="P34" s="211">
        <f t="shared" si="3"/>
        <v>20000</v>
      </c>
      <c r="Q34" s="227"/>
      <c r="R34" s="228"/>
      <c r="S34" s="228"/>
      <c r="T34" s="214">
        <f t="shared" si="4"/>
        <v>0</v>
      </c>
      <c r="U34" s="215"/>
      <c r="V34" s="229"/>
      <c r="W34" s="230"/>
      <c r="X34" s="230"/>
      <c r="Y34" s="230"/>
      <c r="Z34" s="230"/>
      <c r="AA34" s="230"/>
      <c r="AB34" s="218">
        <f t="shared" si="5"/>
        <v>0</v>
      </c>
      <c r="AC34" s="219"/>
      <c r="AD34" s="231"/>
      <c r="AE34" s="318"/>
      <c r="AF34" s="220">
        <f t="shared" si="19"/>
        <v>180000</v>
      </c>
      <c r="AG34" s="206"/>
      <c r="AJ34" s="1053"/>
      <c r="AK34" s="468"/>
    </row>
    <row r="35" spans="1:37">
      <c r="A35" s="221" t="s">
        <v>335</v>
      </c>
      <c r="B35" s="222"/>
      <c r="C35" s="223"/>
      <c r="D35" s="223"/>
      <c r="E35" s="223"/>
      <c r="F35" s="223"/>
      <c r="G35" s="223"/>
      <c r="H35" s="223"/>
      <c r="I35" s="223"/>
      <c r="J35" s="223"/>
      <c r="K35" s="223">
        <v>80000</v>
      </c>
      <c r="L35" s="208">
        <f t="shared" si="18"/>
        <v>80000</v>
      </c>
      <c r="M35" s="225"/>
      <c r="N35" s="226"/>
      <c r="O35" s="226">
        <v>10000</v>
      </c>
      <c r="P35" s="211">
        <f t="shared" si="3"/>
        <v>10000</v>
      </c>
      <c r="Q35" s="227"/>
      <c r="R35" s="228"/>
      <c r="S35" s="228"/>
      <c r="T35" s="214">
        <f t="shared" si="4"/>
        <v>0</v>
      </c>
      <c r="U35" s="215"/>
      <c r="V35" s="229"/>
      <c r="W35" s="230"/>
      <c r="X35" s="230"/>
      <c r="Y35" s="230"/>
      <c r="Z35" s="230"/>
      <c r="AA35" s="230"/>
      <c r="AB35" s="218">
        <f t="shared" si="5"/>
        <v>0</v>
      </c>
      <c r="AC35" s="219"/>
      <c r="AD35" s="231"/>
      <c r="AE35" s="318"/>
      <c r="AF35" s="220">
        <f t="shared" si="19"/>
        <v>90000</v>
      </c>
      <c r="AG35" s="206"/>
      <c r="AJ35" s="1053"/>
      <c r="AK35" s="468"/>
    </row>
    <row r="36" spans="1:37" ht="30">
      <c r="A36" s="221" t="s">
        <v>336</v>
      </c>
      <c r="B36" s="222"/>
      <c r="C36" s="223"/>
      <c r="D36" s="223"/>
      <c r="E36" s="223"/>
      <c r="F36" s="223"/>
      <c r="G36" s="223"/>
      <c r="H36" s="223"/>
      <c r="I36" s="223"/>
      <c r="J36" s="223"/>
      <c r="K36" s="223"/>
      <c r="L36" s="208">
        <f t="shared" si="18"/>
        <v>0</v>
      </c>
      <c r="M36" s="225"/>
      <c r="N36" s="226"/>
      <c r="O36" s="226"/>
      <c r="P36" s="211">
        <f t="shared" si="3"/>
        <v>0</v>
      </c>
      <c r="Q36" s="227"/>
      <c r="R36" s="228"/>
      <c r="S36" s="228"/>
      <c r="T36" s="214">
        <f t="shared" si="4"/>
        <v>0</v>
      </c>
      <c r="U36" s="215"/>
      <c r="V36" s="229"/>
      <c r="W36" s="230"/>
      <c r="X36" s="230"/>
      <c r="Y36" s="230"/>
      <c r="Z36" s="230"/>
      <c r="AA36" s="230"/>
      <c r="AB36" s="218">
        <f t="shared" si="5"/>
        <v>0</v>
      </c>
      <c r="AC36" s="219"/>
      <c r="AD36" s="231"/>
      <c r="AE36" s="318"/>
      <c r="AF36" s="220">
        <f t="shared" si="19"/>
        <v>0</v>
      </c>
      <c r="AG36" s="206"/>
      <c r="AJ36" s="1053"/>
      <c r="AK36" s="468"/>
    </row>
    <row r="37" spans="1:37">
      <c r="A37" s="221" t="s">
        <v>337</v>
      </c>
      <c r="B37" s="222"/>
      <c r="C37" s="223"/>
      <c r="D37" s="223"/>
      <c r="E37" s="223"/>
      <c r="F37" s="223"/>
      <c r="G37" s="223"/>
      <c r="H37" s="223"/>
      <c r="I37" s="223"/>
      <c r="J37" s="223"/>
      <c r="K37" s="223"/>
      <c r="L37" s="208">
        <f t="shared" si="18"/>
        <v>0</v>
      </c>
      <c r="M37" s="225"/>
      <c r="N37" s="226"/>
      <c r="O37" s="226"/>
      <c r="P37" s="211">
        <f t="shared" si="3"/>
        <v>0</v>
      </c>
      <c r="Q37" s="227"/>
      <c r="R37" s="228"/>
      <c r="S37" s="228"/>
      <c r="T37" s="214">
        <f t="shared" si="4"/>
        <v>0</v>
      </c>
      <c r="U37" s="215"/>
      <c r="V37" s="229"/>
      <c r="W37" s="230"/>
      <c r="X37" s="230"/>
      <c r="Y37" s="230"/>
      <c r="Z37" s="230"/>
      <c r="AA37" s="230">
        <v>70000</v>
      </c>
      <c r="AB37" s="218">
        <f t="shared" si="5"/>
        <v>70000</v>
      </c>
      <c r="AC37" s="219"/>
      <c r="AD37" s="231"/>
      <c r="AE37" s="318"/>
      <c r="AF37" s="220">
        <f t="shared" si="19"/>
        <v>70000</v>
      </c>
      <c r="AG37" s="206"/>
      <c r="AJ37" s="1053"/>
      <c r="AK37" s="468"/>
    </row>
    <row r="38" spans="1:37" ht="49.9" customHeight="1">
      <c r="A38" s="221" t="s">
        <v>579</v>
      </c>
      <c r="B38" s="222"/>
      <c r="C38" s="223"/>
      <c r="D38" s="223"/>
      <c r="E38" s="223"/>
      <c r="F38" s="223"/>
      <c r="G38" s="223"/>
      <c r="H38" s="223"/>
      <c r="I38" s="223"/>
      <c r="J38" s="223"/>
      <c r="K38" s="223">
        <v>240000</v>
      </c>
      <c r="L38" s="208">
        <f t="shared" si="18"/>
        <v>240000</v>
      </c>
      <c r="M38" s="225"/>
      <c r="N38" s="226"/>
      <c r="O38" s="226">
        <v>30000</v>
      </c>
      <c r="P38" s="211">
        <f t="shared" si="3"/>
        <v>30000</v>
      </c>
      <c r="Q38" s="227"/>
      <c r="R38" s="228"/>
      <c r="S38" s="228"/>
      <c r="T38" s="214">
        <f t="shared" si="4"/>
        <v>0</v>
      </c>
      <c r="U38" s="215"/>
      <c r="V38" s="229"/>
      <c r="W38" s="230"/>
      <c r="X38" s="230"/>
      <c r="Y38" s="230"/>
      <c r="Z38" s="230"/>
      <c r="AA38" s="230">
        <v>350000</v>
      </c>
      <c r="AB38" s="218">
        <f t="shared" si="5"/>
        <v>350000</v>
      </c>
      <c r="AC38" s="219"/>
      <c r="AD38" s="231"/>
      <c r="AE38" s="318"/>
      <c r="AF38" s="220">
        <f t="shared" si="19"/>
        <v>620000</v>
      </c>
      <c r="AG38" s="206"/>
      <c r="AJ38" s="1053"/>
      <c r="AK38" s="468"/>
    </row>
    <row r="39" spans="1:37" ht="16.5" thickBot="1">
      <c r="A39" s="335" t="s">
        <v>338</v>
      </c>
      <c r="B39" s="336">
        <f t="shared" ref="B39:AA39" si="20">SUM(B33:B38)</f>
        <v>0</v>
      </c>
      <c r="C39" s="337">
        <f t="shared" si="20"/>
        <v>0</v>
      </c>
      <c r="D39" s="337">
        <f t="shared" si="20"/>
        <v>0</v>
      </c>
      <c r="E39" s="337">
        <f t="shared" si="20"/>
        <v>0</v>
      </c>
      <c r="F39" s="337">
        <f t="shared" si="20"/>
        <v>0</v>
      </c>
      <c r="G39" s="337">
        <f t="shared" si="20"/>
        <v>0</v>
      </c>
      <c r="H39" s="337">
        <f t="shared" si="20"/>
        <v>0</v>
      </c>
      <c r="I39" s="337">
        <f t="shared" si="20"/>
        <v>0</v>
      </c>
      <c r="J39" s="337">
        <f t="shared" si="20"/>
        <v>0</v>
      </c>
      <c r="K39" s="337">
        <f t="shared" si="20"/>
        <v>480000</v>
      </c>
      <c r="L39" s="338">
        <f t="shared" si="20"/>
        <v>480000</v>
      </c>
      <c r="M39" s="339">
        <f t="shared" si="20"/>
        <v>0</v>
      </c>
      <c r="N39" s="340">
        <f t="shared" si="20"/>
        <v>0</v>
      </c>
      <c r="O39" s="340">
        <f t="shared" si="20"/>
        <v>60000</v>
      </c>
      <c r="P39" s="238">
        <f t="shared" si="20"/>
        <v>60000</v>
      </c>
      <c r="Q39" s="341">
        <f t="shared" si="20"/>
        <v>0</v>
      </c>
      <c r="R39" s="342">
        <f t="shared" si="20"/>
        <v>0</v>
      </c>
      <c r="S39" s="342">
        <f t="shared" si="20"/>
        <v>0</v>
      </c>
      <c r="T39" s="241">
        <f t="shared" si="20"/>
        <v>0</v>
      </c>
      <c r="U39" s="343">
        <f t="shared" si="20"/>
        <v>0</v>
      </c>
      <c r="V39" s="344">
        <f t="shared" si="20"/>
        <v>0</v>
      </c>
      <c r="W39" s="345">
        <f t="shared" si="20"/>
        <v>0</v>
      </c>
      <c r="X39" s="345">
        <f t="shared" si="20"/>
        <v>0</v>
      </c>
      <c r="Y39" s="345">
        <f t="shared" si="20"/>
        <v>0</v>
      </c>
      <c r="Z39" s="345">
        <f t="shared" si="20"/>
        <v>0</v>
      </c>
      <c r="AA39" s="345">
        <f t="shared" si="20"/>
        <v>13191000</v>
      </c>
      <c r="AB39" s="245">
        <f>SUM(AB33:AB38)</f>
        <v>13191000</v>
      </c>
      <c r="AC39" s="346">
        <f>SUM(AC33:AC38)</f>
        <v>0</v>
      </c>
      <c r="AD39" s="347">
        <f>SUM(AD33:AD38)</f>
        <v>0</v>
      </c>
      <c r="AE39" s="348">
        <f>SUM(AE33:AE38)</f>
        <v>0</v>
      </c>
      <c r="AF39" s="349">
        <f>SUM(AF33:AF38)</f>
        <v>13731000</v>
      </c>
      <c r="AG39" s="206">
        <v>13961026</v>
      </c>
      <c r="AJ39" s="1053"/>
      <c r="AK39" s="468"/>
    </row>
    <row r="40" spans="1:37" ht="16.5" thickBot="1">
      <c r="A40" s="350" t="s">
        <v>339</v>
      </c>
      <c r="B40" s="351">
        <f t="shared" ref="B40:AF40" si="21">B32+B39</f>
        <v>0</v>
      </c>
      <c r="C40" s="352">
        <f t="shared" si="21"/>
        <v>0</v>
      </c>
      <c r="D40" s="352">
        <f t="shared" si="21"/>
        <v>0</v>
      </c>
      <c r="E40" s="352">
        <f t="shared" si="21"/>
        <v>0</v>
      </c>
      <c r="F40" s="352">
        <f t="shared" si="21"/>
        <v>0</v>
      </c>
      <c r="G40" s="352">
        <f t="shared" si="21"/>
        <v>0</v>
      </c>
      <c r="H40" s="352">
        <f t="shared" si="21"/>
        <v>0</v>
      </c>
      <c r="I40" s="352">
        <f t="shared" si="21"/>
        <v>0</v>
      </c>
      <c r="J40" s="352">
        <f t="shared" si="21"/>
        <v>0</v>
      </c>
      <c r="K40" s="352">
        <f t="shared" si="21"/>
        <v>849000</v>
      </c>
      <c r="L40" s="353">
        <f t="shared" si="21"/>
        <v>849000</v>
      </c>
      <c r="M40" s="354">
        <f t="shared" si="21"/>
        <v>0</v>
      </c>
      <c r="N40" s="354">
        <f t="shared" si="21"/>
        <v>0</v>
      </c>
      <c r="O40" s="354">
        <f t="shared" si="21"/>
        <v>113000</v>
      </c>
      <c r="P40" s="256">
        <f t="shared" si="21"/>
        <v>113000</v>
      </c>
      <c r="Q40" s="355">
        <f t="shared" si="21"/>
        <v>0</v>
      </c>
      <c r="R40" s="355">
        <f t="shared" si="21"/>
        <v>0</v>
      </c>
      <c r="S40" s="355">
        <f t="shared" si="21"/>
        <v>0</v>
      </c>
      <c r="T40" s="259">
        <f t="shared" si="21"/>
        <v>0</v>
      </c>
      <c r="U40" s="356">
        <f t="shared" si="21"/>
        <v>0</v>
      </c>
      <c r="V40" s="357">
        <f t="shared" si="21"/>
        <v>0</v>
      </c>
      <c r="W40" s="358">
        <f t="shared" si="21"/>
        <v>0</v>
      </c>
      <c r="X40" s="358">
        <f t="shared" si="21"/>
        <v>0</v>
      </c>
      <c r="Y40" s="358">
        <f t="shared" si="21"/>
        <v>0</v>
      </c>
      <c r="Z40" s="358">
        <f t="shared" si="21"/>
        <v>0</v>
      </c>
      <c r="AA40" s="358">
        <f t="shared" si="21"/>
        <v>13191000</v>
      </c>
      <c r="AB40" s="263">
        <f t="shared" si="21"/>
        <v>13191000</v>
      </c>
      <c r="AC40" s="359">
        <f t="shared" si="21"/>
        <v>0</v>
      </c>
      <c r="AD40" s="360">
        <f t="shared" si="21"/>
        <v>0</v>
      </c>
      <c r="AE40" s="361">
        <f t="shared" si="21"/>
        <v>0</v>
      </c>
      <c r="AF40" s="362">
        <f t="shared" si="21"/>
        <v>14153000</v>
      </c>
      <c r="AG40" s="206"/>
      <c r="AJ40" s="1053"/>
      <c r="AK40" s="468"/>
    </row>
    <row r="41" spans="1:37" ht="30">
      <c r="A41" s="363" t="s">
        <v>340</v>
      </c>
      <c r="B41" s="189"/>
      <c r="C41" s="190"/>
      <c r="D41" s="190"/>
      <c r="E41" s="190"/>
      <c r="F41" s="190"/>
      <c r="G41" s="190"/>
      <c r="H41" s="190"/>
      <c r="I41" s="190"/>
      <c r="J41" s="190"/>
      <c r="K41" s="190"/>
      <c r="L41" s="224">
        <f>SUM(B41:K41)</f>
        <v>0</v>
      </c>
      <c r="M41" s="209"/>
      <c r="N41" s="210"/>
      <c r="O41" s="210"/>
      <c r="P41" s="364"/>
      <c r="Q41" s="212"/>
      <c r="R41" s="213"/>
      <c r="S41" s="213"/>
      <c r="T41" s="365"/>
      <c r="U41" s="366"/>
      <c r="V41" s="216"/>
      <c r="W41" s="217"/>
      <c r="X41" s="217"/>
      <c r="Y41" s="217"/>
      <c r="Z41" s="217"/>
      <c r="AA41" s="217"/>
      <c r="AB41" s="367"/>
      <c r="AC41" s="368"/>
      <c r="AD41" s="203"/>
      <c r="AE41" s="369"/>
      <c r="AF41" s="204">
        <f>L41+P41+U41+AC41+AD41+AE41</f>
        <v>0</v>
      </c>
      <c r="AG41" s="206"/>
      <c r="AJ41" s="1053"/>
      <c r="AK41" s="468"/>
    </row>
    <row r="42" spans="1:37" ht="117" customHeight="1">
      <c r="A42" s="221" t="s">
        <v>341</v>
      </c>
      <c r="B42" s="222"/>
      <c r="C42" s="223"/>
      <c r="D42" s="223"/>
      <c r="E42" s="223"/>
      <c r="F42" s="223"/>
      <c r="G42" s="223"/>
      <c r="H42" s="223"/>
      <c r="I42" s="223"/>
      <c r="J42" s="223"/>
      <c r="K42" s="223">
        <v>850000</v>
      </c>
      <c r="L42" s="208">
        <f>SUM(B42:K42)</f>
        <v>850000</v>
      </c>
      <c r="M42" s="225"/>
      <c r="N42" s="226"/>
      <c r="O42" s="226">
        <v>100000</v>
      </c>
      <c r="P42" s="211">
        <f>SUM(M42:O42)</f>
        <v>100000</v>
      </c>
      <c r="Q42" s="227"/>
      <c r="R42" s="228"/>
      <c r="S42" s="228"/>
      <c r="T42" s="214">
        <f>SUM(Q42:S42)</f>
        <v>0</v>
      </c>
      <c r="U42" s="215"/>
      <c r="V42" s="229"/>
      <c r="W42" s="230"/>
      <c r="X42" s="230"/>
      <c r="Y42" s="230"/>
      <c r="Z42" s="230"/>
      <c r="AA42" s="230">
        <v>150000</v>
      </c>
      <c r="AB42" s="218">
        <f>SUM(V42:AA42)</f>
        <v>150000</v>
      </c>
      <c r="AC42" s="219"/>
      <c r="AD42" s="231"/>
      <c r="AE42" s="318"/>
      <c r="AF42" s="220">
        <f>L42+P42+U42+AC42+AD42+AE42+T42+AB42</f>
        <v>1100000</v>
      </c>
      <c r="AG42" s="206"/>
      <c r="AJ42" s="1053"/>
      <c r="AK42" s="468"/>
    </row>
    <row r="43" spans="1:37" ht="30">
      <c r="A43" s="221" t="s">
        <v>342</v>
      </c>
      <c r="B43" s="222"/>
      <c r="C43" s="223"/>
      <c r="D43" s="223"/>
      <c r="E43" s="223"/>
      <c r="F43" s="223"/>
      <c r="G43" s="223"/>
      <c r="H43" s="223"/>
      <c r="I43" s="223"/>
      <c r="J43" s="223"/>
      <c r="K43" s="223"/>
      <c r="L43" s="208">
        <f>SUM(B43:K43)</f>
        <v>0</v>
      </c>
      <c r="M43" s="225"/>
      <c r="N43" s="226"/>
      <c r="O43" s="226"/>
      <c r="P43" s="211">
        <f>SUM(M43:O43)</f>
        <v>0</v>
      </c>
      <c r="Q43" s="227"/>
      <c r="R43" s="228"/>
      <c r="S43" s="228"/>
      <c r="T43" s="214">
        <f>SUM(Q43:S43)</f>
        <v>0</v>
      </c>
      <c r="U43" s="215"/>
      <c r="V43" s="229"/>
      <c r="W43" s="230"/>
      <c r="X43" s="230"/>
      <c r="Y43" s="230"/>
      <c r="Z43" s="230"/>
      <c r="AA43" s="230"/>
      <c r="AB43" s="218">
        <f>SUM(V43:AA43)</f>
        <v>0</v>
      </c>
      <c r="AC43" s="219"/>
      <c r="AD43" s="231"/>
      <c r="AE43" s="318"/>
      <c r="AF43" s="220">
        <f>L43+P43+U43+AC43+AD43+AE43+T43+AB43</f>
        <v>0</v>
      </c>
      <c r="AG43" s="206"/>
      <c r="AJ43" s="1053"/>
      <c r="AK43" s="468"/>
    </row>
    <row r="44" spans="1:37" ht="75">
      <c r="A44" s="221" t="s">
        <v>343</v>
      </c>
      <c r="B44" s="222"/>
      <c r="C44" s="223"/>
      <c r="D44" s="223"/>
      <c r="E44" s="223"/>
      <c r="F44" s="223"/>
      <c r="G44" s="223"/>
      <c r="H44" s="223"/>
      <c r="I44" s="223"/>
      <c r="J44" s="223"/>
      <c r="K44" s="223">
        <v>101500</v>
      </c>
      <c r="L44" s="208">
        <f>SUM(B44:K44)</f>
        <v>101500</v>
      </c>
      <c r="M44" s="225"/>
      <c r="N44" s="226"/>
      <c r="O44" s="226">
        <v>14500</v>
      </c>
      <c r="P44" s="211">
        <f>SUM(M44:O44)</f>
        <v>14500</v>
      </c>
      <c r="Q44" s="227"/>
      <c r="R44" s="228"/>
      <c r="S44" s="228"/>
      <c r="T44" s="214">
        <f>SUM(Q44:S44)</f>
        <v>0</v>
      </c>
      <c r="U44" s="215"/>
      <c r="V44" s="229"/>
      <c r="W44" s="230"/>
      <c r="X44" s="230"/>
      <c r="Y44" s="230"/>
      <c r="Z44" s="230"/>
      <c r="AA44" s="230"/>
      <c r="AB44" s="218">
        <f>SUM(V44:AA44)</f>
        <v>0</v>
      </c>
      <c r="AC44" s="219"/>
      <c r="AD44" s="231"/>
      <c r="AE44" s="318"/>
      <c r="AF44" s="220">
        <f>L44+P44+U44+AC44+AD44+AE44+T44+AB44</f>
        <v>116000</v>
      </c>
      <c r="AG44" s="206"/>
      <c r="AJ44" s="1053"/>
      <c r="AK44" s="468"/>
    </row>
    <row r="45" spans="1:37" ht="30">
      <c r="A45" s="320" t="s">
        <v>344</v>
      </c>
      <c r="B45" s="321">
        <f t="shared" ref="B45:N45" si="22">SUM(B41:B44)</f>
        <v>0</v>
      </c>
      <c r="C45" s="322">
        <f t="shared" si="22"/>
        <v>0</v>
      </c>
      <c r="D45" s="322">
        <f t="shared" si="22"/>
        <v>0</v>
      </c>
      <c r="E45" s="322">
        <f t="shared" si="22"/>
        <v>0</v>
      </c>
      <c r="F45" s="322">
        <f t="shared" si="22"/>
        <v>0</v>
      </c>
      <c r="G45" s="322">
        <f t="shared" si="22"/>
        <v>0</v>
      </c>
      <c r="H45" s="322">
        <f t="shared" si="22"/>
        <v>0</v>
      </c>
      <c r="I45" s="322">
        <f t="shared" si="22"/>
        <v>0</v>
      </c>
      <c r="J45" s="322">
        <f t="shared" si="22"/>
        <v>0</v>
      </c>
      <c r="K45" s="322">
        <f t="shared" si="22"/>
        <v>951500</v>
      </c>
      <c r="L45" s="323">
        <f t="shared" si="22"/>
        <v>951500</v>
      </c>
      <c r="M45" s="325">
        <f t="shared" si="22"/>
        <v>0</v>
      </c>
      <c r="N45" s="325">
        <f t="shared" si="22"/>
        <v>0</v>
      </c>
      <c r="O45" s="325">
        <f>SUM(O41:O44)</f>
        <v>114500</v>
      </c>
      <c r="P45" s="211">
        <f>SUM(M45:O45)</f>
        <v>114500</v>
      </c>
      <c r="Q45" s="326">
        <f>SUM(Q41:Q44)</f>
        <v>0</v>
      </c>
      <c r="R45" s="327">
        <f>SUM(R41:R44)</f>
        <v>0</v>
      </c>
      <c r="S45" s="327">
        <f>SUM(S41:S44)</f>
        <v>0</v>
      </c>
      <c r="T45" s="214">
        <f>SUM(Q45:S45)</f>
        <v>0</v>
      </c>
      <c r="U45" s="370">
        <f>SUM(U41:U44)</f>
        <v>0</v>
      </c>
      <c r="V45" s="329">
        <f t="shared" ref="V45:AA45" si="23">SUM(V41:V44)</f>
        <v>0</v>
      </c>
      <c r="W45" s="330">
        <f t="shared" si="23"/>
        <v>0</v>
      </c>
      <c r="X45" s="330">
        <f t="shared" si="23"/>
        <v>0</v>
      </c>
      <c r="Y45" s="330">
        <f t="shared" si="23"/>
        <v>0</v>
      </c>
      <c r="Z45" s="330">
        <f t="shared" si="23"/>
        <v>0</v>
      </c>
      <c r="AA45" s="330">
        <f t="shared" si="23"/>
        <v>150000</v>
      </c>
      <c r="AB45" s="218">
        <f>SUM(V45:AA45)</f>
        <v>150000</v>
      </c>
      <c r="AC45" s="371">
        <f>SUM(AC41:AC44)</f>
        <v>0</v>
      </c>
      <c r="AD45" s="372">
        <f>SUM(AD41:AD44)</f>
        <v>0</v>
      </c>
      <c r="AE45" s="373">
        <f>SUM(AE41:AE44)</f>
        <v>0</v>
      </c>
      <c r="AF45" s="220">
        <f>L45+P45+U45+AC45+AD45+AE45+T45+AB45</f>
        <v>1216000</v>
      </c>
      <c r="AG45" s="206">
        <v>1122945</v>
      </c>
      <c r="AJ45" s="1053"/>
      <c r="AK45" s="468"/>
    </row>
    <row r="46" spans="1:37" ht="30.75" thickBot="1">
      <c r="A46" s="335" t="s">
        <v>345</v>
      </c>
      <c r="B46" s="336"/>
      <c r="C46" s="337"/>
      <c r="D46" s="337"/>
      <c r="E46" s="337"/>
      <c r="F46" s="337"/>
      <c r="G46" s="337"/>
      <c r="H46" s="337"/>
      <c r="I46" s="337"/>
      <c r="J46" s="337"/>
      <c r="K46" s="337">
        <v>227500</v>
      </c>
      <c r="L46" s="374">
        <f>SUM(B46:K46)</f>
        <v>227500</v>
      </c>
      <c r="M46" s="375"/>
      <c r="N46" s="376"/>
      <c r="O46" s="376">
        <v>32500</v>
      </c>
      <c r="P46" s="377">
        <f>SUM(M46:O46)</f>
        <v>32500</v>
      </c>
      <c r="Q46" s="378"/>
      <c r="R46" s="379"/>
      <c r="S46" s="379"/>
      <c r="T46" s="380">
        <f>SUM(Q46:S46)</f>
        <v>0</v>
      </c>
      <c r="U46" s="381"/>
      <c r="V46" s="382"/>
      <c r="W46" s="383"/>
      <c r="X46" s="383"/>
      <c r="Y46" s="383"/>
      <c r="Z46" s="383"/>
      <c r="AA46" s="383"/>
      <c r="AB46" s="384">
        <f>SUM(V46:AA46)</f>
        <v>0</v>
      </c>
      <c r="AC46" s="385"/>
      <c r="AD46" s="386"/>
      <c r="AE46" s="387"/>
      <c r="AF46" s="220">
        <f>L46+P46+U46+AC46+AD46+AE46+T46+AB46</f>
        <v>260000</v>
      </c>
      <c r="AG46" s="206">
        <v>262364</v>
      </c>
      <c r="AH46" s="388"/>
      <c r="AI46" s="389"/>
      <c r="AJ46" s="1054"/>
      <c r="AK46" s="1050"/>
    </row>
    <row r="47" spans="1:37" ht="16.5" thickBot="1">
      <c r="A47" s="350" t="s">
        <v>346</v>
      </c>
      <c r="B47" s="351">
        <f t="shared" ref="B47:AA47" si="24">B45+B46</f>
        <v>0</v>
      </c>
      <c r="C47" s="352">
        <f t="shared" si="24"/>
        <v>0</v>
      </c>
      <c r="D47" s="352">
        <f t="shared" si="24"/>
        <v>0</v>
      </c>
      <c r="E47" s="352">
        <f t="shared" si="24"/>
        <v>0</v>
      </c>
      <c r="F47" s="352">
        <f t="shared" si="24"/>
        <v>0</v>
      </c>
      <c r="G47" s="352">
        <f t="shared" si="24"/>
        <v>0</v>
      </c>
      <c r="H47" s="352">
        <f t="shared" si="24"/>
        <v>0</v>
      </c>
      <c r="I47" s="352">
        <f t="shared" si="24"/>
        <v>0</v>
      </c>
      <c r="J47" s="352">
        <f t="shared" si="24"/>
        <v>0</v>
      </c>
      <c r="K47" s="352">
        <f t="shared" si="24"/>
        <v>1179000</v>
      </c>
      <c r="L47" s="353">
        <f t="shared" si="24"/>
        <v>1179000</v>
      </c>
      <c r="M47" s="354">
        <f t="shared" si="24"/>
        <v>0</v>
      </c>
      <c r="N47" s="354">
        <f t="shared" si="24"/>
        <v>0</v>
      </c>
      <c r="O47" s="354">
        <f t="shared" si="24"/>
        <v>147000</v>
      </c>
      <c r="P47" s="256">
        <f t="shared" si="24"/>
        <v>147000</v>
      </c>
      <c r="Q47" s="390">
        <f t="shared" si="24"/>
        <v>0</v>
      </c>
      <c r="R47" s="355">
        <f t="shared" si="24"/>
        <v>0</v>
      </c>
      <c r="S47" s="355">
        <f t="shared" si="24"/>
        <v>0</v>
      </c>
      <c r="T47" s="259">
        <f t="shared" si="24"/>
        <v>0</v>
      </c>
      <c r="U47" s="356">
        <f t="shared" si="24"/>
        <v>0</v>
      </c>
      <c r="V47" s="357">
        <f t="shared" si="24"/>
        <v>0</v>
      </c>
      <c r="W47" s="358">
        <f t="shared" si="24"/>
        <v>0</v>
      </c>
      <c r="X47" s="358">
        <f t="shared" si="24"/>
        <v>0</v>
      </c>
      <c r="Y47" s="358">
        <f t="shared" si="24"/>
        <v>0</v>
      </c>
      <c r="Z47" s="358">
        <f t="shared" si="24"/>
        <v>0</v>
      </c>
      <c r="AA47" s="358">
        <f t="shared" si="24"/>
        <v>150000</v>
      </c>
      <c r="AB47" s="263">
        <f>AB45+AB46</f>
        <v>150000</v>
      </c>
      <c r="AC47" s="359">
        <f>AC45+AC46</f>
        <v>0</v>
      </c>
      <c r="AD47" s="360">
        <f>AD45+AD46</f>
        <v>0</v>
      </c>
      <c r="AE47" s="361">
        <f>AE45+AE46</f>
        <v>0</v>
      </c>
      <c r="AF47" s="362">
        <f>AF45+AF46</f>
        <v>1476000</v>
      </c>
      <c r="AG47" s="206"/>
      <c r="AJ47" s="1053"/>
      <c r="AK47" s="468"/>
    </row>
    <row r="48" spans="1:37">
      <c r="A48" s="316" t="s">
        <v>347</v>
      </c>
      <c r="B48" s="298"/>
      <c r="C48" s="299"/>
      <c r="D48" s="299"/>
      <c r="E48" s="299"/>
      <c r="F48" s="299"/>
      <c r="G48" s="299"/>
      <c r="H48" s="299"/>
      <c r="I48" s="299"/>
      <c r="J48" s="299"/>
      <c r="K48" s="299">
        <v>70000</v>
      </c>
      <c r="L48" s="300">
        <f>SUM(B48:K48)</f>
        <v>70000</v>
      </c>
      <c r="M48" s="192"/>
      <c r="N48" s="193"/>
      <c r="O48" s="193">
        <v>10000</v>
      </c>
      <c r="P48" s="194">
        <f>SUM(M48:O48)</f>
        <v>10000</v>
      </c>
      <c r="Q48" s="195"/>
      <c r="R48" s="196"/>
      <c r="S48" s="196"/>
      <c r="T48" s="197">
        <f>SUM(Q48:S48)</f>
        <v>0</v>
      </c>
      <c r="U48" s="391"/>
      <c r="V48" s="199"/>
      <c r="W48" s="200"/>
      <c r="X48" s="200"/>
      <c r="Y48" s="200"/>
      <c r="Z48" s="200"/>
      <c r="AA48" s="200">
        <v>170000</v>
      </c>
      <c r="AB48" s="201">
        <f>SUM(V48:AA48)</f>
        <v>170000</v>
      </c>
      <c r="AC48" s="202"/>
      <c r="AD48" s="301"/>
      <c r="AE48" s="317"/>
      <c r="AF48" s="205">
        <f>L48+P48+U48+AC48+AD48+AE48+T48+AB48</f>
        <v>250000</v>
      </c>
      <c r="AG48" s="206"/>
      <c r="AJ48" s="1053"/>
      <c r="AK48" s="468"/>
    </row>
    <row r="49" spans="1:37">
      <c r="A49" s="221" t="s">
        <v>348</v>
      </c>
      <c r="B49" s="222"/>
      <c r="C49" s="223"/>
      <c r="D49" s="223"/>
      <c r="E49" s="223"/>
      <c r="F49" s="223"/>
      <c r="G49" s="223"/>
      <c r="H49" s="223"/>
      <c r="I49" s="223"/>
      <c r="J49" s="223"/>
      <c r="K49" s="223">
        <v>400000</v>
      </c>
      <c r="L49" s="208">
        <f>SUM(B49:K49)</f>
        <v>400000</v>
      </c>
      <c r="M49" s="225"/>
      <c r="N49" s="226"/>
      <c r="O49" s="226">
        <v>50000</v>
      </c>
      <c r="P49" s="211">
        <f>SUM(M49:O49)</f>
        <v>50000</v>
      </c>
      <c r="Q49" s="227"/>
      <c r="R49" s="228"/>
      <c r="S49" s="228"/>
      <c r="T49" s="214">
        <f>SUM(Q49:S49)</f>
        <v>0</v>
      </c>
      <c r="U49" s="392"/>
      <c r="V49" s="229"/>
      <c r="W49" s="230"/>
      <c r="X49" s="230"/>
      <c r="Y49" s="230"/>
      <c r="Z49" s="230"/>
      <c r="AA49" s="230">
        <v>900000</v>
      </c>
      <c r="AB49" s="218">
        <f>SUM(V49:AA49)</f>
        <v>900000</v>
      </c>
      <c r="AC49" s="219"/>
      <c r="AD49" s="231"/>
      <c r="AE49" s="318"/>
      <c r="AF49" s="220">
        <f>L49+P49+U49+AC49+AD49+AE49+T49+AB49</f>
        <v>1350000</v>
      </c>
      <c r="AG49" s="206"/>
      <c r="AJ49" s="1053"/>
      <c r="AK49" s="468"/>
    </row>
    <row r="50" spans="1:37" ht="30">
      <c r="A50" s="221" t="s">
        <v>349</v>
      </c>
      <c r="B50" s="222"/>
      <c r="C50" s="223"/>
      <c r="D50" s="223"/>
      <c r="E50" s="223"/>
      <c r="F50" s="223"/>
      <c r="G50" s="223"/>
      <c r="H50" s="223"/>
      <c r="I50" s="223"/>
      <c r="J50" s="223"/>
      <c r="K50" s="223"/>
      <c r="L50" s="208">
        <f>SUM(B50:K50)</f>
        <v>0</v>
      </c>
      <c r="M50" s="225"/>
      <c r="N50" s="226"/>
      <c r="O50" s="226"/>
      <c r="P50" s="211">
        <f>SUM(M50:O50)</f>
        <v>0</v>
      </c>
      <c r="Q50" s="227"/>
      <c r="R50" s="228"/>
      <c r="S50" s="228"/>
      <c r="T50" s="214">
        <f>SUM(Q50:S50)</f>
        <v>0</v>
      </c>
      <c r="U50" s="392"/>
      <c r="V50" s="229"/>
      <c r="W50" s="230"/>
      <c r="X50" s="230"/>
      <c r="Y50" s="230"/>
      <c r="Z50" s="230"/>
      <c r="AA50" s="230"/>
      <c r="AB50" s="218">
        <f>SUM(V50:AA50)</f>
        <v>0</v>
      </c>
      <c r="AC50" s="219"/>
      <c r="AD50" s="231"/>
      <c r="AE50" s="318"/>
      <c r="AF50" s="220">
        <f>L50+P50+U50+AC50+AD50+AE50+T50+AB50</f>
        <v>0</v>
      </c>
      <c r="AG50" s="206"/>
      <c r="AJ50" s="1053"/>
      <c r="AK50" s="468"/>
    </row>
    <row r="51" spans="1:37">
      <c r="A51" s="221" t="s">
        <v>350</v>
      </c>
      <c r="B51" s="222"/>
      <c r="C51" s="223"/>
      <c r="D51" s="223"/>
      <c r="E51" s="223"/>
      <c r="F51" s="223"/>
      <c r="G51" s="223"/>
      <c r="H51" s="223"/>
      <c r="I51" s="223"/>
      <c r="J51" s="223"/>
      <c r="K51" s="223">
        <v>70000</v>
      </c>
      <c r="L51" s="208">
        <f>SUM(B51:K51)</f>
        <v>70000</v>
      </c>
      <c r="M51" s="225"/>
      <c r="N51" s="226"/>
      <c r="O51" s="226">
        <v>10000</v>
      </c>
      <c r="P51" s="211">
        <f>SUM(M51:O51)</f>
        <v>10000</v>
      </c>
      <c r="Q51" s="227"/>
      <c r="R51" s="228"/>
      <c r="S51" s="228"/>
      <c r="T51" s="214">
        <f>SUM(Q51:S51)</f>
        <v>0</v>
      </c>
      <c r="U51" s="392"/>
      <c r="V51" s="229"/>
      <c r="W51" s="230"/>
      <c r="X51" s="230"/>
      <c r="Y51" s="230"/>
      <c r="Z51" s="230"/>
      <c r="AA51" s="230">
        <v>300000</v>
      </c>
      <c r="AB51" s="218">
        <f>SUM(V51:AA51)</f>
        <v>300000</v>
      </c>
      <c r="AC51" s="219"/>
      <c r="AD51" s="231"/>
      <c r="AE51" s="318"/>
      <c r="AF51" s="220">
        <f>L51+P51+U51+AC51+AD51+AE51+T51+AB51</f>
        <v>380000</v>
      </c>
      <c r="AG51" s="206"/>
      <c r="AJ51" s="1053"/>
      <c r="AK51" s="468"/>
    </row>
    <row r="52" spans="1:37">
      <c r="A52" s="320" t="s">
        <v>351</v>
      </c>
      <c r="B52" s="321">
        <f t="shared" ref="B52:AE53" si="25">SUM(B48:B51)</f>
        <v>0</v>
      </c>
      <c r="C52" s="322">
        <f t="shared" si="25"/>
        <v>0</v>
      </c>
      <c r="D52" s="322">
        <f t="shared" si="25"/>
        <v>0</v>
      </c>
      <c r="E52" s="322">
        <f t="shared" si="25"/>
        <v>0</v>
      </c>
      <c r="F52" s="322">
        <f t="shared" si="25"/>
        <v>0</v>
      </c>
      <c r="G52" s="322">
        <f t="shared" si="25"/>
        <v>0</v>
      </c>
      <c r="H52" s="322">
        <f t="shared" si="25"/>
        <v>0</v>
      </c>
      <c r="I52" s="322">
        <f t="shared" si="25"/>
        <v>0</v>
      </c>
      <c r="J52" s="322">
        <f t="shared" si="25"/>
        <v>0</v>
      </c>
      <c r="K52" s="322">
        <f t="shared" si="25"/>
        <v>540000</v>
      </c>
      <c r="L52" s="323">
        <f t="shared" si="25"/>
        <v>540000</v>
      </c>
      <c r="M52" s="324">
        <f t="shared" si="25"/>
        <v>0</v>
      </c>
      <c r="N52" s="325">
        <f t="shared" si="25"/>
        <v>0</v>
      </c>
      <c r="O52" s="325">
        <f t="shared" si="25"/>
        <v>70000</v>
      </c>
      <c r="P52" s="393">
        <f t="shared" si="25"/>
        <v>70000</v>
      </c>
      <c r="Q52" s="326">
        <f t="shared" si="25"/>
        <v>0</v>
      </c>
      <c r="R52" s="327">
        <f t="shared" si="25"/>
        <v>0</v>
      </c>
      <c r="S52" s="327">
        <f t="shared" si="25"/>
        <v>0</v>
      </c>
      <c r="T52" s="394">
        <f t="shared" si="25"/>
        <v>0</v>
      </c>
      <c r="U52" s="395">
        <f t="shared" si="25"/>
        <v>0</v>
      </c>
      <c r="V52" s="329">
        <f t="shared" si="25"/>
        <v>0</v>
      </c>
      <c r="W52" s="330">
        <f t="shared" si="25"/>
        <v>0</v>
      </c>
      <c r="X52" s="330">
        <f t="shared" si="25"/>
        <v>0</v>
      </c>
      <c r="Y52" s="330">
        <f t="shared" si="25"/>
        <v>0</v>
      </c>
      <c r="Z52" s="330">
        <f t="shared" si="25"/>
        <v>0</v>
      </c>
      <c r="AA52" s="330">
        <f t="shared" si="25"/>
        <v>1370000</v>
      </c>
      <c r="AB52" s="396">
        <f t="shared" si="25"/>
        <v>1370000</v>
      </c>
      <c r="AC52" s="371">
        <f t="shared" si="25"/>
        <v>0</v>
      </c>
      <c r="AD52" s="372">
        <f t="shared" si="25"/>
        <v>0</v>
      </c>
      <c r="AE52" s="373">
        <f t="shared" si="25"/>
        <v>0</v>
      </c>
      <c r="AF52" s="397">
        <f>SUM(AF48:AF51)</f>
        <v>1980000</v>
      </c>
      <c r="AG52" s="206">
        <v>1150138</v>
      </c>
      <c r="AJ52" s="1053"/>
      <c r="AK52" s="468"/>
    </row>
    <row r="53" spans="1:37">
      <c r="A53" s="320" t="s">
        <v>352</v>
      </c>
      <c r="B53" s="321"/>
      <c r="C53" s="322"/>
      <c r="D53" s="322"/>
      <c r="E53" s="322"/>
      <c r="F53" s="322"/>
      <c r="G53" s="322"/>
      <c r="H53" s="322"/>
      <c r="I53" s="322"/>
      <c r="J53" s="322"/>
      <c r="K53" s="322"/>
      <c r="L53" s="208">
        <f>SUM(B53:K53)</f>
        <v>0</v>
      </c>
      <c r="M53" s="225"/>
      <c r="N53" s="226"/>
      <c r="O53" s="226"/>
      <c r="P53" s="211">
        <f t="shared" ref="P53:P59" si="26">SUM(M53:O53)</f>
        <v>0</v>
      </c>
      <c r="Q53" s="227"/>
      <c r="R53" s="228"/>
      <c r="S53" s="228"/>
      <c r="T53" s="394">
        <f t="shared" si="25"/>
        <v>0</v>
      </c>
      <c r="U53" s="398"/>
      <c r="V53" s="229"/>
      <c r="W53" s="230"/>
      <c r="X53" s="230"/>
      <c r="Y53" s="230"/>
      <c r="Z53" s="230"/>
      <c r="AA53" s="230"/>
      <c r="AB53" s="218">
        <f>SUM(Y53:AA53)</f>
        <v>0</v>
      </c>
      <c r="AC53" s="399"/>
      <c r="AD53" s="400"/>
      <c r="AE53" s="401"/>
      <c r="AF53" s="220">
        <f>L53+P53+U53+AC53+AD53+AE53</f>
        <v>0</v>
      </c>
      <c r="AG53" s="206"/>
      <c r="AJ53" s="1053"/>
      <c r="AK53" s="468"/>
    </row>
    <row r="54" spans="1:37">
      <c r="A54" s="320" t="s">
        <v>353</v>
      </c>
      <c r="B54" s="321"/>
      <c r="C54" s="322"/>
      <c r="D54" s="322"/>
      <c r="E54" s="322"/>
      <c r="F54" s="322"/>
      <c r="G54" s="322"/>
      <c r="H54" s="322"/>
      <c r="I54" s="322"/>
      <c r="J54" s="322"/>
      <c r="K54" s="322"/>
      <c r="L54" s="208">
        <f>SUM(B54:K54)</f>
        <v>0</v>
      </c>
      <c r="M54" s="225"/>
      <c r="N54" s="226"/>
      <c r="O54" s="226"/>
      <c r="P54" s="211">
        <f t="shared" si="26"/>
        <v>0</v>
      </c>
      <c r="Q54" s="227"/>
      <c r="R54" s="228"/>
      <c r="S54" s="228"/>
      <c r="T54" s="394">
        <f>SUM(Q54:S54)</f>
        <v>0</v>
      </c>
      <c r="U54" s="398"/>
      <c r="V54" s="229"/>
      <c r="W54" s="230"/>
      <c r="X54" s="230"/>
      <c r="Y54" s="230"/>
      <c r="Z54" s="230"/>
      <c r="AA54" s="230"/>
      <c r="AB54" s="396">
        <f>SUM(V54:AA54)</f>
        <v>0</v>
      </c>
      <c r="AC54" s="399"/>
      <c r="AD54" s="400"/>
      <c r="AE54" s="401"/>
      <c r="AF54" s="220">
        <f>L54+P54+U54+AC54+AD54+AE54+T54+AB54</f>
        <v>0</v>
      </c>
      <c r="AG54" s="206"/>
      <c r="AJ54" s="1053"/>
      <c r="AK54" s="468"/>
    </row>
    <row r="55" spans="1:37">
      <c r="A55" s="402" t="s">
        <v>354</v>
      </c>
      <c r="B55" s="321"/>
      <c r="C55" s="322"/>
      <c r="D55" s="322"/>
      <c r="E55" s="322"/>
      <c r="F55" s="322"/>
      <c r="G55" s="322"/>
      <c r="H55" s="322"/>
      <c r="I55" s="322"/>
      <c r="J55" s="322"/>
      <c r="K55" s="322">
        <v>40000</v>
      </c>
      <c r="L55" s="208">
        <f>SUM(B55:K55)</f>
        <v>40000</v>
      </c>
      <c r="M55" s="225"/>
      <c r="N55" s="226"/>
      <c r="O55" s="226">
        <v>5000</v>
      </c>
      <c r="P55" s="211">
        <f t="shared" si="26"/>
        <v>5000</v>
      </c>
      <c r="Q55" s="227"/>
      <c r="R55" s="228"/>
      <c r="S55" s="228"/>
      <c r="T55" s="394">
        <f>SUM(Q55:S55)</f>
        <v>0</v>
      </c>
      <c r="U55" s="398"/>
      <c r="V55" s="229"/>
      <c r="W55" s="230"/>
      <c r="X55" s="230"/>
      <c r="Y55" s="230"/>
      <c r="Z55" s="230"/>
      <c r="AA55" s="230">
        <v>50000</v>
      </c>
      <c r="AB55" s="396">
        <f>SUM(V55:AA55)</f>
        <v>50000</v>
      </c>
      <c r="AC55" s="399"/>
      <c r="AD55" s="400"/>
      <c r="AE55" s="401"/>
      <c r="AF55" s="220">
        <f>L55+P55+U55+AC55+AD55+AE55+T55+AB55</f>
        <v>95000</v>
      </c>
      <c r="AG55" s="206">
        <v>1739263</v>
      </c>
      <c r="AJ55" s="1053"/>
      <c r="AK55" s="468"/>
    </row>
    <row r="56" spans="1:37" ht="30">
      <c r="A56" s="221" t="s">
        <v>355</v>
      </c>
      <c r="B56" s="222"/>
      <c r="C56" s="223"/>
      <c r="D56" s="223"/>
      <c r="E56" s="223"/>
      <c r="F56" s="223"/>
      <c r="G56" s="223"/>
      <c r="H56" s="223"/>
      <c r="I56" s="223"/>
      <c r="J56" s="223"/>
      <c r="K56" s="223"/>
      <c r="L56" s="208">
        <f>SUM(B56:K56)</f>
        <v>0</v>
      </c>
      <c r="M56" s="225"/>
      <c r="N56" s="226"/>
      <c r="O56" s="226"/>
      <c r="P56" s="211">
        <f t="shared" si="26"/>
        <v>0</v>
      </c>
      <c r="Q56" s="227"/>
      <c r="R56" s="228"/>
      <c r="S56" s="228"/>
      <c r="T56" s="394">
        <f>SUM(Q56:S56)</f>
        <v>0</v>
      </c>
      <c r="U56" s="392"/>
      <c r="V56" s="229"/>
      <c r="W56" s="230"/>
      <c r="X56" s="230"/>
      <c r="Y56" s="230"/>
      <c r="Z56" s="230"/>
      <c r="AA56" s="230"/>
      <c r="AB56" s="396">
        <f>SUM(V56:AA56)</f>
        <v>0</v>
      </c>
      <c r="AC56" s="219"/>
      <c r="AD56" s="231"/>
      <c r="AE56" s="318"/>
      <c r="AF56" s="220">
        <f>L56+P56+U56+AC56+AD56+AE56+T56+AB56</f>
        <v>0</v>
      </c>
      <c r="AG56" s="206">
        <v>68295</v>
      </c>
      <c r="AJ56" s="1053"/>
      <c r="AK56" s="468"/>
    </row>
    <row r="57" spans="1:37" ht="30">
      <c r="A57" s="221" t="s">
        <v>356</v>
      </c>
      <c r="B57" s="222"/>
      <c r="C57" s="223"/>
      <c r="D57" s="223"/>
      <c r="E57" s="223"/>
      <c r="F57" s="223"/>
      <c r="G57" s="223"/>
      <c r="H57" s="223"/>
      <c r="I57" s="223"/>
      <c r="J57" s="223"/>
      <c r="K57" s="223">
        <v>100000</v>
      </c>
      <c r="L57" s="208">
        <f>SUM(B57:K57)</f>
        <v>100000</v>
      </c>
      <c r="M57" s="225"/>
      <c r="N57" s="226"/>
      <c r="O57" s="226"/>
      <c r="P57" s="211">
        <f t="shared" si="26"/>
        <v>0</v>
      </c>
      <c r="Q57" s="227"/>
      <c r="R57" s="228"/>
      <c r="S57" s="228"/>
      <c r="T57" s="394">
        <f>SUM(Q57:S57)</f>
        <v>0</v>
      </c>
      <c r="U57" s="392"/>
      <c r="V57" s="229"/>
      <c r="W57" s="230"/>
      <c r="X57" s="230"/>
      <c r="Y57" s="230"/>
      <c r="Z57" s="230"/>
      <c r="AA57" s="230"/>
      <c r="AB57" s="396">
        <f>SUM(V57:AA57)</f>
        <v>0</v>
      </c>
      <c r="AC57" s="219"/>
      <c r="AD57" s="231"/>
      <c r="AE57" s="318"/>
      <c r="AF57" s="220">
        <f>L57+P57+U57+AC57+AD57+AE57</f>
        <v>100000</v>
      </c>
      <c r="AG57" s="206"/>
      <c r="AJ57" s="1053"/>
      <c r="AK57" s="468"/>
    </row>
    <row r="58" spans="1:37">
      <c r="A58" s="320" t="s">
        <v>357</v>
      </c>
      <c r="B58" s="321">
        <f t="shared" ref="B58:J58" si="27">SUM(B56:B57)</f>
        <v>0</v>
      </c>
      <c r="C58" s="322">
        <f t="shared" si="27"/>
        <v>0</v>
      </c>
      <c r="D58" s="322">
        <f t="shared" si="27"/>
        <v>0</v>
      </c>
      <c r="E58" s="322">
        <f t="shared" si="27"/>
        <v>0</v>
      </c>
      <c r="F58" s="322">
        <f t="shared" si="27"/>
        <v>0</v>
      </c>
      <c r="G58" s="322">
        <f t="shared" si="27"/>
        <v>0</v>
      </c>
      <c r="H58" s="322">
        <f t="shared" si="27"/>
        <v>0</v>
      </c>
      <c r="I58" s="322">
        <f t="shared" si="27"/>
        <v>0</v>
      </c>
      <c r="J58" s="322">
        <f t="shared" si="27"/>
        <v>0</v>
      </c>
      <c r="K58" s="322">
        <f>K56+K57</f>
        <v>100000</v>
      </c>
      <c r="L58" s="323">
        <f>L56+L57</f>
        <v>100000</v>
      </c>
      <c r="M58" s="325">
        <f>M57</f>
        <v>0</v>
      </c>
      <c r="N58" s="325">
        <f>N57</f>
        <v>0</v>
      </c>
      <c r="O58" s="325">
        <f>O57</f>
        <v>0</v>
      </c>
      <c r="P58" s="211">
        <f t="shared" si="26"/>
        <v>0</v>
      </c>
      <c r="Q58" s="327">
        <f>Q57</f>
        <v>0</v>
      </c>
      <c r="R58" s="327">
        <f>R57</f>
        <v>0</v>
      </c>
      <c r="S58" s="327">
        <f>S57</f>
        <v>0</v>
      </c>
      <c r="T58" s="394">
        <f>T56+T57</f>
        <v>0</v>
      </c>
      <c r="U58" s="395">
        <f>U56+U57</f>
        <v>0</v>
      </c>
      <c r="V58" s="330">
        <f t="shared" ref="V58:AA58" si="28">V57</f>
        <v>0</v>
      </c>
      <c r="W58" s="330">
        <f t="shared" si="28"/>
        <v>0</v>
      </c>
      <c r="X58" s="330">
        <f t="shared" si="28"/>
        <v>0</v>
      </c>
      <c r="Y58" s="330">
        <f t="shared" si="28"/>
        <v>0</v>
      </c>
      <c r="Z58" s="330">
        <f t="shared" si="28"/>
        <v>0</v>
      </c>
      <c r="AA58" s="330">
        <f t="shared" si="28"/>
        <v>0</v>
      </c>
      <c r="AB58" s="396">
        <f>AB56+AB57</f>
        <v>0</v>
      </c>
      <c r="AC58" s="371">
        <f>AC56+AC57</f>
        <v>0</v>
      </c>
      <c r="AD58" s="372">
        <f>AD56+AD57</f>
        <v>0</v>
      </c>
      <c r="AE58" s="403">
        <f>AE56+AE57</f>
        <v>0</v>
      </c>
      <c r="AF58" s="334">
        <f>AF56+AF57</f>
        <v>100000</v>
      </c>
      <c r="AG58" s="206">
        <v>197304</v>
      </c>
      <c r="AJ58" s="1053"/>
      <c r="AK58" s="468"/>
    </row>
    <row r="59" spans="1:37" ht="90">
      <c r="A59" s="221" t="s">
        <v>569</v>
      </c>
      <c r="B59" s="222"/>
      <c r="C59" s="223"/>
      <c r="D59" s="223"/>
      <c r="E59" s="223"/>
      <c r="F59" s="223"/>
      <c r="G59" s="223"/>
      <c r="H59" s="223"/>
      <c r="I59" s="223"/>
      <c r="J59" s="223"/>
      <c r="K59" s="223">
        <v>150000</v>
      </c>
      <c r="L59" s="208">
        <f>SUM(B59:K59)</f>
        <v>150000</v>
      </c>
      <c r="M59" s="225">
        <v>20000</v>
      </c>
      <c r="N59" s="226"/>
      <c r="O59" s="226"/>
      <c r="P59" s="211">
        <f t="shared" si="26"/>
        <v>20000</v>
      </c>
      <c r="Q59" s="227"/>
      <c r="R59" s="228"/>
      <c r="S59" s="228"/>
      <c r="T59" s="214">
        <f>SUM(Q59:S59)</f>
        <v>0</v>
      </c>
      <c r="U59" s="392"/>
      <c r="V59" s="229"/>
      <c r="W59" s="230"/>
      <c r="X59" s="230"/>
      <c r="Y59" s="230"/>
      <c r="Z59" s="230"/>
      <c r="AA59" s="230"/>
      <c r="AB59" s="218">
        <f>SUM(V59:AA59)</f>
        <v>0</v>
      </c>
      <c r="AC59" s="219"/>
      <c r="AD59" s="231"/>
      <c r="AE59" s="318"/>
      <c r="AF59" s="220">
        <f>L59+P59+U59+AC59+AD59+AE59</f>
        <v>170000</v>
      </c>
      <c r="AG59" s="206"/>
      <c r="AJ59" s="1053"/>
      <c r="AK59" s="468"/>
    </row>
    <row r="60" spans="1:37" ht="75">
      <c r="A60" s="221" t="s">
        <v>582</v>
      </c>
      <c r="B60" s="222"/>
      <c r="C60" s="223"/>
      <c r="D60" s="223"/>
      <c r="E60" s="223"/>
      <c r="F60" s="223"/>
      <c r="G60" s="223"/>
      <c r="H60" s="223"/>
      <c r="I60" s="223"/>
      <c r="J60" s="223"/>
      <c r="K60" s="223">
        <v>3600000</v>
      </c>
      <c r="L60" s="208">
        <f>SUM(B60:K60)</f>
        <v>3600000</v>
      </c>
      <c r="M60" s="225"/>
      <c r="N60" s="226"/>
      <c r="O60" s="226"/>
      <c r="P60" s="211"/>
      <c r="Q60" s="227"/>
      <c r="R60" s="228"/>
      <c r="S60" s="228"/>
      <c r="T60" s="214"/>
      <c r="U60" s="392"/>
      <c r="V60" s="229"/>
      <c r="W60" s="230"/>
      <c r="X60" s="230"/>
      <c r="Y60" s="230"/>
      <c r="Z60" s="230"/>
      <c r="AA60" s="230">
        <v>3740400</v>
      </c>
      <c r="AB60" s="218">
        <f>SUM(V60:AA60)</f>
        <v>3740400</v>
      </c>
      <c r="AC60" s="219"/>
      <c r="AD60" s="231"/>
      <c r="AE60" s="318"/>
      <c r="AF60" s="220">
        <f>L60+P60+U60+AC60+AD60+AE60+T60+AB60</f>
        <v>7340400</v>
      </c>
      <c r="AG60" s="206"/>
      <c r="AJ60" s="1053"/>
      <c r="AK60" s="468"/>
    </row>
    <row r="61" spans="1:37" ht="30">
      <c r="A61" s="320" t="s">
        <v>358</v>
      </c>
      <c r="B61" s="321">
        <f t="shared" ref="B61:Z61" si="29">SUM(B59:B60)</f>
        <v>0</v>
      </c>
      <c r="C61" s="322">
        <f t="shared" si="29"/>
        <v>0</v>
      </c>
      <c r="D61" s="322">
        <f t="shared" si="29"/>
        <v>0</v>
      </c>
      <c r="E61" s="322">
        <f t="shared" si="29"/>
        <v>0</v>
      </c>
      <c r="F61" s="322">
        <f t="shared" si="29"/>
        <v>0</v>
      </c>
      <c r="G61" s="322">
        <f t="shared" si="29"/>
        <v>0</v>
      </c>
      <c r="H61" s="322">
        <f t="shared" si="29"/>
        <v>0</v>
      </c>
      <c r="I61" s="322">
        <f t="shared" si="29"/>
        <v>0</v>
      </c>
      <c r="J61" s="322">
        <f t="shared" si="29"/>
        <v>0</v>
      </c>
      <c r="K61" s="322">
        <f t="shared" si="29"/>
        <v>3750000</v>
      </c>
      <c r="L61" s="323">
        <f t="shared" si="29"/>
        <v>3750000</v>
      </c>
      <c r="M61" s="324">
        <f t="shared" si="29"/>
        <v>20000</v>
      </c>
      <c r="N61" s="325">
        <f t="shared" si="29"/>
        <v>0</v>
      </c>
      <c r="O61" s="325">
        <f t="shared" si="29"/>
        <v>0</v>
      </c>
      <c r="P61" s="393">
        <f t="shared" si="29"/>
        <v>20000</v>
      </c>
      <c r="Q61" s="326">
        <f t="shared" si="29"/>
        <v>0</v>
      </c>
      <c r="R61" s="327">
        <f t="shared" si="29"/>
        <v>0</v>
      </c>
      <c r="S61" s="327">
        <f>SUM(S59:S60)</f>
        <v>0</v>
      </c>
      <c r="T61" s="394">
        <f>SUM(T59:T60)</f>
        <v>0</v>
      </c>
      <c r="U61" s="395">
        <f t="shared" si="29"/>
        <v>0</v>
      </c>
      <c r="V61" s="329">
        <f t="shared" si="29"/>
        <v>0</v>
      </c>
      <c r="W61" s="330">
        <f t="shared" si="29"/>
        <v>0</v>
      </c>
      <c r="X61" s="330">
        <f t="shared" si="29"/>
        <v>0</v>
      </c>
      <c r="Y61" s="330">
        <f t="shared" si="29"/>
        <v>0</v>
      </c>
      <c r="Z61" s="330">
        <f t="shared" si="29"/>
        <v>0</v>
      </c>
      <c r="AA61" s="330">
        <f t="shared" ref="AA61:AF61" si="30">SUM(AA59:AA60)</f>
        <v>3740400</v>
      </c>
      <c r="AB61" s="396">
        <f t="shared" si="30"/>
        <v>3740400</v>
      </c>
      <c r="AC61" s="371">
        <f t="shared" si="30"/>
        <v>0</v>
      </c>
      <c r="AD61" s="372">
        <f t="shared" si="30"/>
        <v>0</v>
      </c>
      <c r="AE61" s="404">
        <f t="shared" si="30"/>
        <v>0</v>
      </c>
      <c r="AF61" s="397">
        <f t="shared" si="30"/>
        <v>7510400</v>
      </c>
      <c r="AG61" s="206">
        <v>3642613</v>
      </c>
      <c r="AJ61" s="1053"/>
      <c r="AK61" s="468"/>
    </row>
    <row r="62" spans="1:37" ht="90.75" thickBot="1">
      <c r="A62" s="335" t="s">
        <v>580</v>
      </c>
      <c r="B62" s="336"/>
      <c r="C62" s="337"/>
      <c r="D62" s="337"/>
      <c r="E62" s="337"/>
      <c r="F62" s="337"/>
      <c r="G62" s="337"/>
      <c r="H62" s="337"/>
      <c r="I62" s="337"/>
      <c r="J62" s="337"/>
      <c r="K62" s="337">
        <v>900000</v>
      </c>
      <c r="L62" s="235">
        <f>SUM(B62:K62)</f>
        <v>900000</v>
      </c>
      <c r="M62" s="236"/>
      <c r="N62" s="237"/>
      <c r="O62" s="237">
        <v>100000</v>
      </c>
      <c r="P62" s="377">
        <f>SUM(M62:O62)</f>
        <v>100000</v>
      </c>
      <c r="Q62" s="239"/>
      <c r="R62" s="240"/>
      <c r="S62" s="240"/>
      <c r="T62" s="380">
        <f>SUM(Q62:S62)</f>
        <v>0</v>
      </c>
      <c r="U62" s="405"/>
      <c r="V62" s="243"/>
      <c r="W62" s="244"/>
      <c r="X62" s="244"/>
      <c r="Y62" s="244"/>
      <c r="Z62" s="244"/>
      <c r="AA62" s="244">
        <v>100000</v>
      </c>
      <c r="AB62" s="384">
        <f>SUM(V62:AA62)</f>
        <v>100000</v>
      </c>
      <c r="AC62" s="385"/>
      <c r="AD62" s="386"/>
      <c r="AE62" s="387"/>
      <c r="AF62" s="220">
        <f>L62+P62+U62+AC62+AD62+AE62+T62+AB62</f>
        <v>1100000</v>
      </c>
      <c r="AG62" s="206">
        <v>1198770</v>
      </c>
      <c r="AJ62" s="1053"/>
      <c r="AK62" s="468"/>
    </row>
    <row r="63" spans="1:37" ht="16.5" thickBot="1">
      <c r="A63" s="406" t="s">
        <v>359</v>
      </c>
      <c r="B63" s="407">
        <f t="shared" ref="B63:AE63" si="31">B52+B53+B54+B55+B58+B61+B62</f>
        <v>0</v>
      </c>
      <c r="C63" s="408">
        <f t="shared" si="31"/>
        <v>0</v>
      </c>
      <c r="D63" s="408">
        <f t="shared" si="31"/>
        <v>0</v>
      </c>
      <c r="E63" s="408">
        <f t="shared" si="31"/>
        <v>0</v>
      </c>
      <c r="F63" s="408">
        <f t="shared" si="31"/>
        <v>0</v>
      </c>
      <c r="G63" s="408">
        <f t="shared" si="31"/>
        <v>0</v>
      </c>
      <c r="H63" s="408">
        <f t="shared" si="31"/>
        <v>0</v>
      </c>
      <c r="I63" s="408">
        <f t="shared" si="31"/>
        <v>0</v>
      </c>
      <c r="J63" s="408">
        <f t="shared" si="31"/>
        <v>0</v>
      </c>
      <c r="K63" s="408">
        <f t="shared" si="31"/>
        <v>5330000</v>
      </c>
      <c r="L63" s="409">
        <f t="shared" si="31"/>
        <v>5330000</v>
      </c>
      <c r="M63" s="410">
        <f t="shared" si="31"/>
        <v>20000</v>
      </c>
      <c r="N63" s="411">
        <f t="shared" si="31"/>
        <v>0</v>
      </c>
      <c r="O63" s="411">
        <f t="shared" si="31"/>
        <v>175000</v>
      </c>
      <c r="P63" s="412">
        <f t="shared" si="31"/>
        <v>195000</v>
      </c>
      <c r="Q63" s="413">
        <f t="shared" si="31"/>
        <v>0</v>
      </c>
      <c r="R63" s="413">
        <f t="shared" si="31"/>
        <v>0</v>
      </c>
      <c r="S63" s="414">
        <f t="shared" si="31"/>
        <v>0</v>
      </c>
      <c r="T63" s="415">
        <f t="shared" si="31"/>
        <v>0</v>
      </c>
      <c r="U63" s="416">
        <f t="shared" si="31"/>
        <v>0</v>
      </c>
      <c r="V63" s="417">
        <f t="shared" si="31"/>
        <v>0</v>
      </c>
      <c r="W63" s="418">
        <f t="shared" si="31"/>
        <v>0</v>
      </c>
      <c r="X63" s="418">
        <f t="shared" si="31"/>
        <v>0</v>
      </c>
      <c r="Y63" s="418">
        <f t="shared" si="31"/>
        <v>0</v>
      </c>
      <c r="Z63" s="418">
        <f t="shared" si="31"/>
        <v>0</v>
      </c>
      <c r="AA63" s="418">
        <f t="shared" si="31"/>
        <v>5260400</v>
      </c>
      <c r="AB63" s="419">
        <f t="shared" si="31"/>
        <v>5260400</v>
      </c>
      <c r="AC63" s="420">
        <f t="shared" si="31"/>
        <v>0</v>
      </c>
      <c r="AD63" s="421">
        <f t="shared" si="31"/>
        <v>0</v>
      </c>
      <c r="AE63" s="422">
        <f t="shared" si="31"/>
        <v>0</v>
      </c>
      <c r="AF63" s="423">
        <f>AF52+AF53+AF54+AF55+AF58+AF61+AF62</f>
        <v>10785400</v>
      </c>
      <c r="AG63" s="206"/>
      <c r="AJ63" s="1053"/>
      <c r="AK63" s="468"/>
    </row>
    <row r="64" spans="1:37" ht="30">
      <c r="A64" s="363" t="s">
        <v>360</v>
      </c>
      <c r="B64" s="189"/>
      <c r="C64" s="190"/>
      <c r="D64" s="190"/>
      <c r="E64" s="190"/>
      <c r="F64" s="190"/>
      <c r="G64" s="190"/>
      <c r="H64" s="190"/>
      <c r="I64" s="190"/>
      <c r="J64" s="190"/>
      <c r="K64" s="190">
        <v>370000</v>
      </c>
      <c r="L64" s="224">
        <f>SUM(B64:K64)</f>
        <v>370000</v>
      </c>
      <c r="M64" s="209"/>
      <c r="N64" s="210"/>
      <c r="O64" s="210">
        <v>10000</v>
      </c>
      <c r="P64" s="364">
        <f>SUM(M64:O64)</f>
        <v>10000</v>
      </c>
      <c r="Q64" s="212"/>
      <c r="R64" s="213"/>
      <c r="S64" s="213"/>
      <c r="T64" s="365">
        <f>SUM(Q64:S64)</f>
        <v>0</v>
      </c>
      <c r="U64" s="366"/>
      <c r="V64" s="216"/>
      <c r="W64" s="217"/>
      <c r="X64" s="217"/>
      <c r="Y64" s="217"/>
      <c r="Z64" s="217"/>
      <c r="AA64" s="217">
        <v>20000</v>
      </c>
      <c r="AB64" s="367">
        <f>SUM(V64:AA64)</f>
        <v>20000</v>
      </c>
      <c r="AC64" s="368"/>
      <c r="AD64" s="203"/>
      <c r="AE64" s="369"/>
      <c r="AF64" s="204">
        <f>L64+P64+U64+AC64+AD64+AE64+AB64</f>
        <v>400000</v>
      </c>
      <c r="AG64" s="206">
        <v>258766</v>
      </c>
      <c r="AJ64" s="1053"/>
      <c r="AK64" s="468"/>
    </row>
    <row r="65" spans="1:37">
      <c r="A65" s="221" t="s">
        <v>361</v>
      </c>
      <c r="B65" s="222"/>
      <c r="C65" s="223"/>
      <c r="D65" s="223"/>
      <c r="E65" s="223"/>
      <c r="F65" s="223"/>
      <c r="G65" s="223"/>
      <c r="H65" s="223"/>
      <c r="I65" s="223"/>
      <c r="J65" s="223"/>
      <c r="K65" s="223"/>
      <c r="L65" s="208">
        <f>SUM(B65:K65)</f>
        <v>0</v>
      </c>
      <c r="M65" s="225"/>
      <c r="N65" s="226"/>
      <c r="O65" s="226"/>
      <c r="P65" s="211">
        <f>SUM(M65:O65)</f>
        <v>0</v>
      </c>
      <c r="Q65" s="227"/>
      <c r="R65" s="228"/>
      <c r="S65" s="228"/>
      <c r="T65" s="214">
        <f>SUM(Q65:S65)</f>
        <v>0</v>
      </c>
      <c r="U65" s="215"/>
      <c r="V65" s="229"/>
      <c r="W65" s="230"/>
      <c r="X65" s="230"/>
      <c r="Y65" s="230"/>
      <c r="Z65" s="230"/>
      <c r="AA65" s="230"/>
      <c r="AB65" s="218">
        <f>SUM(V65:AA65)</f>
        <v>0</v>
      </c>
      <c r="AC65" s="219"/>
      <c r="AD65" s="231"/>
      <c r="AE65" s="318"/>
      <c r="AF65" s="220">
        <f>L65+P65+U65+AC65+AD65+AE65</f>
        <v>0</v>
      </c>
      <c r="AG65" s="206"/>
      <c r="AJ65" s="1053"/>
      <c r="AK65" s="468"/>
    </row>
    <row r="66" spans="1:37">
      <c r="A66" s="320" t="s">
        <v>362</v>
      </c>
      <c r="B66" s="321">
        <f t="shared" ref="B66:Z66" si="32">SUM(B64:B65)</f>
        <v>0</v>
      </c>
      <c r="C66" s="322">
        <f t="shared" si="32"/>
        <v>0</v>
      </c>
      <c r="D66" s="322">
        <f t="shared" si="32"/>
        <v>0</v>
      </c>
      <c r="E66" s="322">
        <f t="shared" si="32"/>
        <v>0</v>
      </c>
      <c r="F66" s="322">
        <f t="shared" si="32"/>
        <v>0</v>
      </c>
      <c r="G66" s="322">
        <f t="shared" si="32"/>
        <v>0</v>
      </c>
      <c r="H66" s="322">
        <f t="shared" si="32"/>
        <v>0</v>
      </c>
      <c r="I66" s="322">
        <f t="shared" si="32"/>
        <v>0</v>
      </c>
      <c r="J66" s="322">
        <f t="shared" si="32"/>
        <v>0</v>
      </c>
      <c r="K66" s="322">
        <f t="shared" si="32"/>
        <v>370000</v>
      </c>
      <c r="L66" s="323">
        <f t="shared" si="32"/>
        <v>370000</v>
      </c>
      <c r="M66" s="324">
        <f t="shared" si="32"/>
        <v>0</v>
      </c>
      <c r="N66" s="325">
        <f t="shared" si="32"/>
        <v>0</v>
      </c>
      <c r="O66" s="325">
        <f t="shared" si="32"/>
        <v>10000</v>
      </c>
      <c r="P66" s="393">
        <f t="shared" si="32"/>
        <v>10000</v>
      </c>
      <c r="Q66" s="326">
        <f t="shared" si="32"/>
        <v>0</v>
      </c>
      <c r="R66" s="327">
        <f t="shared" si="32"/>
        <v>0</v>
      </c>
      <c r="S66" s="327">
        <f>SUM(S64:S65)</f>
        <v>0</v>
      </c>
      <c r="T66" s="394">
        <f>SUM(T64:T65)</f>
        <v>0</v>
      </c>
      <c r="U66" s="328">
        <f t="shared" si="32"/>
        <v>0</v>
      </c>
      <c r="V66" s="329">
        <f t="shared" si="32"/>
        <v>0</v>
      </c>
      <c r="W66" s="330">
        <f t="shared" si="32"/>
        <v>0</v>
      </c>
      <c r="X66" s="330">
        <f t="shared" si="32"/>
        <v>0</v>
      </c>
      <c r="Y66" s="330">
        <f t="shared" si="32"/>
        <v>0</v>
      </c>
      <c r="Z66" s="330">
        <f t="shared" si="32"/>
        <v>0</v>
      </c>
      <c r="AA66" s="330">
        <f t="shared" ref="AA66:AF66" si="33">SUM(AA64:AA65)</f>
        <v>20000</v>
      </c>
      <c r="AB66" s="396">
        <f t="shared" si="33"/>
        <v>20000</v>
      </c>
      <c r="AC66" s="331">
        <f t="shared" si="33"/>
        <v>0</v>
      </c>
      <c r="AD66" s="332">
        <f t="shared" si="33"/>
        <v>0</v>
      </c>
      <c r="AE66" s="333">
        <f t="shared" si="33"/>
        <v>0</v>
      </c>
      <c r="AF66" s="334">
        <f t="shared" si="33"/>
        <v>400000</v>
      </c>
      <c r="AG66" s="206"/>
      <c r="AJ66" s="1053"/>
      <c r="AK66" s="468"/>
    </row>
    <row r="67" spans="1:37" ht="16.5" thickBot="1">
      <c r="A67" s="335" t="s">
        <v>363</v>
      </c>
      <c r="B67" s="336"/>
      <c r="C67" s="337"/>
      <c r="D67" s="337"/>
      <c r="E67" s="337"/>
      <c r="F67" s="337"/>
      <c r="G67" s="337"/>
      <c r="H67" s="337"/>
      <c r="I67" s="337"/>
      <c r="J67" s="337"/>
      <c r="K67" s="337"/>
      <c r="L67" s="235">
        <f>SUM(B67:K67)</f>
        <v>0</v>
      </c>
      <c r="M67" s="236"/>
      <c r="N67" s="237"/>
      <c r="O67" s="237"/>
      <c r="P67" s="393">
        <f>SUM(M67:O67)</f>
        <v>0</v>
      </c>
      <c r="Q67" s="239"/>
      <c r="R67" s="240"/>
      <c r="S67" s="240"/>
      <c r="T67" s="380"/>
      <c r="U67" s="381"/>
      <c r="V67" s="243"/>
      <c r="W67" s="244"/>
      <c r="X67" s="244"/>
      <c r="Y67" s="244"/>
      <c r="Z67" s="244"/>
      <c r="AA67" s="244"/>
      <c r="AB67" s="384"/>
      <c r="AC67" s="385"/>
      <c r="AD67" s="386"/>
      <c r="AE67" s="387"/>
      <c r="AF67" s="248">
        <f>L67+P67+U67+AC67+AD67+AE67</f>
        <v>0</v>
      </c>
      <c r="AG67" s="206"/>
      <c r="AJ67" s="1053"/>
      <c r="AK67" s="468"/>
    </row>
    <row r="68" spans="1:37" ht="30.75" thickBot="1">
      <c r="A68" s="350" t="s">
        <v>364</v>
      </c>
      <c r="B68" s="351">
        <f t="shared" ref="B68:AF68" si="34">B66+B67</f>
        <v>0</v>
      </c>
      <c r="C68" s="352">
        <f t="shared" si="34"/>
        <v>0</v>
      </c>
      <c r="D68" s="352">
        <f t="shared" si="34"/>
        <v>0</v>
      </c>
      <c r="E68" s="352">
        <f t="shared" si="34"/>
        <v>0</v>
      </c>
      <c r="F68" s="352">
        <f t="shared" si="34"/>
        <v>0</v>
      </c>
      <c r="G68" s="352">
        <f t="shared" si="34"/>
        <v>0</v>
      </c>
      <c r="H68" s="352">
        <f t="shared" si="34"/>
        <v>0</v>
      </c>
      <c r="I68" s="352">
        <f t="shared" si="34"/>
        <v>0</v>
      </c>
      <c r="J68" s="352">
        <f t="shared" si="34"/>
        <v>0</v>
      </c>
      <c r="K68" s="352">
        <f t="shared" si="34"/>
        <v>370000</v>
      </c>
      <c r="L68" s="353">
        <f t="shared" si="34"/>
        <v>370000</v>
      </c>
      <c r="M68" s="424">
        <f t="shared" si="34"/>
        <v>0</v>
      </c>
      <c r="N68" s="354">
        <f t="shared" si="34"/>
        <v>0</v>
      </c>
      <c r="O68" s="354">
        <f t="shared" si="34"/>
        <v>10000</v>
      </c>
      <c r="P68" s="256">
        <f t="shared" si="34"/>
        <v>10000</v>
      </c>
      <c r="Q68" s="390">
        <f t="shared" si="34"/>
        <v>0</v>
      </c>
      <c r="R68" s="355">
        <f t="shared" si="34"/>
        <v>0</v>
      </c>
      <c r="S68" s="355">
        <f t="shared" si="34"/>
        <v>0</v>
      </c>
      <c r="T68" s="259">
        <f t="shared" si="34"/>
        <v>0</v>
      </c>
      <c r="U68" s="356">
        <f t="shared" si="34"/>
        <v>0</v>
      </c>
      <c r="V68" s="357">
        <f t="shared" si="34"/>
        <v>0</v>
      </c>
      <c r="W68" s="358">
        <f t="shared" si="34"/>
        <v>0</v>
      </c>
      <c r="X68" s="358">
        <f t="shared" si="34"/>
        <v>0</v>
      </c>
      <c r="Y68" s="358">
        <f t="shared" si="34"/>
        <v>0</v>
      </c>
      <c r="Z68" s="358">
        <f t="shared" si="34"/>
        <v>0</v>
      </c>
      <c r="AA68" s="358">
        <f t="shared" si="34"/>
        <v>20000</v>
      </c>
      <c r="AB68" s="263">
        <f t="shared" si="34"/>
        <v>20000</v>
      </c>
      <c r="AC68" s="359">
        <f t="shared" si="34"/>
        <v>0</v>
      </c>
      <c r="AD68" s="360">
        <f t="shared" si="34"/>
        <v>0</v>
      </c>
      <c r="AE68" s="361">
        <f t="shared" si="34"/>
        <v>0</v>
      </c>
      <c r="AF68" s="362">
        <f t="shared" si="34"/>
        <v>400000</v>
      </c>
      <c r="AG68" s="206"/>
      <c r="AJ68" s="1053"/>
      <c r="AK68" s="468"/>
    </row>
    <row r="69" spans="1:37">
      <c r="A69" s="425" t="s">
        <v>365</v>
      </c>
      <c r="B69" s="426"/>
      <c r="C69" s="427"/>
      <c r="D69" s="427"/>
      <c r="E69" s="427"/>
      <c r="F69" s="427"/>
      <c r="G69" s="427"/>
      <c r="H69" s="427"/>
      <c r="I69" s="427"/>
      <c r="J69" s="427"/>
      <c r="K69" s="428">
        <f>(K40+K47+K63)*27%</f>
        <v>1986660.0000000002</v>
      </c>
      <c r="L69" s="429">
        <f>SUM(B69,K69)</f>
        <v>1986660.0000000002</v>
      </c>
      <c r="M69" s="430"/>
      <c r="N69" s="431"/>
      <c r="O69" s="431">
        <f>(O40+O47+O63)*27%</f>
        <v>117450.00000000001</v>
      </c>
      <c r="P69" s="364">
        <f>SUM(M69:O69)</f>
        <v>117450.00000000001</v>
      </c>
      <c r="Q69" s="432"/>
      <c r="R69" s="433"/>
      <c r="S69" s="433"/>
      <c r="T69" s="365">
        <f>SUM(Q69:S69)</f>
        <v>0</v>
      </c>
      <c r="U69" s="434"/>
      <c r="V69" s="435"/>
      <c r="W69" s="436"/>
      <c r="X69" s="436"/>
      <c r="Y69" s="436"/>
      <c r="Z69" s="436"/>
      <c r="AA69" s="436">
        <f>(AA40+AA47+AA63-860400)*27%</f>
        <v>4790070</v>
      </c>
      <c r="AB69" s="367">
        <f>SUM(V69:AA69)</f>
        <v>4790070</v>
      </c>
      <c r="AC69" s="437"/>
      <c r="AD69" s="438"/>
      <c r="AE69" s="439"/>
      <c r="AF69" s="204">
        <f>L69+P69+U69+AC69+AD69+AE69+T69+AB69</f>
        <v>6894180</v>
      </c>
      <c r="AG69" s="206">
        <v>5042965</v>
      </c>
      <c r="AJ69" s="1053"/>
      <c r="AK69" s="468"/>
    </row>
    <row r="70" spans="1:37">
      <c r="A70" s="320" t="s">
        <v>366</v>
      </c>
      <c r="B70" s="321"/>
      <c r="C70" s="322"/>
      <c r="D70" s="322"/>
      <c r="E70" s="322"/>
      <c r="F70" s="322"/>
      <c r="G70" s="322"/>
      <c r="H70" s="322"/>
      <c r="I70" s="322"/>
      <c r="J70" s="322"/>
      <c r="K70" s="440"/>
      <c r="L70" s="441">
        <f>SUM(B70,K70)</f>
        <v>0</v>
      </c>
      <c r="M70" s="442"/>
      <c r="N70" s="443"/>
      <c r="O70" s="443"/>
      <c r="P70" s="393"/>
      <c r="Q70" s="444"/>
      <c r="R70" s="445"/>
      <c r="S70" s="445"/>
      <c r="T70" s="365">
        <f>SUM(Q70:S70)</f>
        <v>0</v>
      </c>
      <c r="U70" s="446"/>
      <c r="V70" s="447"/>
      <c r="W70" s="448"/>
      <c r="X70" s="448"/>
      <c r="Y70" s="448"/>
      <c r="Z70" s="448"/>
      <c r="AA70" s="448"/>
      <c r="AB70" s="396"/>
      <c r="AC70" s="399"/>
      <c r="AD70" s="400"/>
      <c r="AE70" s="401"/>
      <c r="AF70" s="204">
        <f>L70+P70+U70+AC70+AD70+AE70+T70+AB70</f>
        <v>0</v>
      </c>
      <c r="AG70" s="206">
        <v>151620</v>
      </c>
      <c r="AJ70" s="1053"/>
      <c r="AK70" s="468"/>
    </row>
    <row r="71" spans="1:37">
      <c r="A71" s="221" t="s">
        <v>367</v>
      </c>
      <c r="B71" s="222"/>
      <c r="C71" s="223"/>
      <c r="D71" s="223"/>
      <c r="E71" s="223"/>
      <c r="F71" s="223"/>
      <c r="G71" s="223"/>
      <c r="H71" s="223"/>
      <c r="I71" s="223"/>
      <c r="J71" s="223"/>
      <c r="K71" s="223"/>
      <c r="L71" s="208">
        <f>SUM(B71:K71)</f>
        <v>0</v>
      </c>
      <c r="M71" s="225"/>
      <c r="N71" s="226"/>
      <c r="O71" s="226"/>
      <c r="P71" s="211"/>
      <c r="Q71" s="227"/>
      <c r="R71" s="228"/>
      <c r="S71" s="228"/>
      <c r="T71" s="365">
        <f>SUM(Q71:S71)</f>
        <v>0</v>
      </c>
      <c r="U71" s="215"/>
      <c r="V71" s="229"/>
      <c r="W71" s="230"/>
      <c r="X71" s="230"/>
      <c r="Y71" s="230"/>
      <c r="Z71" s="230"/>
      <c r="AA71" s="230"/>
      <c r="AB71" s="218"/>
      <c r="AC71" s="219"/>
      <c r="AD71" s="231"/>
      <c r="AE71" s="318"/>
      <c r="AF71" s="204">
        <f>L71+P71+U71+AC71+AD71+AE71+T71+AB71</f>
        <v>0</v>
      </c>
      <c r="AG71" s="206"/>
      <c r="AJ71" s="1053"/>
      <c r="AK71" s="468"/>
    </row>
    <row r="72" spans="1:37">
      <c r="A72" s="320" t="s">
        <v>368</v>
      </c>
      <c r="B72" s="321">
        <f t="shared" ref="B72:AA72" si="35">B71</f>
        <v>0</v>
      </c>
      <c r="C72" s="322">
        <f t="shared" si="35"/>
        <v>0</v>
      </c>
      <c r="D72" s="322">
        <f t="shared" si="35"/>
        <v>0</v>
      </c>
      <c r="E72" s="322">
        <f t="shared" si="35"/>
        <v>0</v>
      </c>
      <c r="F72" s="322">
        <f t="shared" si="35"/>
        <v>0</v>
      </c>
      <c r="G72" s="322">
        <f t="shared" si="35"/>
        <v>0</v>
      </c>
      <c r="H72" s="322">
        <f t="shared" si="35"/>
        <v>0</v>
      </c>
      <c r="I72" s="322">
        <f t="shared" si="35"/>
        <v>0</v>
      </c>
      <c r="J72" s="322">
        <f t="shared" si="35"/>
        <v>0</v>
      </c>
      <c r="K72" s="322">
        <f t="shared" si="35"/>
        <v>0</v>
      </c>
      <c r="L72" s="323">
        <f t="shared" si="35"/>
        <v>0</v>
      </c>
      <c r="M72" s="325">
        <f t="shared" si="35"/>
        <v>0</v>
      </c>
      <c r="N72" s="325">
        <f t="shared" si="35"/>
        <v>0</v>
      </c>
      <c r="O72" s="325">
        <f t="shared" si="35"/>
        <v>0</v>
      </c>
      <c r="P72" s="393">
        <f t="shared" si="35"/>
        <v>0</v>
      </c>
      <c r="Q72" s="326">
        <f t="shared" si="35"/>
        <v>0</v>
      </c>
      <c r="R72" s="327">
        <f t="shared" si="35"/>
        <v>0</v>
      </c>
      <c r="S72" s="449">
        <f t="shared" si="35"/>
        <v>0</v>
      </c>
      <c r="T72" s="394">
        <f t="shared" si="35"/>
        <v>0</v>
      </c>
      <c r="U72" s="370">
        <f t="shared" si="35"/>
        <v>0</v>
      </c>
      <c r="V72" s="329">
        <f t="shared" si="35"/>
        <v>0</v>
      </c>
      <c r="W72" s="330">
        <f t="shared" si="35"/>
        <v>0</v>
      </c>
      <c r="X72" s="330">
        <f t="shared" si="35"/>
        <v>0</v>
      </c>
      <c r="Y72" s="330">
        <f t="shared" si="35"/>
        <v>0</v>
      </c>
      <c r="Z72" s="330">
        <f t="shared" si="35"/>
        <v>0</v>
      </c>
      <c r="AA72" s="330">
        <f t="shared" si="35"/>
        <v>0</v>
      </c>
      <c r="AB72" s="396">
        <f>AB71</f>
        <v>0</v>
      </c>
      <c r="AC72" s="371">
        <f>AC71</f>
        <v>0</v>
      </c>
      <c r="AD72" s="372">
        <f>AD71</f>
        <v>0</v>
      </c>
      <c r="AE72" s="373">
        <f>AE71</f>
        <v>0</v>
      </c>
      <c r="AF72" s="220">
        <f t="shared" ref="AF72:AF78" si="36">L72+P72+U72+AC72+AD72+AE72</f>
        <v>0</v>
      </c>
      <c r="AG72" s="206"/>
      <c r="AJ72" s="1053"/>
      <c r="AK72" s="468"/>
    </row>
    <row r="73" spans="1:37">
      <c r="A73" s="221" t="s">
        <v>369</v>
      </c>
      <c r="B73" s="222"/>
      <c r="C73" s="223"/>
      <c r="D73" s="223"/>
      <c r="E73" s="223"/>
      <c r="F73" s="223"/>
      <c r="G73" s="223"/>
      <c r="H73" s="223"/>
      <c r="I73" s="223"/>
      <c r="J73" s="223"/>
      <c r="K73" s="223"/>
      <c r="L73" s="208">
        <f>SUM(B73:K73)</f>
        <v>0</v>
      </c>
      <c r="M73" s="225"/>
      <c r="N73" s="226"/>
      <c r="O73" s="226"/>
      <c r="P73" s="211"/>
      <c r="Q73" s="227"/>
      <c r="R73" s="228"/>
      <c r="S73" s="228"/>
      <c r="T73" s="394">
        <f>T72</f>
        <v>0</v>
      </c>
      <c r="U73" s="215"/>
      <c r="V73" s="229"/>
      <c r="W73" s="230"/>
      <c r="X73" s="230"/>
      <c r="Y73" s="230"/>
      <c r="Z73" s="230"/>
      <c r="AA73" s="230"/>
      <c r="AB73" s="218"/>
      <c r="AC73" s="219"/>
      <c r="AD73" s="231"/>
      <c r="AE73" s="318"/>
      <c r="AF73" s="220">
        <f t="shared" si="36"/>
        <v>0</v>
      </c>
      <c r="AG73" s="206"/>
      <c r="AJ73" s="1053"/>
      <c r="AK73" s="468"/>
    </row>
    <row r="74" spans="1:37">
      <c r="A74" s="221" t="s">
        <v>370</v>
      </c>
      <c r="B74" s="222"/>
      <c r="C74" s="223"/>
      <c r="D74" s="223"/>
      <c r="E74" s="223"/>
      <c r="F74" s="223"/>
      <c r="G74" s="223"/>
      <c r="H74" s="223"/>
      <c r="I74" s="223"/>
      <c r="J74" s="223"/>
      <c r="K74" s="223"/>
      <c r="L74" s="208">
        <f>SUM(B74:K74)</f>
        <v>0</v>
      </c>
      <c r="M74" s="225"/>
      <c r="N74" s="226"/>
      <c r="O74" s="226"/>
      <c r="P74" s="211"/>
      <c r="Q74" s="227"/>
      <c r="R74" s="228"/>
      <c r="S74" s="228"/>
      <c r="T74" s="394">
        <f>T73</f>
        <v>0</v>
      </c>
      <c r="U74" s="215"/>
      <c r="V74" s="229"/>
      <c r="W74" s="230"/>
      <c r="X74" s="230"/>
      <c r="Y74" s="230"/>
      <c r="Z74" s="230"/>
      <c r="AA74" s="230"/>
      <c r="AB74" s="218"/>
      <c r="AC74" s="219"/>
      <c r="AD74" s="231"/>
      <c r="AE74" s="318"/>
      <c r="AF74" s="220">
        <f t="shared" si="36"/>
        <v>0</v>
      </c>
      <c r="AG74" s="206"/>
      <c r="AJ74" s="1053"/>
      <c r="AK74" s="468"/>
    </row>
    <row r="75" spans="1:37" ht="30">
      <c r="A75" s="221" t="s">
        <v>371</v>
      </c>
      <c r="B75" s="222"/>
      <c r="C75" s="223"/>
      <c r="D75" s="223"/>
      <c r="E75" s="223"/>
      <c r="F75" s="223"/>
      <c r="G75" s="223"/>
      <c r="H75" s="223"/>
      <c r="I75" s="223"/>
      <c r="J75" s="223"/>
      <c r="K75" s="223"/>
      <c r="L75" s="208">
        <f>SUM(B75:K75)</f>
        <v>0</v>
      </c>
      <c r="M75" s="225"/>
      <c r="N75" s="226"/>
      <c r="O75" s="226"/>
      <c r="P75" s="211"/>
      <c r="Q75" s="227"/>
      <c r="R75" s="228"/>
      <c r="S75" s="228"/>
      <c r="T75" s="394">
        <f>T74</f>
        <v>0</v>
      </c>
      <c r="U75" s="215"/>
      <c r="V75" s="229"/>
      <c r="W75" s="230"/>
      <c r="X75" s="230"/>
      <c r="Y75" s="230"/>
      <c r="Z75" s="230"/>
      <c r="AA75" s="230"/>
      <c r="AB75" s="218"/>
      <c r="AC75" s="219"/>
      <c r="AD75" s="231"/>
      <c r="AE75" s="318"/>
      <c r="AF75" s="220">
        <f t="shared" si="36"/>
        <v>0</v>
      </c>
      <c r="AG75" s="206"/>
      <c r="AJ75" s="1053"/>
      <c r="AK75" s="468"/>
    </row>
    <row r="76" spans="1:37" ht="45">
      <c r="A76" s="221" t="s">
        <v>372</v>
      </c>
      <c r="B76" s="222"/>
      <c r="C76" s="223"/>
      <c r="D76" s="223"/>
      <c r="E76" s="223"/>
      <c r="F76" s="223"/>
      <c r="G76" s="223"/>
      <c r="H76" s="223"/>
      <c r="I76" s="223"/>
      <c r="J76" s="223"/>
      <c r="K76" s="223"/>
      <c r="L76" s="208">
        <f>SUM(B76:K76)</f>
        <v>0</v>
      </c>
      <c r="M76" s="225"/>
      <c r="N76" s="226"/>
      <c r="O76" s="226"/>
      <c r="P76" s="211"/>
      <c r="Q76" s="227"/>
      <c r="R76" s="228"/>
      <c r="S76" s="228"/>
      <c r="T76" s="394">
        <f>T75</f>
        <v>0</v>
      </c>
      <c r="U76" s="215"/>
      <c r="V76" s="229"/>
      <c r="W76" s="230"/>
      <c r="X76" s="230"/>
      <c r="Y76" s="230"/>
      <c r="Z76" s="230"/>
      <c r="AA76" s="230"/>
      <c r="AB76" s="218">
        <f>SUM(V76:AA76)</f>
        <v>0</v>
      </c>
      <c r="AC76" s="219"/>
      <c r="AD76" s="231"/>
      <c r="AE76" s="318"/>
      <c r="AF76" s="204">
        <f>L76+P76+U76+AC76+AD76+AE76+T76+AB76</f>
        <v>0</v>
      </c>
      <c r="AG76" s="206"/>
      <c r="AJ76" s="1053"/>
      <c r="AK76" s="468"/>
    </row>
    <row r="77" spans="1:37" ht="30">
      <c r="A77" s="221" t="s">
        <v>373</v>
      </c>
      <c r="B77" s="222"/>
      <c r="C77" s="223"/>
      <c r="D77" s="223"/>
      <c r="E77" s="223"/>
      <c r="F77" s="223"/>
      <c r="G77" s="223"/>
      <c r="H77" s="223"/>
      <c r="I77" s="223"/>
      <c r="J77" s="223"/>
      <c r="K77" s="223"/>
      <c r="L77" s="208">
        <f>SUM(B77:K77)</f>
        <v>0</v>
      </c>
      <c r="M77" s="225"/>
      <c r="N77" s="226"/>
      <c r="O77" s="226"/>
      <c r="P77" s="211"/>
      <c r="Q77" s="227"/>
      <c r="R77" s="228"/>
      <c r="S77" s="228"/>
      <c r="T77" s="394">
        <f>T76</f>
        <v>0</v>
      </c>
      <c r="U77" s="215"/>
      <c r="V77" s="229"/>
      <c r="W77" s="230"/>
      <c r="X77" s="230"/>
      <c r="Y77" s="230"/>
      <c r="Z77" s="230"/>
      <c r="AA77" s="230"/>
      <c r="AB77" s="218"/>
      <c r="AC77" s="219"/>
      <c r="AD77" s="231"/>
      <c r="AE77" s="318"/>
      <c r="AF77" s="220">
        <f>L77+P77+U77+AC77+AD77+AE77</f>
        <v>0</v>
      </c>
      <c r="AG77" s="206"/>
      <c r="AJ77" s="1053"/>
      <c r="AK77" s="468"/>
    </row>
    <row r="78" spans="1:37" ht="16.5" thickBot="1">
      <c r="A78" s="335" t="s">
        <v>374</v>
      </c>
      <c r="B78" s="336">
        <f>SUM(B73:B77)</f>
        <v>0</v>
      </c>
      <c r="C78" s="337">
        <f t="shared" ref="C78:AA78" si="37">SUM(C73:C77)</f>
        <v>0</v>
      </c>
      <c r="D78" s="337">
        <f t="shared" si="37"/>
        <v>0</v>
      </c>
      <c r="E78" s="337">
        <f t="shared" si="37"/>
        <v>0</v>
      </c>
      <c r="F78" s="337">
        <f t="shared" si="37"/>
        <v>0</v>
      </c>
      <c r="G78" s="337">
        <f t="shared" si="37"/>
        <v>0</v>
      </c>
      <c r="H78" s="337">
        <f t="shared" si="37"/>
        <v>0</v>
      </c>
      <c r="I78" s="337">
        <f t="shared" si="37"/>
        <v>0</v>
      </c>
      <c r="J78" s="337">
        <f t="shared" si="37"/>
        <v>0</v>
      </c>
      <c r="K78" s="337">
        <f t="shared" si="37"/>
        <v>0</v>
      </c>
      <c r="L78" s="338">
        <f t="shared" si="37"/>
        <v>0</v>
      </c>
      <c r="M78" s="340">
        <f t="shared" si="37"/>
        <v>0</v>
      </c>
      <c r="N78" s="340">
        <f t="shared" si="37"/>
        <v>0</v>
      </c>
      <c r="O78" s="340">
        <f t="shared" si="37"/>
        <v>0</v>
      </c>
      <c r="P78" s="377">
        <f t="shared" si="37"/>
        <v>0</v>
      </c>
      <c r="Q78" s="380">
        <f t="shared" si="37"/>
        <v>0</v>
      </c>
      <c r="R78" s="380">
        <f t="shared" si="37"/>
        <v>0</v>
      </c>
      <c r="S78" s="380">
        <f t="shared" si="37"/>
        <v>0</v>
      </c>
      <c r="T78" s="380">
        <f t="shared" si="37"/>
        <v>0</v>
      </c>
      <c r="U78" s="343">
        <f t="shared" si="37"/>
        <v>0</v>
      </c>
      <c r="V78" s="384">
        <f t="shared" si="37"/>
        <v>0</v>
      </c>
      <c r="W78" s="384">
        <f t="shared" si="37"/>
        <v>0</v>
      </c>
      <c r="X78" s="384">
        <f t="shared" si="37"/>
        <v>0</v>
      </c>
      <c r="Y78" s="384">
        <f t="shared" si="37"/>
        <v>0</v>
      </c>
      <c r="Z78" s="384">
        <f t="shared" si="37"/>
        <v>0</v>
      </c>
      <c r="AA78" s="384">
        <f t="shared" si="37"/>
        <v>0</v>
      </c>
      <c r="AB78" s="384">
        <f>SUM(AB73:AB77)</f>
        <v>0</v>
      </c>
      <c r="AC78" s="346">
        <f>SUM(AC73:AC77)</f>
        <v>0</v>
      </c>
      <c r="AD78" s="347">
        <f>SUM(AD73:AD77)</f>
        <v>0</v>
      </c>
      <c r="AE78" s="348">
        <f>SUM(AE73:AE77)</f>
        <v>0</v>
      </c>
      <c r="AF78" s="248">
        <f t="shared" si="36"/>
        <v>0</v>
      </c>
      <c r="AG78" s="206">
        <v>38917</v>
      </c>
      <c r="AH78" s="450"/>
      <c r="AJ78" s="1053"/>
      <c r="AK78" s="468"/>
    </row>
    <row r="79" spans="1:37" ht="30.75" thickBot="1">
      <c r="A79" s="350" t="s">
        <v>375</v>
      </c>
      <c r="B79" s="351">
        <f>B69+B70+B72+B78</f>
        <v>0</v>
      </c>
      <c r="C79" s="352">
        <f t="shared" ref="C79:J79" si="38">C69+C70+C72+C78</f>
        <v>0</v>
      </c>
      <c r="D79" s="352">
        <f t="shared" si="38"/>
        <v>0</v>
      </c>
      <c r="E79" s="352">
        <f t="shared" si="38"/>
        <v>0</v>
      </c>
      <c r="F79" s="352">
        <f t="shared" si="38"/>
        <v>0</v>
      </c>
      <c r="G79" s="352">
        <f t="shared" si="38"/>
        <v>0</v>
      </c>
      <c r="H79" s="352">
        <f t="shared" si="38"/>
        <v>0</v>
      </c>
      <c r="I79" s="352">
        <f t="shared" si="38"/>
        <v>0</v>
      </c>
      <c r="J79" s="352">
        <f t="shared" si="38"/>
        <v>0</v>
      </c>
      <c r="K79" s="352">
        <f>K69+K70+K72+K78</f>
        <v>1986660.0000000002</v>
      </c>
      <c r="L79" s="353">
        <f>L69+L70+L72+L78</f>
        <v>1986660.0000000002</v>
      </c>
      <c r="M79" s="354">
        <f>M69+M70+M72+M78</f>
        <v>0</v>
      </c>
      <c r="N79" s="354">
        <f>N69+N70+N72+N78</f>
        <v>0</v>
      </c>
      <c r="O79" s="354">
        <f>O69+O70+O72+O78</f>
        <v>117450.00000000001</v>
      </c>
      <c r="P79" s="256">
        <f>SUM(P69,P78)</f>
        <v>117450.00000000001</v>
      </c>
      <c r="Q79" s="355">
        <f>Q69+Q70+Q72+Q78</f>
        <v>0</v>
      </c>
      <c r="R79" s="355">
        <f>R69+R70+R72+R78</f>
        <v>0</v>
      </c>
      <c r="S79" s="355">
        <f>S69+S70+S72+S78</f>
        <v>0</v>
      </c>
      <c r="T79" s="259">
        <f>SUM(T69,T78)</f>
        <v>0</v>
      </c>
      <c r="U79" s="356">
        <f>SUM(U69,U78)</f>
        <v>0</v>
      </c>
      <c r="V79" s="358">
        <f t="shared" ref="V79:AA79" si="39">V69+V70+V72+V78</f>
        <v>0</v>
      </c>
      <c r="W79" s="358">
        <f t="shared" si="39"/>
        <v>0</v>
      </c>
      <c r="X79" s="358">
        <f t="shared" si="39"/>
        <v>0</v>
      </c>
      <c r="Y79" s="358">
        <f t="shared" si="39"/>
        <v>0</v>
      </c>
      <c r="Z79" s="358">
        <f t="shared" si="39"/>
        <v>0</v>
      </c>
      <c r="AA79" s="358">
        <f t="shared" si="39"/>
        <v>4790070</v>
      </c>
      <c r="AB79" s="263">
        <f>SUM(AB69,AB78)</f>
        <v>4790070</v>
      </c>
      <c r="AC79" s="359">
        <f>SUM(AC69,AC78)</f>
        <v>0</v>
      </c>
      <c r="AD79" s="360">
        <f>SUM(AD69,AD78)</f>
        <v>0</v>
      </c>
      <c r="AE79" s="362">
        <f>SUM(AE69,AE78)</f>
        <v>0</v>
      </c>
      <c r="AF79" s="362">
        <f>SUM(AF69:AF77)</f>
        <v>6894180</v>
      </c>
      <c r="AG79" s="206"/>
      <c r="AJ79" s="1053"/>
      <c r="AK79" s="468"/>
    </row>
    <row r="80" spans="1:37" ht="16.5" thickBot="1">
      <c r="A80" s="451" t="s">
        <v>376</v>
      </c>
      <c r="B80" s="452">
        <f t="shared" ref="B80:AE80" si="40">B40+B47+B63+B68+B79</f>
        <v>0</v>
      </c>
      <c r="C80" s="453">
        <f t="shared" si="40"/>
        <v>0</v>
      </c>
      <c r="D80" s="453">
        <f t="shared" si="40"/>
        <v>0</v>
      </c>
      <c r="E80" s="453">
        <f t="shared" si="40"/>
        <v>0</v>
      </c>
      <c r="F80" s="453">
        <f t="shared" si="40"/>
        <v>0</v>
      </c>
      <c r="G80" s="453">
        <f t="shared" si="40"/>
        <v>0</v>
      </c>
      <c r="H80" s="453">
        <f t="shared" si="40"/>
        <v>0</v>
      </c>
      <c r="I80" s="453">
        <f t="shared" si="40"/>
        <v>0</v>
      </c>
      <c r="J80" s="453">
        <f t="shared" si="40"/>
        <v>0</v>
      </c>
      <c r="K80" s="453">
        <f t="shared" si="40"/>
        <v>9714660</v>
      </c>
      <c r="L80" s="454">
        <f t="shared" si="40"/>
        <v>9714660</v>
      </c>
      <c r="M80" s="455">
        <f t="shared" si="40"/>
        <v>20000</v>
      </c>
      <c r="N80" s="456">
        <f t="shared" si="40"/>
        <v>0</v>
      </c>
      <c r="O80" s="456">
        <f t="shared" si="40"/>
        <v>562450</v>
      </c>
      <c r="P80" s="457">
        <f t="shared" si="40"/>
        <v>582450</v>
      </c>
      <c r="Q80" s="458">
        <f t="shared" si="40"/>
        <v>0</v>
      </c>
      <c r="R80" s="458">
        <f t="shared" si="40"/>
        <v>0</v>
      </c>
      <c r="S80" s="459">
        <f t="shared" si="40"/>
        <v>0</v>
      </c>
      <c r="T80" s="460">
        <f t="shared" si="40"/>
        <v>0</v>
      </c>
      <c r="U80" s="461">
        <f t="shared" si="40"/>
        <v>0</v>
      </c>
      <c r="V80" s="462">
        <f t="shared" si="40"/>
        <v>0</v>
      </c>
      <c r="W80" s="463">
        <f t="shared" si="40"/>
        <v>0</v>
      </c>
      <c r="X80" s="463">
        <f t="shared" si="40"/>
        <v>0</v>
      </c>
      <c r="Y80" s="463">
        <f t="shared" si="40"/>
        <v>0</v>
      </c>
      <c r="Z80" s="463">
        <f t="shared" si="40"/>
        <v>0</v>
      </c>
      <c r="AA80" s="463">
        <f t="shared" si="40"/>
        <v>23411470</v>
      </c>
      <c r="AB80" s="464">
        <f t="shared" si="40"/>
        <v>23411470</v>
      </c>
      <c r="AC80" s="465">
        <f t="shared" si="40"/>
        <v>0</v>
      </c>
      <c r="AD80" s="466">
        <f t="shared" si="40"/>
        <v>0</v>
      </c>
      <c r="AE80" s="467">
        <f t="shared" si="40"/>
        <v>0</v>
      </c>
      <c r="AF80" s="467">
        <f>AF40+AF47+AF63+AF68+AF79</f>
        <v>33708580</v>
      </c>
      <c r="AG80" s="206"/>
      <c r="AH80" s="206">
        <f>SUM(AG27:AG78)</f>
        <v>29257217</v>
      </c>
      <c r="AI80" s="592">
        <f>AF80-AH80</f>
        <v>4451363</v>
      </c>
      <c r="AJ80" s="1053">
        <v>31628192</v>
      </c>
      <c r="AK80" s="468">
        <f>AJ80-AH80</f>
        <v>2370975</v>
      </c>
    </row>
    <row r="81" spans="1:37" ht="60.75" thickBot="1">
      <c r="A81" s="469" t="s">
        <v>377</v>
      </c>
      <c r="B81" s="470"/>
      <c r="C81" s="471"/>
      <c r="D81" s="471"/>
      <c r="E81" s="471"/>
      <c r="F81" s="471"/>
      <c r="G81" s="471"/>
      <c r="H81" s="471"/>
      <c r="I81" s="471"/>
      <c r="J81" s="471"/>
      <c r="K81" s="471"/>
      <c r="L81" s="472">
        <f>SUM(B81:K81)</f>
        <v>0</v>
      </c>
      <c r="M81" s="473"/>
      <c r="N81" s="474"/>
      <c r="O81" s="474"/>
      <c r="P81" s="475"/>
      <c r="Q81" s="476"/>
      <c r="R81" s="477"/>
      <c r="S81" s="477"/>
      <c r="T81" s="478"/>
      <c r="U81" s="479"/>
      <c r="V81" s="480"/>
      <c r="W81" s="481"/>
      <c r="X81" s="481"/>
      <c r="Y81" s="481"/>
      <c r="Z81" s="481"/>
      <c r="AA81" s="481"/>
      <c r="AB81" s="482"/>
      <c r="AC81" s="483">
        <v>120000</v>
      </c>
      <c r="AD81" s="484"/>
      <c r="AE81" s="485"/>
      <c r="AF81" s="486">
        <f t="shared" ref="AF81:AF94" si="41">L81+P81+U81+AC81+AD81+AE81</f>
        <v>120000</v>
      </c>
      <c r="AG81" s="206">
        <v>72000</v>
      </c>
      <c r="AJ81" s="1053"/>
      <c r="AK81" s="468"/>
    </row>
    <row r="82" spans="1:37" ht="16.5" thickBot="1">
      <c r="A82" s="350" t="s">
        <v>378</v>
      </c>
      <c r="B82" s="351">
        <f t="shared" ref="B82:L82" si="42">B81</f>
        <v>0</v>
      </c>
      <c r="C82" s="352">
        <f t="shared" si="42"/>
        <v>0</v>
      </c>
      <c r="D82" s="352">
        <f t="shared" si="42"/>
        <v>0</v>
      </c>
      <c r="E82" s="352">
        <f t="shared" si="42"/>
        <v>0</v>
      </c>
      <c r="F82" s="352">
        <f t="shared" si="42"/>
        <v>0</v>
      </c>
      <c r="G82" s="352">
        <f t="shared" si="42"/>
        <v>0</v>
      </c>
      <c r="H82" s="352">
        <f t="shared" si="42"/>
        <v>0</v>
      </c>
      <c r="I82" s="352">
        <f t="shared" si="42"/>
        <v>0</v>
      </c>
      <c r="J82" s="352">
        <f t="shared" si="42"/>
        <v>0</v>
      </c>
      <c r="K82" s="352">
        <f t="shared" si="42"/>
        <v>0</v>
      </c>
      <c r="L82" s="353">
        <f t="shared" si="42"/>
        <v>0</v>
      </c>
      <c r="M82" s="424"/>
      <c r="N82" s="354"/>
      <c r="O82" s="354"/>
      <c r="P82" s="256">
        <f>P81</f>
        <v>0</v>
      </c>
      <c r="Q82" s="390"/>
      <c r="R82" s="355"/>
      <c r="S82" s="355"/>
      <c r="T82" s="259">
        <f>T81</f>
        <v>0</v>
      </c>
      <c r="U82" s="356">
        <f>U81</f>
        <v>0</v>
      </c>
      <c r="V82" s="357"/>
      <c r="W82" s="358"/>
      <c r="X82" s="358"/>
      <c r="Y82" s="358"/>
      <c r="Z82" s="358"/>
      <c r="AA82" s="358"/>
      <c r="AB82" s="263">
        <f>AB81</f>
        <v>0</v>
      </c>
      <c r="AC82" s="359">
        <f>AC81</f>
        <v>120000</v>
      </c>
      <c r="AD82" s="360"/>
      <c r="AE82" s="362"/>
      <c r="AF82" s="266">
        <f t="shared" si="41"/>
        <v>120000</v>
      </c>
      <c r="AG82" s="206"/>
      <c r="AJ82" s="1053"/>
      <c r="AK82" s="468"/>
    </row>
    <row r="83" spans="1:37">
      <c r="A83" s="425" t="s">
        <v>379</v>
      </c>
      <c r="B83" s="426"/>
      <c r="C83" s="427"/>
      <c r="D83" s="427"/>
      <c r="E83" s="427"/>
      <c r="F83" s="427"/>
      <c r="G83" s="427"/>
      <c r="H83" s="427"/>
      <c r="I83" s="427"/>
      <c r="J83" s="427"/>
      <c r="K83" s="427"/>
      <c r="L83" s="487">
        <f>SUM(B83:K83)</f>
        <v>0</v>
      </c>
      <c r="M83" s="488"/>
      <c r="N83" s="489"/>
      <c r="O83" s="489"/>
      <c r="P83" s="490"/>
      <c r="Q83" s="491"/>
      <c r="R83" s="492"/>
      <c r="S83" s="492"/>
      <c r="T83" s="493"/>
      <c r="U83" s="494"/>
      <c r="V83" s="495"/>
      <c r="W83" s="496"/>
      <c r="X83" s="496"/>
      <c r="Y83" s="496"/>
      <c r="Z83" s="496"/>
      <c r="AA83" s="496"/>
      <c r="AB83" s="497"/>
      <c r="AC83" s="498"/>
      <c r="AD83" s="499"/>
      <c r="AE83" s="439"/>
      <c r="AF83" s="204">
        <f t="shared" si="41"/>
        <v>0</v>
      </c>
      <c r="AG83" s="206"/>
      <c r="AJ83" s="1053"/>
      <c r="AK83" s="468"/>
    </row>
    <row r="84" spans="1:37">
      <c r="A84" s="500" t="s">
        <v>380</v>
      </c>
      <c r="B84" s="501">
        <f t="shared" ref="B84:L84" si="43">B83</f>
        <v>0</v>
      </c>
      <c r="C84" s="502">
        <f t="shared" si="43"/>
        <v>0</v>
      </c>
      <c r="D84" s="502">
        <f t="shared" si="43"/>
        <v>0</v>
      </c>
      <c r="E84" s="502">
        <f t="shared" si="43"/>
        <v>0</v>
      </c>
      <c r="F84" s="502">
        <f t="shared" si="43"/>
        <v>0</v>
      </c>
      <c r="G84" s="502">
        <f t="shared" si="43"/>
        <v>0</v>
      </c>
      <c r="H84" s="502">
        <f t="shared" si="43"/>
        <v>0</v>
      </c>
      <c r="I84" s="502">
        <f t="shared" si="43"/>
        <v>0</v>
      </c>
      <c r="J84" s="502">
        <f t="shared" si="43"/>
        <v>0</v>
      </c>
      <c r="K84" s="502">
        <f t="shared" si="43"/>
        <v>0</v>
      </c>
      <c r="L84" s="503">
        <f t="shared" si="43"/>
        <v>0</v>
      </c>
      <c r="M84" s="504"/>
      <c r="N84" s="505"/>
      <c r="O84" s="505"/>
      <c r="P84" s="506">
        <f>P83</f>
        <v>0</v>
      </c>
      <c r="Q84" s="507"/>
      <c r="R84" s="508"/>
      <c r="S84" s="508"/>
      <c r="T84" s="509">
        <f>T83</f>
        <v>0</v>
      </c>
      <c r="U84" s="510">
        <f>U83</f>
        <v>0</v>
      </c>
      <c r="V84" s="511"/>
      <c r="W84" s="512"/>
      <c r="X84" s="512"/>
      <c r="Y84" s="512"/>
      <c r="Z84" s="512"/>
      <c r="AA84" s="512"/>
      <c r="AB84" s="513">
        <f>AB83</f>
        <v>0</v>
      </c>
      <c r="AC84" s="514"/>
      <c r="AD84" s="515"/>
      <c r="AE84" s="516"/>
      <c r="AF84" s="220">
        <f t="shared" si="41"/>
        <v>0</v>
      </c>
      <c r="AG84" s="206"/>
      <c r="AJ84" s="1053"/>
      <c r="AK84" s="468"/>
    </row>
    <row r="85" spans="1:37" ht="30">
      <c r="A85" s="320" t="s">
        <v>381</v>
      </c>
      <c r="B85" s="321"/>
      <c r="C85" s="322"/>
      <c r="D85" s="322"/>
      <c r="E85" s="322"/>
      <c r="F85" s="322"/>
      <c r="G85" s="322"/>
      <c r="H85" s="322"/>
      <c r="I85" s="322"/>
      <c r="J85" s="322"/>
      <c r="K85" s="322"/>
      <c r="L85" s="517">
        <f>SUM(B85:K85)</f>
        <v>0</v>
      </c>
      <c r="M85" s="518"/>
      <c r="N85" s="519"/>
      <c r="O85" s="519"/>
      <c r="P85" s="393"/>
      <c r="Q85" s="520"/>
      <c r="R85" s="521"/>
      <c r="S85" s="521"/>
      <c r="T85" s="394"/>
      <c r="U85" s="522"/>
      <c r="V85" s="523"/>
      <c r="W85" s="524"/>
      <c r="X85" s="524"/>
      <c r="Y85" s="524"/>
      <c r="Z85" s="524"/>
      <c r="AA85" s="524"/>
      <c r="AB85" s="396"/>
      <c r="AC85" s="525"/>
      <c r="AD85" s="526"/>
      <c r="AE85" s="401"/>
      <c r="AF85" s="220">
        <f t="shared" si="41"/>
        <v>0</v>
      </c>
      <c r="AG85" s="206"/>
      <c r="AJ85" s="1053"/>
      <c r="AK85" s="468"/>
    </row>
    <row r="86" spans="1:37" ht="30">
      <c r="A86" s="500" t="s">
        <v>382</v>
      </c>
      <c r="B86" s="501">
        <f t="shared" ref="B86:L86" si="44">B85</f>
        <v>0</v>
      </c>
      <c r="C86" s="502">
        <f t="shared" si="44"/>
        <v>0</v>
      </c>
      <c r="D86" s="502">
        <f t="shared" si="44"/>
        <v>0</v>
      </c>
      <c r="E86" s="502">
        <f t="shared" si="44"/>
        <v>0</v>
      </c>
      <c r="F86" s="502">
        <f t="shared" si="44"/>
        <v>0</v>
      </c>
      <c r="G86" s="502">
        <f t="shared" si="44"/>
        <v>0</v>
      </c>
      <c r="H86" s="502">
        <f t="shared" si="44"/>
        <v>0</v>
      </c>
      <c r="I86" s="502">
        <f t="shared" si="44"/>
        <v>0</v>
      </c>
      <c r="J86" s="502">
        <f t="shared" si="44"/>
        <v>0</v>
      </c>
      <c r="K86" s="502">
        <f t="shared" si="44"/>
        <v>0</v>
      </c>
      <c r="L86" s="503">
        <f t="shared" si="44"/>
        <v>0</v>
      </c>
      <c r="M86" s="504"/>
      <c r="N86" s="505"/>
      <c r="O86" s="505"/>
      <c r="P86" s="506">
        <f>P85</f>
        <v>0</v>
      </c>
      <c r="Q86" s="507"/>
      <c r="R86" s="508"/>
      <c r="S86" s="508"/>
      <c r="T86" s="509">
        <f>T85</f>
        <v>0</v>
      </c>
      <c r="U86" s="510">
        <f>U85</f>
        <v>0</v>
      </c>
      <c r="V86" s="511"/>
      <c r="W86" s="512"/>
      <c r="X86" s="512"/>
      <c r="Y86" s="512"/>
      <c r="Z86" s="512"/>
      <c r="AA86" s="512"/>
      <c r="AB86" s="513">
        <f>AB85</f>
        <v>0</v>
      </c>
      <c r="AC86" s="514"/>
      <c r="AD86" s="515"/>
      <c r="AE86" s="516"/>
      <c r="AF86" s="220">
        <f t="shared" si="41"/>
        <v>0</v>
      </c>
      <c r="AG86" s="206"/>
      <c r="AJ86" s="1053"/>
      <c r="AK86" s="468"/>
    </row>
    <row r="87" spans="1:37">
      <c r="A87" s="320" t="s">
        <v>383</v>
      </c>
      <c r="B87" s="321"/>
      <c r="C87" s="322"/>
      <c r="D87" s="322"/>
      <c r="E87" s="322"/>
      <c r="F87" s="322"/>
      <c r="G87" s="322"/>
      <c r="H87" s="322"/>
      <c r="I87" s="322"/>
      <c r="J87" s="322"/>
      <c r="K87" s="322"/>
      <c r="L87" s="517">
        <f>SUM(B87:K87)</f>
        <v>0</v>
      </c>
      <c r="M87" s="518"/>
      <c r="N87" s="519"/>
      <c r="O87" s="519"/>
      <c r="P87" s="393"/>
      <c r="Q87" s="520"/>
      <c r="R87" s="521"/>
      <c r="S87" s="521"/>
      <c r="T87" s="394"/>
      <c r="U87" s="522"/>
      <c r="V87" s="523"/>
      <c r="W87" s="524"/>
      <c r="X87" s="524"/>
      <c r="Y87" s="524"/>
      <c r="Z87" s="524"/>
      <c r="AA87" s="524"/>
      <c r="AB87" s="396"/>
      <c r="AC87" s="525"/>
      <c r="AD87" s="526"/>
      <c r="AE87" s="401"/>
      <c r="AF87" s="220">
        <f t="shared" si="41"/>
        <v>0</v>
      </c>
      <c r="AG87" s="206"/>
      <c r="AJ87" s="1053"/>
      <c r="AK87" s="468"/>
    </row>
    <row r="88" spans="1:37">
      <c r="A88" s="500" t="s">
        <v>384</v>
      </c>
      <c r="B88" s="501">
        <f t="shared" ref="B88:L88" si="45">B87</f>
        <v>0</v>
      </c>
      <c r="C88" s="502">
        <f t="shared" si="45"/>
        <v>0</v>
      </c>
      <c r="D88" s="502">
        <f t="shared" si="45"/>
        <v>0</v>
      </c>
      <c r="E88" s="502">
        <f t="shared" si="45"/>
        <v>0</v>
      </c>
      <c r="F88" s="502">
        <f t="shared" si="45"/>
        <v>0</v>
      </c>
      <c r="G88" s="502">
        <f t="shared" si="45"/>
        <v>0</v>
      </c>
      <c r="H88" s="502">
        <f t="shared" si="45"/>
        <v>0</v>
      </c>
      <c r="I88" s="502">
        <f t="shared" si="45"/>
        <v>0</v>
      </c>
      <c r="J88" s="502">
        <f t="shared" si="45"/>
        <v>0</v>
      </c>
      <c r="K88" s="502">
        <f t="shared" si="45"/>
        <v>0</v>
      </c>
      <c r="L88" s="503">
        <f t="shared" si="45"/>
        <v>0</v>
      </c>
      <c r="M88" s="504"/>
      <c r="N88" s="505"/>
      <c r="O88" s="505"/>
      <c r="P88" s="506">
        <f>P87</f>
        <v>0</v>
      </c>
      <c r="Q88" s="507"/>
      <c r="R88" s="508"/>
      <c r="S88" s="508"/>
      <c r="T88" s="509">
        <f>T87</f>
        <v>0</v>
      </c>
      <c r="U88" s="510">
        <f>U87</f>
        <v>0</v>
      </c>
      <c r="V88" s="511"/>
      <c r="W88" s="512"/>
      <c r="X88" s="512"/>
      <c r="Y88" s="512"/>
      <c r="Z88" s="512"/>
      <c r="AA88" s="512"/>
      <c r="AB88" s="513">
        <f>AB87</f>
        <v>0</v>
      </c>
      <c r="AC88" s="514"/>
      <c r="AD88" s="515"/>
      <c r="AE88" s="516"/>
      <c r="AF88" s="220">
        <f t="shared" si="41"/>
        <v>0</v>
      </c>
      <c r="AG88" s="206"/>
      <c r="AJ88" s="1053"/>
      <c r="AK88" s="468"/>
    </row>
    <row r="89" spans="1:37" ht="30">
      <c r="A89" s="320" t="s">
        <v>385</v>
      </c>
      <c r="B89" s="321"/>
      <c r="C89" s="322"/>
      <c r="D89" s="322"/>
      <c r="E89" s="322"/>
      <c r="F89" s="322"/>
      <c r="G89" s="322"/>
      <c r="H89" s="322"/>
      <c r="I89" s="322"/>
      <c r="J89" s="322"/>
      <c r="K89" s="322"/>
      <c r="L89" s="517">
        <f>SUM(B89:K89)</f>
        <v>0</v>
      </c>
      <c r="M89" s="518"/>
      <c r="N89" s="519"/>
      <c r="O89" s="519"/>
      <c r="P89" s="393"/>
      <c r="Q89" s="520"/>
      <c r="R89" s="521"/>
      <c r="S89" s="521"/>
      <c r="T89" s="394"/>
      <c r="U89" s="446"/>
      <c r="V89" s="523"/>
      <c r="W89" s="524"/>
      <c r="X89" s="524"/>
      <c r="Y89" s="524"/>
      <c r="Z89" s="524"/>
      <c r="AA89" s="524"/>
      <c r="AB89" s="396"/>
      <c r="AC89" s="399"/>
      <c r="AD89" s="400"/>
      <c r="AE89" s="527"/>
      <c r="AF89" s="220">
        <f t="shared" si="41"/>
        <v>0</v>
      </c>
      <c r="AG89" s="206"/>
      <c r="AJ89" s="1053"/>
      <c r="AK89" s="468"/>
    </row>
    <row r="90" spans="1:37" ht="30">
      <c r="A90" s="500" t="s">
        <v>386</v>
      </c>
      <c r="B90" s="501">
        <f t="shared" ref="B90:L90" si="46">B89</f>
        <v>0</v>
      </c>
      <c r="C90" s="502">
        <f t="shared" si="46"/>
        <v>0</v>
      </c>
      <c r="D90" s="502">
        <f t="shared" si="46"/>
        <v>0</v>
      </c>
      <c r="E90" s="502">
        <f t="shared" si="46"/>
        <v>0</v>
      </c>
      <c r="F90" s="502">
        <f t="shared" si="46"/>
        <v>0</v>
      </c>
      <c r="G90" s="502">
        <f t="shared" si="46"/>
        <v>0</v>
      </c>
      <c r="H90" s="502">
        <f t="shared" si="46"/>
        <v>0</v>
      </c>
      <c r="I90" s="502">
        <f t="shared" si="46"/>
        <v>0</v>
      </c>
      <c r="J90" s="502">
        <f t="shared" si="46"/>
        <v>0</v>
      </c>
      <c r="K90" s="502">
        <f t="shared" si="46"/>
        <v>0</v>
      </c>
      <c r="L90" s="503">
        <f t="shared" si="46"/>
        <v>0</v>
      </c>
      <c r="M90" s="504"/>
      <c r="N90" s="505"/>
      <c r="O90" s="505"/>
      <c r="P90" s="506">
        <f>P89</f>
        <v>0</v>
      </c>
      <c r="Q90" s="507"/>
      <c r="R90" s="508"/>
      <c r="S90" s="508"/>
      <c r="T90" s="509">
        <f>T89</f>
        <v>0</v>
      </c>
      <c r="U90" s="510">
        <f>U89</f>
        <v>0</v>
      </c>
      <c r="V90" s="511"/>
      <c r="W90" s="512"/>
      <c r="X90" s="512"/>
      <c r="Y90" s="512"/>
      <c r="Z90" s="512"/>
      <c r="AA90" s="512"/>
      <c r="AB90" s="513">
        <f>AB89</f>
        <v>0</v>
      </c>
      <c r="AC90" s="514">
        <f>AC89</f>
        <v>0</v>
      </c>
      <c r="AD90" s="515">
        <f>AD89</f>
        <v>0</v>
      </c>
      <c r="AE90" s="516">
        <f>AE89</f>
        <v>0</v>
      </c>
      <c r="AF90" s="220">
        <f t="shared" si="41"/>
        <v>0</v>
      </c>
      <c r="AG90" s="206"/>
      <c r="AJ90" s="1053"/>
      <c r="AK90" s="468"/>
    </row>
    <row r="91" spans="1:37">
      <c r="A91" s="320" t="s">
        <v>387</v>
      </c>
      <c r="B91" s="321"/>
      <c r="C91" s="322"/>
      <c r="D91" s="322"/>
      <c r="E91" s="322"/>
      <c r="F91" s="322"/>
      <c r="G91" s="322"/>
      <c r="H91" s="322"/>
      <c r="I91" s="322"/>
      <c r="J91" s="322"/>
      <c r="K91" s="322"/>
      <c r="L91" s="517">
        <f>SUM(B91:K91)</f>
        <v>0</v>
      </c>
      <c r="M91" s="518"/>
      <c r="N91" s="519"/>
      <c r="O91" s="519"/>
      <c r="P91" s="393"/>
      <c r="Q91" s="520"/>
      <c r="R91" s="521"/>
      <c r="S91" s="521"/>
      <c r="T91" s="394"/>
      <c r="U91" s="522"/>
      <c r="V91" s="523"/>
      <c r="W91" s="524"/>
      <c r="X91" s="524"/>
      <c r="Y91" s="524"/>
      <c r="Z91" s="524"/>
      <c r="AA91" s="524"/>
      <c r="AB91" s="396"/>
      <c r="AC91" s="525"/>
      <c r="AD91" s="526"/>
      <c r="AE91" s="401"/>
      <c r="AF91" s="220">
        <f t="shared" si="41"/>
        <v>0</v>
      </c>
      <c r="AG91" s="206"/>
      <c r="AJ91" s="1053"/>
      <c r="AK91" s="468"/>
    </row>
    <row r="92" spans="1:37" ht="60">
      <c r="A92" s="320" t="s">
        <v>388</v>
      </c>
      <c r="B92" s="321"/>
      <c r="C92" s="322"/>
      <c r="D92" s="322"/>
      <c r="E92" s="322"/>
      <c r="F92" s="322"/>
      <c r="G92" s="322"/>
      <c r="H92" s="322"/>
      <c r="I92" s="322"/>
      <c r="J92" s="322"/>
      <c r="K92" s="322"/>
      <c r="L92" s="517">
        <f>SUM(B92:K92)</f>
        <v>0</v>
      </c>
      <c r="M92" s="518"/>
      <c r="N92" s="519"/>
      <c r="O92" s="519"/>
      <c r="P92" s="393"/>
      <c r="Q92" s="520"/>
      <c r="R92" s="521"/>
      <c r="S92" s="521"/>
      <c r="T92" s="394"/>
      <c r="U92" s="522"/>
      <c r="V92" s="523"/>
      <c r="W92" s="524"/>
      <c r="X92" s="524"/>
      <c r="Y92" s="524"/>
      <c r="Z92" s="524"/>
      <c r="AA92" s="524"/>
      <c r="AB92" s="396"/>
      <c r="AC92" s="525"/>
      <c r="AD92" s="526"/>
      <c r="AE92" s="401"/>
      <c r="AF92" s="220">
        <f t="shared" si="41"/>
        <v>0</v>
      </c>
      <c r="AG92" s="206"/>
      <c r="AJ92" s="1053"/>
      <c r="AK92" s="468"/>
    </row>
    <row r="93" spans="1:37" ht="45">
      <c r="A93" s="320" t="s">
        <v>389</v>
      </c>
      <c r="B93" s="321"/>
      <c r="C93" s="322"/>
      <c r="D93" s="322"/>
      <c r="E93" s="322"/>
      <c r="F93" s="322"/>
      <c r="G93" s="322"/>
      <c r="H93" s="322"/>
      <c r="I93" s="322"/>
      <c r="J93" s="322"/>
      <c r="K93" s="322"/>
      <c r="L93" s="517">
        <f>SUM(B93:K93)</f>
        <v>0</v>
      </c>
      <c r="M93" s="518"/>
      <c r="N93" s="519"/>
      <c r="O93" s="519"/>
      <c r="P93" s="393"/>
      <c r="Q93" s="520"/>
      <c r="R93" s="521"/>
      <c r="S93" s="521"/>
      <c r="T93" s="394"/>
      <c r="U93" s="522"/>
      <c r="V93" s="523"/>
      <c r="W93" s="524"/>
      <c r="X93" s="524"/>
      <c r="Y93" s="524"/>
      <c r="Z93" s="524"/>
      <c r="AA93" s="524"/>
      <c r="AB93" s="396"/>
      <c r="AC93" s="525"/>
      <c r="AD93" s="526"/>
      <c r="AE93" s="401"/>
      <c r="AF93" s="220">
        <f t="shared" si="41"/>
        <v>0</v>
      </c>
      <c r="AG93" s="206"/>
      <c r="AJ93" s="1053"/>
      <c r="AK93" s="468"/>
    </row>
    <row r="94" spans="1:37">
      <c r="A94" s="500" t="s">
        <v>390</v>
      </c>
      <c r="B94" s="501">
        <f t="shared" ref="B94:L94" si="47">SUM(B91:B93)</f>
        <v>0</v>
      </c>
      <c r="C94" s="502">
        <f t="shared" si="47"/>
        <v>0</v>
      </c>
      <c r="D94" s="502">
        <f t="shared" si="47"/>
        <v>0</v>
      </c>
      <c r="E94" s="502">
        <f t="shared" si="47"/>
        <v>0</v>
      </c>
      <c r="F94" s="502">
        <f t="shared" si="47"/>
        <v>0</v>
      </c>
      <c r="G94" s="502">
        <f t="shared" si="47"/>
        <v>0</v>
      </c>
      <c r="H94" s="502">
        <f t="shared" si="47"/>
        <v>0</v>
      </c>
      <c r="I94" s="502">
        <f t="shared" si="47"/>
        <v>0</v>
      </c>
      <c r="J94" s="502">
        <f t="shared" si="47"/>
        <v>0</v>
      </c>
      <c r="K94" s="502">
        <f t="shared" si="47"/>
        <v>0</v>
      </c>
      <c r="L94" s="503">
        <f t="shared" si="47"/>
        <v>0</v>
      </c>
      <c r="M94" s="504"/>
      <c r="N94" s="505"/>
      <c r="O94" s="505"/>
      <c r="P94" s="506">
        <f>SUM(P91:P93)</f>
        <v>0</v>
      </c>
      <c r="Q94" s="507"/>
      <c r="R94" s="508"/>
      <c r="S94" s="508"/>
      <c r="T94" s="509">
        <f>SUM(T91:T93)</f>
        <v>0</v>
      </c>
      <c r="U94" s="510">
        <f>SUM(U91:U93)</f>
        <v>0</v>
      </c>
      <c r="V94" s="511"/>
      <c r="W94" s="512"/>
      <c r="X94" s="512"/>
      <c r="Y94" s="512"/>
      <c r="Z94" s="512"/>
      <c r="AA94" s="512"/>
      <c r="AB94" s="513">
        <f>SUM(AB91:AB93)</f>
        <v>0</v>
      </c>
      <c r="AC94" s="514">
        <f>SUM(AC91:AC93)</f>
        <v>0</v>
      </c>
      <c r="AD94" s="515">
        <f>SUM(AD91:AD93)</f>
        <v>0</v>
      </c>
      <c r="AE94" s="516">
        <f>SUM(AE91:AE93)</f>
        <v>0</v>
      </c>
      <c r="AF94" s="220">
        <f t="shared" si="41"/>
        <v>0</v>
      </c>
      <c r="AG94" s="206"/>
      <c r="AJ94" s="1053"/>
      <c r="AK94" s="468"/>
    </row>
    <row r="95" spans="1:37" ht="16.5" thickBot="1">
      <c r="A95" s="528" t="s">
        <v>391</v>
      </c>
      <c r="B95" s="529">
        <f t="shared" ref="B95:L95" si="48">B82+B84+B86+B88+B90+B94</f>
        <v>0</v>
      </c>
      <c r="C95" s="530">
        <f t="shared" si="48"/>
        <v>0</v>
      </c>
      <c r="D95" s="530">
        <f t="shared" si="48"/>
        <v>0</v>
      </c>
      <c r="E95" s="530">
        <f t="shared" si="48"/>
        <v>0</v>
      </c>
      <c r="F95" s="530">
        <f t="shared" si="48"/>
        <v>0</v>
      </c>
      <c r="G95" s="530">
        <f t="shared" si="48"/>
        <v>0</v>
      </c>
      <c r="H95" s="530">
        <f t="shared" si="48"/>
        <v>0</v>
      </c>
      <c r="I95" s="530">
        <f t="shared" si="48"/>
        <v>0</v>
      </c>
      <c r="J95" s="530">
        <f t="shared" si="48"/>
        <v>0</v>
      </c>
      <c r="K95" s="530">
        <f t="shared" si="48"/>
        <v>0</v>
      </c>
      <c r="L95" s="531">
        <f t="shared" si="48"/>
        <v>0</v>
      </c>
      <c r="M95" s="532"/>
      <c r="N95" s="533"/>
      <c r="O95" s="533"/>
      <c r="P95" s="534">
        <f>P82+P84+P86+P88+P90+P94</f>
        <v>0</v>
      </c>
      <c r="Q95" s="535"/>
      <c r="R95" s="536"/>
      <c r="S95" s="536"/>
      <c r="T95" s="537">
        <f>T82+T84+T86+T88+T90+T94</f>
        <v>0</v>
      </c>
      <c r="U95" s="538">
        <f>U82+U84+U86+U88+U90+U94</f>
        <v>0</v>
      </c>
      <c r="V95" s="539"/>
      <c r="W95" s="540"/>
      <c r="X95" s="540"/>
      <c r="Y95" s="540"/>
      <c r="Z95" s="540"/>
      <c r="AA95" s="540"/>
      <c r="AB95" s="541">
        <f>AB82+AB84+AB86+AB88+AB90+AB94</f>
        <v>0</v>
      </c>
      <c r="AC95" s="542">
        <f>AC82+AC84+AC86+AC88+AC90+AC94</f>
        <v>120000</v>
      </c>
      <c r="AD95" s="543">
        <f>AD82+AD84+AD86+AD88+AD90+AD94</f>
        <v>0</v>
      </c>
      <c r="AE95" s="544">
        <f>AE82+AE84+AE86+AE88+AE90+AE94</f>
        <v>0</v>
      </c>
      <c r="AF95" s="545">
        <f>AF82+AF83+AF84+AF85+AF86+AF87+AF88+AF89+AF90+AF91+AF92+AF93+AF94</f>
        <v>120000</v>
      </c>
      <c r="AG95" s="206"/>
      <c r="AH95" s="206">
        <v>72000</v>
      </c>
      <c r="AI95" s="592">
        <f>AF95-AH95</f>
        <v>48000</v>
      </c>
      <c r="AJ95" s="1053">
        <v>120000</v>
      </c>
      <c r="AK95" s="468">
        <f>AJ95-AH95</f>
        <v>48000</v>
      </c>
    </row>
    <row r="96" spans="1:37" ht="30">
      <c r="A96" s="546" t="s">
        <v>392</v>
      </c>
      <c r="B96" s="547"/>
      <c r="C96" s="548"/>
      <c r="D96" s="548"/>
      <c r="E96" s="548"/>
      <c r="F96" s="548"/>
      <c r="G96" s="548"/>
      <c r="H96" s="548"/>
      <c r="I96" s="548"/>
      <c r="J96" s="548"/>
      <c r="K96" s="548"/>
      <c r="L96" s="549">
        <f>SUM(B96:K96)</f>
        <v>0</v>
      </c>
      <c r="M96" s="550"/>
      <c r="N96" s="551"/>
      <c r="O96" s="551"/>
      <c r="P96" s="552"/>
      <c r="Q96" s="553"/>
      <c r="R96" s="554"/>
      <c r="S96" s="554"/>
      <c r="T96" s="555"/>
      <c r="U96" s="556"/>
      <c r="V96" s="557"/>
      <c r="W96" s="558"/>
      <c r="X96" s="558"/>
      <c r="Y96" s="558"/>
      <c r="Z96" s="558"/>
      <c r="AA96" s="558"/>
      <c r="AB96" s="559"/>
      <c r="AC96" s="560"/>
      <c r="AD96" s="561"/>
      <c r="AE96" s="562"/>
      <c r="AF96" s="205">
        <f t="shared" ref="AF96:AF159" si="49">L96+P96+U96+AC96+AD96+AE96</f>
        <v>0</v>
      </c>
      <c r="AG96" s="206"/>
      <c r="AJ96" s="1053"/>
      <c r="AK96" s="468">
        <v>-48000</v>
      </c>
    </row>
    <row r="97" spans="1:37" ht="30">
      <c r="A97" s="320" t="s">
        <v>393</v>
      </c>
      <c r="B97" s="321"/>
      <c r="C97" s="322"/>
      <c r="D97" s="322"/>
      <c r="E97" s="322"/>
      <c r="F97" s="322"/>
      <c r="G97" s="322"/>
      <c r="H97" s="322"/>
      <c r="I97" s="322"/>
      <c r="J97" s="322"/>
      <c r="K97" s="322"/>
      <c r="L97" s="517"/>
      <c r="M97" s="518"/>
      <c r="N97" s="519"/>
      <c r="O97" s="519"/>
      <c r="P97" s="393"/>
      <c r="Q97" s="520"/>
      <c r="R97" s="521"/>
      <c r="S97" s="521"/>
      <c r="T97" s="394"/>
      <c r="U97" s="522"/>
      <c r="V97" s="523"/>
      <c r="W97" s="524"/>
      <c r="X97" s="524"/>
      <c r="Y97" s="524"/>
      <c r="Z97" s="524"/>
      <c r="AA97" s="524"/>
      <c r="AB97" s="396"/>
      <c r="AC97" s="525"/>
      <c r="AD97" s="526"/>
      <c r="AE97" s="401"/>
      <c r="AF97" s="220">
        <f t="shared" si="49"/>
        <v>0</v>
      </c>
      <c r="AG97" s="206"/>
      <c r="AJ97" s="1053"/>
      <c r="AK97" s="468"/>
    </row>
    <row r="98" spans="1:37" ht="45">
      <c r="A98" s="320" t="s">
        <v>394</v>
      </c>
      <c r="B98" s="321"/>
      <c r="C98" s="322"/>
      <c r="D98" s="322"/>
      <c r="E98" s="322"/>
      <c r="F98" s="322"/>
      <c r="G98" s="322"/>
      <c r="H98" s="322"/>
      <c r="I98" s="322"/>
      <c r="J98" s="322"/>
      <c r="K98" s="322"/>
      <c r="L98" s="517">
        <f>SUM(B98:K98)</f>
        <v>0</v>
      </c>
      <c r="M98" s="518"/>
      <c r="N98" s="519"/>
      <c r="O98" s="519"/>
      <c r="P98" s="393"/>
      <c r="Q98" s="520"/>
      <c r="R98" s="521"/>
      <c r="S98" s="521"/>
      <c r="T98" s="394"/>
      <c r="U98" s="522"/>
      <c r="V98" s="523"/>
      <c r="W98" s="524"/>
      <c r="X98" s="524"/>
      <c r="Y98" s="524"/>
      <c r="Z98" s="524"/>
      <c r="AA98" s="524"/>
      <c r="AB98" s="396"/>
      <c r="AC98" s="525"/>
      <c r="AD98" s="526"/>
      <c r="AE98" s="401"/>
      <c r="AF98" s="220">
        <f t="shared" si="49"/>
        <v>0</v>
      </c>
      <c r="AG98" s="206"/>
      <c r="AJ98" s="1053"/>
      <c r="AK98" s="468"/>
    </row>
    <row r="99" spans="1:37" ht="30">
      <c r="A99" s="500" t="s">
        <v>395</v>
      </c>
      <c r="B99" s="501">
        <f t="shared" ref="B99:L99" si="50">SUM(B96:B98)</f>
        <v>0</v>
      </c>
      <c r="C99" s="502">
        <f t="shared" si="50"/>
        <v>0</v>
      </c>
      <c r="D99" s="502">
        <f t="shared" si="50"/>
        <v>0</v>
      </c>
      <c r="E99" s="502">
        <f t="shared" si="50"/>
        <v>0</v>
      </c>
      <c r="F99" s="502">
        <f t="shared" si="50"/>
        <v>0</v>
      </c>
      <c r="G99" s="502">
        <f t="shared" si="50"/>
        <v>0</v>
      </c>
      <c r="H99" s="502">
        <f t="shared" si="50"/>
        <v>0</v>
      </c>
      <c r="I99" s="502">
        <f t="shared" si="50"/>
        <v>0</v>
      </c>
      <c r="J99" s="502">
        <f t="shared" si="50"/>
        <v>0</v>
      </c>
      <c r="K99" s="502">
        <f t="shared" si="50"/>
        <v>0</v>
      </c>
      <c r="L99" s="503">
        <f t="shared" si="50"/>
        <v>0</v>
      </c>
      <c r="M99" s="504"/>
      <c r="N99" s="505"/>
      <c r="O99" s="505"/>
      <c r="P99" s="506">
        <f>SUM(P96:P98)</f>
        <v>0</v>
      </c>
      <c r="Q99" s="507"/>
      <c r="R99" s="508"/>
      <c r="S99" s="508"/>
      <c r="T99" s="509">
        <f>SUM(T96:T98)</f>
        <v>0</v>
      </c>
      <c r="U99" s="510">
        <f>SUM(U96:U98)</f>
        <v>0</v>
      </c>
      <c r="V99" s="511"/>
      <c r="W99" s="512"/>
      <c r="X99" s="512"/>
      <c r="Y99" s="512"/>
      <c r="Z99" s="512"/>
      <c r="AA99" s="512"/>
      <c r="AB99" s="513">
        <f>SUM(AB96:AB98)</f>
        <v>0</v>
      </c>
      <c r="AC99" s="514">
        <f>SUM(AC96:AC98)</f>
        <v>0</v>
      </c>
      <c r="AD99" s="515">
        <f>SUM(AD96:AD98)</f>
        <v>0</v>
      </c>
      <c r="AE99" s="516">
        <f>SUM(AE96:AE98)</f>
        <v>0</v>
      </c>
      <c r="AF99" s="220">
        <f t="shared" si="49"/>
        <v>0</v>
      </c>
      <c r="AG99" s="206"/>
      <c r="AJ99" s="1053"/>
      <c r="AK99" s="468"/>
    </row>
    <row r="100" spans="1:37" ht="45">
      <c r="A100" s="500" t="s">
        <v>396</v>
      </c>
      <c r="B100" s="501"/>
      <c r="C100" s="502"/>
      <c r="D100" s="502"/>
      <c r="E100" s="502"/>
      <c r="F100" s="502"/>
      <c r="G100" s="502"/>
      <c r="H100" s="502"/>
      <c r="I100" s="502"/>
      <c r="J100" s="502"/>
      <c r="K100" s="502"/>
      <c r="L100" s="517">
        <f>SUM(B100:K100)</f>
        <v>0</v>
      </c>
      <c r="M100" s="518"/>
      <c r="N100" s="519"/>
      <c r="O100" s="519"/>
      <c r="P100" s="506"/>
      <c r="Q100" s="520"/>
      <c r="R100" s="521"/>
      <c r="S100" s="521"/>
      <c r="T100" s="509"/>
      <c r="U100" s="563"/>
      <c r="V100" s="523"/>
      <c r="W100" s="524"/>
      <c r="X100" s="524"/>
      <c r="Y100" s="524"/>
      <c r="Z100" s="524"/>
      <c r="AA100" s="524"/>
      <c r="AB100" s="513"/>
      <c r="AC100" s="564"/>
      <c r="AD100" s="565"/>
      <c r="AE100" s="318"/>
      <c r="AF100" s="220">
        <f t="shared" si="49"/>
        <v>0</v>
      </c>
      <c r="AG100" s="206"/>
      <c r="AJ100" s="1053"/>
      <c r="AK100" s="468"/>
    </row>
    <row r="101" spans="1:37" ht="30">
      <c r="A101" s="500" t="s">
        <v>397</v>
      </c>
      <c r="B101" s="501"/>
      <c r="C101" s="502"/>
      <c r="D101" s="502"/>
      <c r="E101" s="502"/>
      <c r="F101" s="502"/>
      <c r="G101" s="502"/>
      <c r="H101" s="502"/>
      <c r="I101" s="502"/>
      <c r="J101" s="502"/>
      <c r="K101" s="502"/>
      <c r="L101" s="517">
        <f>SUM(B101:K101)</f>
        <v>0</v>
      </c>
      <c r="M101" s="518"/>
      <c r="N101" s="519"/>
      <c r="O101" s="519"/>
      <c r="P101" s="506"/>
      <c r="Q101" s="520"/>
      <c r="R101" s="521"/>
      <c r="S101" s="521"/>
      <c r="T101" s="509"/>
      <c r="U101" s="563"/>
      <c r="V101" s="523"/>
      <c r="W101" s="524"/>
      <c r="X101" s="524"/>
      <c r="Y101" s="524"/>
      <c r="Z101" s="524"/>
      <c r="AA101" s="524"/>
      <c r="AB101" s="513"/>
      <c r="AC101" s="564"/>
      <c r="AD101" s="565"/>
      <c r="AE101" s="318"/>
      <c r="AF101" s="220">
        <f t="shared" si="49"/>
        <v>0</v>
      </c>
      <c r="AG101" s="206"/>
      <c r="AJ101" s="1053"/>
      <c r="AK101" s="468"/>
    </row>
    <row r="102" spans="1:37" ht="16.5" thickBot="1">
      <c r="A102" s="566" t="s">
        <v>398</v>
      </c>
      <c r="B102" s="567"/>
      <c r="C102" s="568"/>
      <c r="D102" s="568"/>
      <c r="E102" s="568"/>
      <c r="F102" s="568"/>
      <c r="G102" s="568"/>
      <c r="H102" s="568"/>
      <c r="I102" s="568"/>
      <c r="J102" s="568"/>
      <c r="K102" s="568"/>
      <c r="L102" s="569">
        <f>SUM(B102:K102)</f>
        <v>0</v>
      </c>
      <c r="M102" s="570"/>
      <c r="N102" s="571"/>
      <c r="O102" s="571"/>
      <c r="P102" s="572"/>
      <c r="Q102" s="573"/>
      <c r="R102" s="574"/>
      <c r="S102" s="574"/>
      <c r="T102" s="575"/>
      <c r="U102" s="576"/>
      <c r="V102" s="577"/>
      <c r="W102" s="578"/>
      <c r="X102" s="578"/>
      <c r="Y102" s="578"/>
      <c r="Z102" s="578"/>
      <c r="AA102" s="578"/>
      <c r="AB102" s="579"/>
      <c r="AC102" s="580"/>
      <c r="AD102" s="581"/>
      <c r="AE102" s="582"/>
      <c r="AF102" s="248">
        <f t="shared" si="49"/>
        <v>0</v>
      </c>
      <c r="AG102" s="206"/>
      <c r="AJ102" s="1053"/>
      <c r="AK102" s="468"/>
    </row>
    <row r="103" spans="1:37" ht="16.5" thickBot="1">
      <c r="A103" s="451" t="s">
        <v>399</v>
      </c>
      <c r="B103" s="452">
        <f t="shared" ref="B103:L103" si="51">B99+B100+B101+B102</f>
        <v>0</v>
      </c>
      <c r="C103" s="453">
        <f t="shared" si="51"/>
        <v>0</v>
      </c>
      <c r="D103" s="453">
        <f t="shared" si="51"/>
        <v>0</v>
      </c>
      <c r="E103" s="453">
        <f t="shared" si="51"/>
        <v>0</v>
      </c>
      <c r="F103" s="453">
        <f t="shared" si="51"/>
        <v>0</v>
      </c>
      <c r="G103" s="453">
        <f t="shared" si="51"/>
        <v>0</v>
      </c>
      <c r="H103" s="453">
        <f t="shared" si="51"/>
        <v>0</v>
      </c>
      <c r="I103" s="453">
        <f t="shared" si="51"/>
        <v>0</v>
      </c>
      <c r="J103" s="453">
        <f t="shared" si="51"/>
        <v>0</v>
      </c>
      <c r="K103" s="453">
        <f t="shared" si="51"/>
        <v>0</v>
      </c>
      <c r="L103" s="454">
        <f t="shared" si="51"/>
        <v>0</v>
      </c>
      <c r="M103" s="455"/>
      <c r="N103" s="456"/>
      <c r="O103" s="456"/>
      <c r="P103" s="457">
        <f>P99+P100+P101+P102</f>
        <v>0</v>
      </c>
      <c r="Q103" s="458"/>
      <c r="R103" s="459"/>
      <c r="S103" s="459"/>
      <c r="T103" s="460">
        <f>T99+T100+T101+T102</f>
        <v>0</v>
      </c>
      <c r="U103" s="461">
        <f>U99+U100+U101+U102</f>
        <v>0</v>
      </c>
      <c r="V103" s="462"/>
      <c r="W103" s="463"/>
      <c r="X103" s="463"/>
      <c r="Y103" s="463"/>
      <c r="Z103" s="463"/>
      <c r="AA103" s="463"/>
      <c r="AB103" s="464">
        <f>AB99+AB100+AB101+AB102</f>
        <v>0</v>
      </c>
      <c r="AC103" s="465">
        <f>AC99+AC100+AC101+AC102</f>
        <v>0</v>
      </c>
      <c r="AD103" s="466">
        <f>AD99+AD100+AD101+AD102</f>
        <v>0</v>
      </c>
      <c r="AE103" s="467">
        <f>AE99+AE100+AE101+AE102</f>
        <v>0</v>
      </c>
      <c r="AF103" s="315">
        <f t="shared" si="49"/>
        <v>0</v>
      </c>
      <c r="AG103" s="206"/>
      <c r="AJ103" s="1053"/>
      <c r="AK103" s="468"/>
    </row>
    <row r="104" spans="1:37">
      <c r="A104" s="583" t="s">
        <v>400</v>
      </c>
      <c r="B104" s="584"/>
      <c r="C104" s="585"/>
      <c r="D104" s="585"/>
      <c r="E104" s="585"/>
      <c r="F104" s="585"/>
      <c r="G104" s="585"/>
      <c r="H104" s="585"/>
      <c r="I104" s="585"/>
      <c r="J104" s="585"/>
      <c r="K104" s="585"/>
      <c r="L104" s="487">
        <f>SUM(B104:K104)</f>
        <v>0</v>
      </c>
      <c r="M104" s="488"/>
      <c r="N104" s="489"/>
      <c r="O104" s="489"/>
      <c r="P104" s="586"/>
      <c r="Q104" s="491"/>
      <c r="R104" s="492"/>
      <c r="S104" s="492"/>
      <c r="T104" s="587"/>
      <c r="U104" s="588"/>
      <c r="V104" s="495"/>
      <c r="W104" s="496"/>
      <c r="X104" s="496"/>
      <c r="Y104" s="496"/>
      <c r="Z104" s="496"/>
      <c r="AA104" s="496"/>
      <c r="AB104" s="589"/>
      <c r="AC104" s="590"/>
      <c r="AD104" s="591"/>
      <c r="AE104" s="369"/>
      <c r="AF104" s="204">
        <f t="shared" si="49"/>
        <v>0</v>
      </c>
      <c r="AG104" s="206">
        <v>107386</v>
      </c>
      <c r="AJ104" s="1053"/>
      <c r="AK104" s="468"/>
    </row>
    <row r="105" spans="1:37">
      <c r="A105" s="500" t="s">
        <v>401</v>
      </c>
      <c r="B105" s="501"/>
      <c r="C105" s="502"/>
      <c r="D105" s="502"/>
      <c r="E105" s="502"/>
      <c r="F105" s="502"/>
      <c r="G105" s="502"/>
      <c r="H105" s="502"/>
      <c r="I105" s="502"/>
      <c r="J105" s="502"/>
      <c r="K105" s="502"/>
      <c r="L105" s="517">
        <f>SUM(B105:K105)</f>
        <v>0</v>
      </c>
      <c r="M105" s="518"/>
      <c r="N105" s="519"/>
      <c r="O105" s="519"/>
      <c r="P105" s="506"/>
      <c r="Q105" s="520"/>
      <c r="R105" s="521"/>
      <c r="S105" s="521"/>
      <c r="T105" s="509"/>
      <c r="U105" s="563"/>
      <c r="V105" s="523"/>
      <c r="W105" s="524"/>
      <c r="X105" s="524"/>
      <c r="Y105" s="524"/>
      <c r="Z105" s="524"/>
      <c r="AA105" s="524">
        <v>197000</v>
      </c>
      <c r="AB105" s="513">
        <f>AA105</f>
        <v>197000</v>
      </c>
      <c r="AC105" s="564"/>
      <c r="AD105" s="565"/>
      <c r="AE105" s="318"/>
      <c r="AF105" s="220">
        <f>L105+P105+U105+AC105+AD105+AE105+AB105</f>
        <v>197000</v>
      </c>
      <c r="AG105" s="206">
        <v>221644</v>
      </c>
      <c r="AJ105" s="1053"/>
      <c r="AK105" s="468"/>
    </row>
    <row r="106" spans="1:37" ht="30">
      <c r="A106" s="500" t="s">
        <v>581</v>
      </c>
      <c r="B106" s="501"/>
      <c r="C106" s="502"/>
      <c r="D106" s="502"/>
      <c r="E106" s="502"/>
      <c r="F106" s="502"/>
      <c r="G106" s="502"/>
      <c r="H106" s="502"/>
      <c r="I106" s="502"/>
      <c r="J106" s="502"/>
      <c r="K106" s="502"/>
      <c r="L106" s="517">
        <f>SUM(B106:K106)</f>
        <v>0</v>
      </c>
      <c r="M106" s="518"/>
      <c r="N106" s="519"/>
      <c r="O106" s="519"/>
      <c r="P106" s="506"/>
      <c r="Q106" s="520"/>
      <c r="R106" s="521"/>
      <c r="S106" s="521"/>
      <c r="T106" s="509"/>
      <c r="U106" s="563"/>
      <c r="V106" s="523"/>
      <c r="W106" s="524"/>
      <c r="X106" s="524"/>
      <c r="Y106" s="524"/>
      <c r="Z106" s="524"/>
      <c r="AA106" s="524">
        <v>400000</v>
      </c>
      <c r="AB106" s="513">
        <f>AA106</f>
        <v>400000</v>
      </c>
      <c r="AC106" s="564"/>
      <c r="AD106" s="565"/>
      <c r="AE106" s="318"/>
      <c r="AF106" s="220">
        <f>L106+P106+U106+AC106+AD106+AE106+AB106</f>
        <v>400000</v>
      </c>
      <c r="AG106" s="206">
        <v>3957801</v>
      </c>
      <c r="AJ106" s="1053"/>
      <c r="AK106" s="468"/>
    </row>
    <row r="107" spans="1:37" ht="16.5" thickBot="1">
      <c r="A107" s="566" t="s">
        <v>402</v>
      </c>
      <c r="B107" s="567"/>
      <c r="C107" s="568"/>
      <c r="D107" s="568"/>
      <c r="E107" s="568"/>
      <c r="F107" s="568"/>
      <c r="G107" s="568"/>
      <c r="H107" s="568"/>
      <c r="I107" s="568"/>
      <c r="J107" s="568"/>
      <c r="K107" s="568"/>
      <c r="L107" s="569">
        <f>SUM(B107:K107)</f>
        <v>0</v>
      </c>
      <c r="M107" s="570"/>
      <c r="N107" s="571"/>
      <c r="O107" s="571"/>
      <c r="P107" s="572"/>
      <c r="Q107" s="573"/>
      <c r="R107" s="574"/>
      <c r="S107" s="574"/>
      <c r="T107" s="575"/>
      <c r="U107" s="576"/>
      <c r="V107" s="577"/>
      <c r="W107" s="578"/>
      <c r="X107" s="578"/>
      <c r="Y107" s="578"/>
      <c r="Z107" s="578"/>
      <c r="AA107" s="578">
        <f>SUM(AA104:AA106)*27%</f>
        <v>161190</v>
      </c>
      <c r="AB107" s="513">
        <f>AA107</f>
        <v>161190</v>
      </c>
      <c r="AC107" s="580"/>
      <c r="AD107" s="581"/>
      <c r="AE107" s="582"/>
      <c r="AF107" s="220">
        <f>L107+P107+U107+AC107+AD107+AE107+AB107</f>
        <v>161190</v>
      </c>
      <c r="AG107" s="206">
        <v>1090177</v>
      </c>
      <c r="AJ107" s="1053"/>
      <c r="AK107" s="468"/>
    </row>
    <row r="108" spans="1:37" ht="16.5" thickBot="1">
      <c r="A108" s="451" t="s">
        <v>403</v>
      </c>
      <c r="B108" s="452">
        <f t="shared" ref="B108:L108" si="52">SUM(B104:B107)</f>
        <v>0</v>
      </c>
      <c r="C108" s="453">
        <f t="shared" si="52"/>
        <v>0</v>
      </c>
      <c r="D108" s="453">
        <f t="shared" si="52"/>
        <v>0</v>
      </c>
      <c r="E108" s="453">
        <f t="shared" si="52"/>
        <v>0</v>
      </c>
      <c r="F108" s="453">
        <f t="shared" si="52"/>
        <v>0</v>
      </c>
      <c r="G108" s="453">
        <f t="shared" si="52"/>
        <v>0</v>
      </c>
      <c r="H108" s="453">
        <f t="shared" si="52"/>
        <v>0</v>
      </c>
      <c r="I108" s="453">
        <f t="shared" si="52"/>
        <v>0</v>
      </c>
      <c r="J108" s="453">
        <f t="shared" si="52"/>
        <v>0</v>
      </c>
      <c r="K108" s="453">
        <f t="shared" si="52"/>
        <v>0</v>
      </c>
      <c r="L108" s="454">
        <f t="shared" si="52"/>
        <v>0</v>
      </c>
      <c r="M108" s="455"/>
      <c r="N108" s="456"/>
      <c r="O108" s="456"/>
      <c r="P108" s="457">
        <f>SUM(P104:P107)</f>
        <v>0</v>
      </c>
      <c r="Q108" s="458"/>
      <c r="R108" s="459"/>
      <c r="S108" s="459"/>
      <c r="T108" s="460">
        <f>SUM(T104:T107)</f>
        <v>0</v>
      </c>
      <c r="U108" s="461">
        <f>SUM(U104:U107)</f>
        <v>0</v>
      </c>
      <c r="V108" s="462"/>
      <c r="W108" s="463"/>
      <c r="X108" s="463"/>
      <c r="Y108" s="463"/>
      <c r="Z108" s="463"/>
      <c r="AA108" s="463"/>
      <c r="AB108" s="464">
        <f>SUM(AB104:AB107)</f>
        <v>758190</v>
      </c>
      <c r="AC108" s="465">
        <f>SUM(AC104:AC107)</f>
        <v>0</v>
      </c>
      <c r="AD108" s="466">
        <f>SUM(AD104:AD107)</f>
        <v>0</v>
      </c>
      <c r="AE108" s="467">
        <f>SUM(AE104:AE107)</f>
        <v>0</v>
      </c>
      <c r="AF108" s="315">
        <f>L108+P108+U108+AC108+AD108+AE108+AB108</f>
        <v>758190</v>
      </c>
      <c r="AG108" s="206"/>
      <c r="AH108" s="206">
        <v>5377008</v>
      </c>
      <c r="AI108" s="592">
        <f>AF108-AH108</f>
        <v>-4618818</v>
      </c>
      <c r="AJ108" s="1053">
        <v>381000</v>
      </c>
      <c r="AK108" s="468">
        <f>AJ108-AH108</f>
        <v>-4996008</v>
      </c>
    </row>
    <row r="109" spans="1:37">
      <c r="A109" s="583" t="s">
        <v>404</v>
      </c>
      <c r="B109" s="584"/>
      <c r="C109" s="585"/>
      <c r="D109" s="585"/>
      <c r="E109" s="585"/>
      <c r="F109" s="585"/>
      <c r="G109" s="585"/>
      <c r="H109" s="585"/>
      <c r="I109" s="585"/>
      <c r="J109" s="585"/>
      <c r="K109" s="585"/>
      <c r="L109" s="487">
        <f>SUM(B109:K109)</f>
        <v>0</v>
      </c>
      <c r="M109" s="488"/>
      <c r="N109" s="489"/>
      <c r="O109" s="489"/>
      <c r="P109" s="586"/>
      <c r="Q109" s="491"/>
      <c r="R109" s="492"/>
      <c r="S109" s="492"/>
      <c r="T109" s="587"/>
      <c r="U109" s="588"/>
      <c r="V109" s="495"/>
      <c r="W109" s="496"/>
      <c r="X109" s="496"/>
      <c r="Y109" s="496"/>
      <c r="Z109" s="496"/>
      <c r="AA109" s="496"/>
      <c r="AB109" s="589"/>
      <c r="AC109" s="590"/>
      <c r="AD109" s="591"/>
      <c r="AE109" s="369"/>
      <c r="AF109" s="204">
        <f t="shared" si="49"/>
        <v>0</v>
      </c>
      <c r="AG109" s="206"/>
      <c r="AJ109" s="1053"/>
      <c r="AK109" s="468">
        <v>4996008</v>
      </c>
    </row>
    <row r="110" spans="1:37">
      <c r="A110" s="500" t="s">
        <v>405</v>
      </c>
      <c r="B110" s="501"/>
      <c r="C110" s="502"/>
      <c r="D110" s="502"/>
      <c r="E110" s="502"/>
      <c r="F110" s="502"/>
      <c r="G110" s="502"/>
      <c r="H110" s="502"/>
      <c r="I110" s="502"/>
      <c r="J110" s="502"/>
      <c r="K110" s="502"/>
      <c r="L110" s="517">
        <f>SUM(B110:K110)</f>
        <v>0</v>
      </c>
      <c r="M110" s="518"/>
      <c r="N110" s="519"/>
      <c r="O110" s="519"/>
      <c r="P110" s="506"/>
      <c r="Q110" s="520"/>
      <c r="R110" s="521"/>
      <c r="S110" s="521"/>
      <c r="T110" s="509"/>
      <c r="U110" s="563"/>
      <c r="V110" s="523"/>
      <c r="W110" s="524"/>
      <c r="X110" s="524"/>
      <c r="Y110" s="524"/>
      <c r="Z110" s="524"/>
      <c r="AA110" s="524"/>
      <c r="AB110" s="513"/>
      <c r="AC110" s="564"/>
      <c r="AD110" s="565"/>
      <c r="AE110" s="318"/>
      <c r="AF110" s="220">
        <f t="shared" si="49"/>
        <v>0</v>
      </c>
      <c r="AG110" s="206"/>
      <c r="AJ110" s="1053"/>
      <c r="AK110" s="468"/>
    </row>
    <row r="111" spans="1:37">
      <c r="A111" s="500" t="s">
        <v>406</v>
      </c>
      <c r="B111" s="501"/>
      <c r="C111" s="502"/>
      <c r="D111" s="502"/>
      <c r="E111" s="502"/>
      <c r="F111" s="502"/>
      <c r="G111" s="502"/>
      <c r="H111" s="502"/>
      <c r="I111" s="502"/>
      <c r="J111" s="502"/>
      <c r="K111" s="502"/>
      <c r="L111" s="517">
        <f>SUM(B111:K111)</f>
        <v>0</v>
      </c>
      <c r="M111" s="518"/>
      <c r="N111" s="519"/>
      <c r="O111" s="519"/>
      <c r="P111" s="506"/>
      <c r="Q111" s="520"/>
      <c r="R111" s="521"/>
      <c r="S111" s="521"/>
      <c r="T111" s="509"/>
      <c r="U111" s="563"/>
      <c r="V111" s="523"/>
      <c r="W111" s="524"/>
      <c r="X111" s="524"/>
      <c r="Y111" s="524"/>
      <c r="Z111" s="524"/>
      <c r="AA111" s="524"/>
      <c r="AB111" s="513"/>
      <c r="AC111" s="564"/>
      <c r="AD111" s="565"/>
      <c r="AE111" s="318"/>
      <c r="AF111" s="220">
        <f t="shared" si="49"/>
        <v>0</v>
      </c>
      <c r="AG111" s="206"/>
      <c r="AJ111" s="1053"/>
      <c r="AK111" s="468"/>
    </row>
    <row r="112" spans="1:37" ht="16.5" thickBot="1">
      <c r="A112" s="566" t="s">
        <v>407</v>
      </c>
      <c r="B112" s="567"/>
      <c r="C112" s="568"/>
      <c r="D112" s="568"/>
      <c r="E112" s="568"/>
      <c r="F112" s="568"/>
      <c r="G112" s="568"/>
      <c r="H112" s="568"/>
      <c r="I112" s="568"/>
      <c r="J112" s="568"/>
      <c r="K112" s="568"/>
      <c r="L112" s="569">
        <f>SUM(B112:K112)</f>
        <v>0</v>
      </c>
      <c r="M112" s="570"/>
      <c r="N112" s="571"/>
      <c r="O112" s="571"/>
      <c r="P112" s="572"/>
      <c r="Q112" s="573"/>
      <c r="R112" s="574"/>
      <c r="S112" s="574"/>
      <c r="T112" s="575"/>
      <c r="U112" s="576"/>
      <c r="V112" s="577"/>
      <c r="W112" s="578"/>
      <c r="X112" s="578"/>
      <c r="Y112" s="578"/>
      <c r="Z112" s="578"/>
      <c r="AA112" s="578"/>
      <c r="AB112" s="579"/>
      <c r="AC112" s="580"/>
      <c r="AD112" s="581"/>
      <c r="AE112" s="582"/>
      <c r="AF112" s="248">
        <f t="shared" si="49"/>
        <v>0</v>
      </c>
      <c r="AG112" s="206"/>
      <c r="AJ112" s="1053"/>
      <c r="AK112" s="468"/>
    </row>
    <row r="113" spans="1:37" ht="16.5" thickBot="1">
      <c r="A113" s="451" t="s">
        <v>408</v>
      </c>
      <c r="B113" s="452">
        <f t="shared" ref="B113:L113" si="53">SUM(B109:B112)</f>
        <v>0</v>
      </c>
      <c r="C113" s="453">
        <f t="shared" si="53"/>
        <v>0</v>
      </c>
      <c r="D113" s="453">
        <f t="shared" si="53"/>
        <v>0</v>
      </c>
      <c r="E113" s="453">
        <f t="shared" si="53"/>
        <v>0</v>
      </c>
      <c r="F113" s="453">
        <f t="shared" si="53"/>
        <v>0</v>
      </c>
      <c r="G113" s="453">
        <f t="shared" si="53"/>
        <v>0</v>
      </c>
      <c r="H113" s="453">
        <f t="shared" si="53"/>
        <v>0</v>
      </c>
      <c r="I113" s="453">
        <f t="shared" si="53"/>
        <v>0</v>
      </c>
      <c r="J113" s="453">
        <f t="shared" si="53"/>
        <v>0</v>
      </c>
      <c r="K113" s="453">
        <f t="shared" si="53"/>
        <v>0</v>
      </c>
      <c r="L113" s="454">
        <f t="shared" si="53"/>
        <v>0</v>
      </c>
      <c r="M113" s="455"/>
      <c r="N113" s="456"/>
      <c r="O113" s="456"/>
      <c r="P113" s="457">
        <f>SUM(P109:P112)</f>
        <v>0</v>
      </c>
      <c r="Q113" s="458"/>
      <c r="R113" s="459"/>
      <c r="S113" s="459"/>
      <c r="T113" s="460">
        <f>SUM(T109:T112)</f>
        <v>0</v>
      </c>
      <c r="U113" s="461">
        <f>SUM(U109:U112)</f>
        <v>0</v>
      </c>
      <c r="V113" s="462"/>
      <c r="W113" s="463"/>
      <c r="X113" s="463"/>
      <c r="Y113" s="463"/>
      <c r="Z113" s="463"/>
      <c r="AA113" s="463"/>
      <c r="AB113" s="464">
        <f>SUM(AB109:AB112)</f>
        <v>0</v>
      </c>
      <c r="AC113" s="465">
        <f>SUM(AC109:AC112)</f>
        <v>0</v>
      </c>
      <c r="AD113" s="466">
        <f>SUM(AD109:AD112)</f>
        <v>0</v>
      </c>
      <c r="AE113" s="467">
        <f>SUM(AE109:AE112)</f>
        <v>0</v>
      </c>
      <c r="AF113" s="315">
        <f t="shared" si="49"/>
        <v>0</v>
      </c>
      <c r="AG113" s="206">
        <v>0</v>
      </c>
      <c r="AH113" s="206">
        <v>0</v>
      </c>
      <c r="AI113" s="592">
        <f>AF113-AH113</f>
        <v>0</v>
      </c>
      <c r="AJ113" s="1053"/>
      <c r="AK113" s="468"/>
    </row>
    <row r="114" spans="1:37" ht="30.75" thickBot="1">
      <c r="A114" s="350" t="s">
        <v>409</v>
      </c>
      <c r="B114" s="351"/>
      <c r="C114" s="352"/>
      <c r="D114" s="352"/>
      <c r="E114" s="352"/>
      <c r="F114" s="352"/>
      <c r="G114" s="352"/>
      <c r="H114" s="352"/>
      <c r="I114" s="352"/>
      <c r="J114" s="352"/>
      <c r="K114" s="352"/>
      <c r="L114" s="253">
        <f>SUM(B114:K114)</f>
        <v>0</v>
      </c>
      <c r="M114" s="254"/>
      <c r="N114" s="255"/>
      <c r="O114" s="255"/>
      <c r="P114" s="256"/>
      <c r="Q114" s="257"/>
      <c r="R114" s="258"/>
      <c r="S114" s="258"/>
      <c r="T114" s="259"/>
      <c r="U114" s="260"/>
      <c r="V114" s="261"/>
      <c r="W114" s="262"/>
      <c r="X114" s="262"/>
      <c r="Y114" s="262"/>
      <c r="Z114" s="262"/>
      <c r="AA114" s="262"/>
      <c r="AB114" s="263"/>
      <c r="AC114" s="264"/>
      <c r="AD114" s="265"/>
      <c r="AE114" s="266"/>
      <c r="AF114" s="266">
        <f t="shared" si="49"/>
        <v>0</v>
      </c>
      <c r="AG114" s="206"/>
      <c r="AJ114" s="1053"/>
      <c r="AK114" s="468"/>
    </row>
    <row r="115" spans="1:37" ht="30.75" thickBot="1">
      <c r="A115" s="350" t="s">
        <v>410</v>
      </c>
      <c r="B115" s="351"/>
      <c r="C115" s="352"/>
      <c r="D115" s="352"/>
      <c r="E115" s="352"/>
      <c r="F115" s="352"/>
      <c r="G115" s="352"/>
      <c r="H115" s="352"/>
      <c r="I115" s="352"/>
      <c r="J115" s="352"/>
      <c r="K115" s="352"/>
      <c r="L115" s="253">
        <f>SUM(B115:K115)</f>
        <v>0</v>
      </c>
      <c r="M115" s="254"/>
      <c r="N115" s="255"/>
      <c r="O115" s="255"/>
      <c r="P115" s="256"/>
      <c r="Q115" s="257"/>
      <c r="R115" s="258"/>
      <c r="S115" s="258"/>
      <c r="T115" s="259"/>
      <c r="U115" s="260"/>
      <c r="V115" s="261"/>
      <c r="W115" s="262"/>
      <c r="X115" s="262"/>
      <c r="Y115" s="262"/>
      <c r="Z115" s="262"/>
      <c r="AA115" s="262"/>
      <c r="AB115" s="263"/>
      <c r="AC115" s="264"/>
      <c r="AD115" s="265"/>
      <c r="AE115" s="266"/>
      <c r="AF115" s="266">
        <f t="shared" si="49"/>
        <v>0</v>
      </c>
      <c r="AG115" s="206"/>
      <c r="AJ115" s="1053"/>
      <c r="AK115" s="468"/>
    </row>
    <row r="116" spans="1:37" ht="16.5" thickBot="1">
      <c r="A116" s="451" t="s">
        <v>411</v>
      </c>
      <c r="B116" s="452">
        <f t="shared" ref="B116:L116" si="54">SUM(B114:B115)</f>
        <v>0</v>
      </c>
      <c r="C116" s="453">
        <f t="shared" si="54"/>
        <v>0</v>
      </c>
      <c r="D116" s="453">
        <f t="shared" si="54"/>
        <v>0</v>
      </c>
      <c r="E116" s="453">
        <f t="shared" si="54"/>
        <v>0</v>
      </c>
      <c r="F116" s="453">
        <f t="shared" si="54"/>
        <v>0</v>
      </c>
      <c r="G116" s="453">
        <f t="shared" si="54"/>
        <v>0</v>
      </c>
      <c r="H116" s="453">
        <f t="shared" si="54"/>
        <v>0</v>
      </c>
      <c r="I116" s="453">
        <f t="shared" si="54"/>
        <v>0</v>
      </c>
      <c r="J116" s="453">
        <f t="shared" si="54"/>
        <v>0</v>
      </c>
      <c r="K116" s="453">
        <f t="shared" si="54"/>
        <v>0</v>
      </c>
      <c r="L116" s="454">
        <f t="shared" si="54"/>
        <v>0</v>
      </c>
      <c r="M116" s="455"/>
      <c r="N116" s="456"/>
      <c r="O116" s="456"/>
      <c r="P116" s="457">
        <f>SUM(P114:P115)</f>
        <v>0</v>
      </c>
      <c r="Q116" s="458"/>
      <c r="R116" s="459"/>
      <c r="S116" s="459"/>
      <c r="T116" s="460">
        <f>SUM(T114:T115)</f>
        <v>0</v>
      </c>
      <c r="U116" s="461">
        <f>SUM(U114:U115)</f>
        <v>0</v>
      </c>
      <c r="V116" s="462"/>
      <c r="W116" s="463"/>
      <c r="X116" s="463"/>
      <c r="Y116" s="463"/>
      <c r="Z116" s="463"/>
      <c r="AA116" s="463"/>
      <c r="AB116" s="464">
        <f>SUM(AB114:AB115)</f>
        <v>0</v>
      </c>
      <c r="AC116" s="465">
        <f>SUM(AC114:AC115)</f>
        <v>0</v>
      </c>
      <c r="AD116" s="466">
        <f>SUM(AD114:AD115)</f>
        <v>0</v>
      </c>
      <c r="AE116" s="467">
        <f>SUM(AE114:AE115)</f>
        <v>0</v>
      </c>
      <c r="AF116" s="315">
        <f t="shared" si="49"/>
        <v>0</v>
      </c>
      <c r="AG116" s="206"/>
      <c r="AJ116" s="1053"/>
      <c r="AK116" s="468"/>
    </row>
    <row r="117" spans="1:37" ht="30.75" thickBot="1">
      <c r="A117" s="593" t="s">
        <v>412</v>
      </c>
      <c r="B117" s="594"/>
      <c r="C117" s="595"/>
      <c r="D117" s="595"/>
      <c r="E117" s="595"/>
      <c r="F117" s="595"/>
      <c r="G117" s="595"/>
      <c r="H117" s="595"/>
      <c r="I117" s="595"/>
      <c r="J117" s="595"/>
      <c r="K117" s="595"/>
      <c r="L117" s="253">
        <f>SUM(B117:K117)</f>
        <v>0</v>
      </c>
      <c r="M117" s="254"/>
      <c r="N117" s="255"/>
      <c r="O117" s="255"/>
      <c r="P117" s="596"/>
      <c r="Q117" s="257"/>
      <c r="R117" s="258"/>
      <c r="S117" s="258"/>
      <c r="T117" s="597"/>
      <c r="U117" s="260"/>
      <c r="V117" s="261"/>
      <c r="W117" s="262"/>
      <c r="X117" s="262"/>
      <c r="Y117" s="262"/>
      <c r="Z117" s="262"/>
      <c r="AA117" s="262"/>
      <c r="AB117" s="598"/>
      <c r="AC117" s="264"/>
      <c r="AD117" s="265"/>
      <c r="AE117" s="266"/>
      <c r="AF117" s="266">
        <f t="shared" si="49"/>
        <v>0</v>
      </c>
      <c r="AG117" s="206"/>
      <c r="AJ117" s="1053"/>
      <c r="AK117" s="468"/>
    </row>
    <row r="118" spans="1:37" ht="30.75" thickBot="1">
      <c r="A118" s="599" t="s">
        <v>413</v>
      </c>
      <c r="B118" s="600">
        <f t="shared" ref="B118:L118" si="55">B117</f>
        <v>0</v>
      </c>
      <c r="C118" s="601">
        <f t="shared" si="55"/>
        <v>0</v>
      </c>
      <c r="D118" s="601">
        <f t="shared" si="55"/>
        <v>0</v>
      </c>
      <c r="E118" s="601">
        <f t="shared" si="55"/>
        <v>0</v>
      </c>
      <c r="F118" s="601">
        <f t="shared" si="55"/>
        <v>0</v>
      </c>
      <c r="G118" s="601">
        <f t="shared" si="55"/>
        <v>0</v>
      </c>
      <c r="H118" s="601">
        <f t="shared" si="55"/>
        <v>0</v>
      </c>
      <c r="I118" s="601">
        <f t="shared" si="55"/>
        <v>0</v>
      </c>
      <c r="J118" s="601">
        <f t="shared" si="55"/>
        <v>0</v>
      </c>
      <c r="K118" s="601">
        <f t="shared" si="55"/>
        <v>0</v>
      </c>
      <c r="L118" s="602">
        <f t="shared" si="55"/>
        <v>0</v>
      </c>
      <c r="M118" s="603"/>
      <c r="N118" s="604"/>
      <c r="O118" s="604"/>
      <c r="P118" s="605">
        <f>P117</f>
        <v>0</v>
      </c>
      <c r="Q118" s="606"/>
      <c r="R118" s="607"/>
      <c r="S118" s="607"/>
      <c r="T118" s="608">
        <f>T117</f>
        <v>0</v>
      </c>
      <c r="U118" s="609">
        <f>U117</f>
        <v>0</v>
      </c>
      <c r="V118" s="610"/>
      <c r="W118" s="611"/>
      <c r="X118" s="611"/>
      <c r="Y118" s="611"/>
      <c r="Z118" s="611"/>
      <c r="AA118" s="611"/>
      <c r="AB118" s="612">
        <f>AB117</f>
        <v>0</v>
      </c>
      <c r="AC118" s="613">
        <f>AC117</f>
        <v>0</v>
      </c>
      <c r="AD118" s="614">
        <f>AD117</f>
        <v>0</v>
      </c>
      <c r="AE118" s="615">
        <f>AE117</f>
        <v>0</v>
      </c>
      <c r="AF118" s="266">
        <f t="shared" si="49"/>
        <v>0</v>
      </c>
      <c r="AG118" s="206"/>
      <c r="AJ118" s="1053"/>
      <c r="AK118" s="468"/>
    </row>
    <row r="119" spans="1:37" ht="30.75" thickBot="1">
      <c r="A119" s="599" t="s">
        <v>414</v>
      </c>
      <c r="B119" s="600"/>
      <c r="C119" s="601"/>
      <c r="D119" s="601"/>
      <c r="E119" s="601"/>
      <c r="F119" s="601"/>
      <c r="G119" s="601"/>
      <c r="H119" s="601"/>
      <c r="I119" s="601"/>
      <c r="J119" s="601"/>
      <c r="K119" s="601"/>
      <c r="L119" s="253">
        <f>SUM(B119:K119)</f>
        <v>0</v>
      </c>
      <c r="M119" s="254"/>
      <c r="N119" s="255"/>
      <c r="O119" s="255"/>
      <c r="P119" s="605"/>
      <c r="Q119" s="257"/>
      <c r="R119" s="258"/>
      <c r="S119" s="258"/>
      <c r="T119" s="608"/>
      <c r="U119" s="616"/>
      <c r="V119" s="261"/>
      <c r="W119" s="262"/>
      <c r="X119" s="262"/>
      <c r="Y119" s="262"/>
      <c r="Z119" s="262"/>
      <c r="AA119" s="262"/>
      <c r="AB119" s="612"/>
      <c r="AC119" s="617"/>
      <c r="AD119" s="618"/>
      <c r="AE119" s="619"/>
      <c r="AF119" s="266">
        <f t="shared" si="49"/>
        <v>0</v>
      </c>
      <c r="AG119" s="206"/>
      <c r="AJ119" s="1053"/>
      <c r="AK119" s="468"/>
    </row>
    <row r="120" spans="1:37" ht="16.5" thickBot="1">
      <c r="A120" s="599" t="s">
        <v>415</v>
      </c>
      <c r="B120" s="600"/>
      <c r="C120" s="601"/>
      <c r="D120" s="601"/>
      <c r="E120" s="601"/>
      <c r="F120" s="601"/>
      <c r="G120" s="601"/>
      <c r="H120" s="601"/>
      <c r="I120" s="601"/>
      <c r="J120" s="601"/>
      <c r="K120" s="601"/>
      <c r="L120" s="253">
        <f>SUM(B120:K120)</f>
        <v>0</v>
      </c>
      <c r="M120" s="254"/>
      <c r="N120" s="255"/>
      <c r="O120" s="255"/>
      <c r="P120" s="605"/>
      <c r="Q120" s="257"/>
      <c r="R120" s="258"/>
      <c r="S120" s="258"/>
      <c r="T120" s="608"/>
      <c r="U120" s="620"/>
      <c r="V120" s="261"/>
      <c r="W120" s="262"/>
      <c r="X120" s="262"/>
      <c r="Y120" s="262"/>
      <c r="Z120" s="262"/>
      <c r="AA120" s="262"/>
      <c r="AB120" s="612"/>
      <c r="AC120" s="621"/>
      <c r="AD120" s="622"/>
      <c r="AE120" s="623"/>
      <c r="AF120" s="266">
        <f t="shared" si="49"/>
        <v>0</v>
      </c>
      <c r="AG120" s="206"/>
      <c r="AJ120" s="1053"/>
      <c r="AK120" s="468"/>
    </row>
    <row r="121" spans="1:37" ht="16.5" thickBot="1">
      <c r="A121" s="350" t="s">
        <v>416</v>
      </c>
      <c r="B121" s="351">
        <f t="shared" ref="B121:L121" si="56">B118+B119+B120</f>
        <v>0</v>
      </c>
      <c r="C121" s="352">
        <f t="shared" si="56"/>
        <v>0</v>
      </c>
      <c r="D121" s="352">
        <f t="shared" si="56"/>
        <v>0</v>
      </c>
      <c r="E121" s="352">
        <f t="shared" si="56"/>
        <v>0</v>
      </c>
      <c r="F121" s="352">
        <f t="shared" si="56"/>
        <v>0</v>
      </c>
      <c r="G121" s="352">
        <f t="shared" si="56"/>
        <v>0</v>
      </c>
      <c r="H121" s="352">
        <f t="shared" si="56"/>
        <v>0</v>
      </c>
      <c r="I121" s="352">
        <f t="shared" si="56"/>
        <v>0</v>
      </c>
      <c r="J121" s="352">
        <f t="shared" si="56"/>
        <v>0</v>
      </c>
      <c r="K121" s="352">
        <f t="shared" si="56"/>
        <v>0</v>
      </c>
      <c r="L121" s="353">
        <f t="shared" si="56"/>
        <v>0</v>
      </c>
      <c r="M121" s="424"/>
      <c r="N121" s="354"/>
      <c r="O121" s="354"/>
      <c r="P121" s="256">
        <f>P118+P119+P120</f>
        <v>0</v>
      </c>
      <c r="Q121" s="390"/>
      <c r="R121" s="355"/>
      <c r="S121" s="355"/>
      <c r="T121" s="259">
        <f>T118+T119+T120</f>
        <v>0</v>
      </c>
      <c r="U121" s="356">
        <f>U118+U119+U120</f>
        <v>0</v>
      </c>
      <c r="V121" s="357"/>
      <c r="W121" s="358"/>
      <c r="X121" s="358"/>
      <c r="Y121" s="358"/>
      <c r="Z121" s="358"/>
      <c r="AA121" s="358"/>
      <c r="AB121" s="263">
        <f>AB118+AB119+AB120</f>
        <v>0</v>
      </c>
      <c r="AC121" s="359">
        <f>AC118+AC119+AC120</f>
        <v>0</v>
      </c>
      <c r="AD121" s="360">
        <f>AD118+AD119+AD120</f>
        <v>0</v>
      </c>
      <c r="AE121" s="362">
        <f>AE118+AE119+AE120</f>
        <v>0</v>
      </c>
      <c r="AF121" s="266">
        <f t="shared" si="49"/>
        <v>0</v>
      </c>
      <c r="AG121" s="206"/>
      <c r="AJ121" s="1053"/>
      <c r="AK121" s="468"/>
    </row>
    <row r="122" spans="1:37" ht="16.5" thickBot="1">
      <c r="A122" s="451" t="s">
        <v>417</v>
      </c>
      <c r="B122" s="452">
        <f t="shared" ref="B122:L122" si="57">B121</f>
        <v>0</v>
      </c>
      <c r="C122" s="453">
        <f t="shared" si="57"/>
        <v>0</v>
      </c>
      <c r="D122" s="453">
        <f t="shared" si="57"/>
        <v>0</v>
      </c>
      <c r="E122" s="453">
        <f t="shared" si="57"/>
        <v>0</v>
      </c>
      <c r="F122" s="453">
        <f t="shared" si="57"/>
        <v>0</v>
      </c>
      <c r="G122" s="453">
        <f t="shared" si="57"/>
        <v>0</v>
      </c>
      <c r="H122" s="453">
        <f t="shared" si="57"/>
        <v>0</v>
      </c>
      <c r="I122" s="453">
        <f t="shared" si="57"/>
        <v>0</v>
      </c>
      <c r="J122" s="453">
        <f t="shared" si="57"/>
        <v>0</v>
      </c>
      <c r="K122" s="453">
        <f t="shared" si="57"/>
        <v>0</v>
      </c>
      <c r="L122" s="454">
        <f t="shared" si="57"/>
        <v>0</v>
      </c>
      <c r="M122" s="455"/>
      <c r="N122" s="456"/>
      <c r="O122" s="456"/>
      <c r="P122" s="457">
        <f>P121</f>
        <v>0</v>
      </c>
      <c r="Q122" s="458"/>
      <c r="R122" s="459"/>
      <c r="S122" s="459"/>
      <c r="T122" s="460">
        <f>T121</f>
        <v>0</v>
      </c>
      <c r="U122" s="461">
        <f>U121</f>
        <v>0</v>
      </c>
      <c r="V122" s="462"/>
      <c r="W122" s="463"/>
      <c r="X122" s="463"/>
      <c r="Y122" s="463"/>
      <c r="Z122" s="463"/>
      <c r="AA122" s="463"/>
      <c r="AB122" s="464">
        <f>AB121</f>
        <v>0</v>
      </c>
      <c r="AC122" s="465">
        <f>AC121</f>
        <v>0</v>
      </c>
      <c r="AD122" s="466">
        <f>AD121</f>
        <v>0</v>
      </c>
      <c r="AE122" s="467">
        <f>AE121</f>
        <v>0</v>
      </c>
      <c r="AF122" s="315">
        <f t="shared" si="49"/>
        <v>0</v>
      </c>
      <c r="AG122" s="206"/>
      <c r="AJ122" s="1053"/>
      <c r="AK122" s="468"/>
    </row>
    <row r="123" spans="1:37" ht="19.5" thickBot="1">
      <c r="A123" s="624" t="s">
        <v>418</v>
      </c>
      <c r="B123" s="625">
        <f t="shared" ref="B123:Z123" si="58">B18+B26+B80+B95+B103+B108+B113+B116+B122</f>
        <v>1828022.26</v>
      </c>
      <c r="C123" s="626">
        <f t="shared" si="58"/>
        <v>1808521.0649999999</v>
      </c>
      <c r="D123" s="626">
        <f t="shared" si="58"/>
        <v>323808.61</v>
      </c>
      <c r="E123" s="626">
        <f t="shared" si="58"/>
        <v>8319135.0250000004</v>
      </c>
      <c r="F123" s="626">
        <f t="shared" si="58"/>
        <v>4411302.2350000003</v>
      </c>
      <c r="G123" s="626">
        <f t="shared" si="58"/>
        <v>4647597.95</v>
      </c>
      <c r="H123" s="626">
        <f t="shared" si="58"/>
        <v>4705205.835</v>
      </c>
      <c r="I123" s="626">
        <f t="shared" si="58"/>
        <v>2216028.875</v>
      </c>
      <c r="J123" s="626">
        <f t="shared" si="58"/>
        <v>373912.5</v>
      </c>
      <c r="K123" s="626">
        <f t="shared" si="58"/>
        <v>10948132.699999999</v>
      </c>
      <c r="L123" s="627">
        <f t="shared" si="58"/>
        <v>42301667.055</v>
      </c>
      <c r="M123" s="625">
        <f t="shared" si="58"/>
        <v>4377585.5999999996</v>
      </c>
      <c r="N123" s="626">
        <f t="shared" si="58"/>
        <v>358500</v>
      </c>
      <c r="O123" s="626">
        <f t="shared" si="58"/>
        <v>949499</v>
      </c>
      <c r="P123" s="627">
        <f t="shared" si="58"/>
        <v>5685584.5999999996</v>
      </c>
      <c r="Q123" s="625">
        <f t="shared" si="58"/>
        <v>0</v>
      </c>
      <c r="R123" s="626">
        <f t="shared" si="58"/>
        <v>0</v>
      </c>
      <c r="S123" s="626">
        <f>S18+S26+S80+S95+S103+S108+S113+S116+S122</f>
        <v>0</v>
      </c>
      <c r="T123" s="627">
        <f>T18+T26+T80+T95+T103+T108+T113+T116+T122</f>
        <v>0</v>
      </c>
      <c r="U123" s="628">
        <f t="shared" si="58"/>
        <v>0</v>
      </c>
      <c r="V123" s="625">
        <f t="shared" si="58"/>
        <v>59466.604999999996</v>
      </c>
      <c r="W123" s="626">
        <f t="shared" si="58"/>
        <v>2184028.875</v>
      </c>
      <c r="X123" s="626">
        <f t="shared" si="58"/>
        <v>3987760</v>
      </c>
      <c r="Y123" s="626">
        <f t="shared" si="58"/>
        <v>1270247.75</v>
      </c>
      <c r="Z123" s="626">
        <f t="shared" si="58"/>
        <v>6038380</v>
      </c>
      <c r="AA123" s="626">
        <f>AA18+AA26+AA80+AA95+AA103+AA108+AA113+AA116+AA122</f>
        <v>23471220</v>
      </c>
      <c r="AB123" s="627">
        <f>AB18+AB26+AB80+AB95+AB103+AB108+AB113+AB116+AB122</f>
        <v>37769293.230000004</v>
      </c>
      <c r="AC123" s="629">
        <f>AC18+AC26+AC80+AC95+AC103+AC108+AC113+AC116+AC122</f>
        <v>120000</v>
      </c>
      <c r="AD123" s="629">
        <f>AD18+AD26+AD80+AD95+AD103+AD108+AD113+AD116+AD122</f>
        <v>0</v>
      </c>
      <c r="AE123" s="1058">
        <f>AE18+AE26+AE80+AE95+AE103+AE108+AE113+AE116+AE122</f>
        <v>0</v>
      </c>
      <c r="AF123" s="630">
        <f>L123+P123+U123+AC123+AD123+AE123+T123+AB123</f>
        <v>85876544.885000005</v>
      </c>
      <c r="AG123" s="206">
        <f>SUM(AG4:AG122)</f>
        <v>85523233</v>
      </c>
      <c r="AH123" s="206">
        <f>SUM(AH4:AH122)</f>
        <v>85523233</v>
      </c>
      <c r="AI123" s="631">
        <f>SUM(AI4:AI122)</f>
        <v>353311.88499999978</v>
      </c>
      <c r="AJ123" s="1055">
        <f>SUM(AJ1:AJ122)</f>
        <v>84824195</v>
      </c>
      <c r="AK123" s="1056">
        <f>SUM(AK1:AK122)</f>
        <v>4248970</v>
      </c>
    </row>
    <row r="124" spans="1:37" ht="30">
      <c r="A124" s="425" t="s">
        <v>419</v>
      </c>
      <c r="B124" s="426"/>
      <c r="C124" s="427"/>
      <c r="D124" s="427"/>
      <c r="E124" s="427"/>
      <c r="F124" s="427"/>
      <c r="G124" s="427"/>
      <c r="H124" s="427"/>
      <c r="I124" s="427"/>
      <c r="J124" s="427"/>
      <c r="K124" s="427"/>
      <c r="L124" s="487">
        <f t="shared" ref="L124:L129" si="59">SUM(B124:K124)</f>
        <v>0</v>
      </c>
      <c r="M124" s="488"/>
      <c r="N124" s="489"/>
      <c r="O124" s="489"/>
      <c r="P124" s="490"/>
      <c r="Q124" s="491"/>
      <c r="R124" s="492"/>
      <c r="S124" s="492"/>
      <c r="T124" s="493"/>
      <c r="U124" s="494"/>
      <c r="V124" s="495"/>
      <c r="W124" s="496"/>
      <c r="X124" s="496"/>
      <c r="Y124" s="496"/>
      <c r="Z124" s="496"/>
      <c r="AA124" s="496"/>
      <c r="AB124" s="497"/>
      <c r="AC124" s="498"/>
      <c r="AD124" s="499"/>
      <c r="AE124" s="439"/>
      <c r="AF124" s="204">
        <f t="shared" si="49"/>
        <v>0</v>
      </c>
      <c r="AG124" s="206"/>
      <c r="AJ124" s="1053"/>
      <c r="AK124" s="468"/>
    </row>
    <row r="125" spans="1:37" ht="30">
      <c r="A125" s="320" t="s">
        <v>420</v>
      </c>
      <c r="B125" s="321"/>
      <c r="C125" s="322"/>
      <c r="D125" s="322"/>
      <c r="E125" s="322"/>
      <c r="F125" s="322"/>
      <c r="G125" s="322"/>
      <c r="H125" s="322"/>
      <c r="I125" s="322"/>
      <c r="J125" s="322"/>
      <c r="K125" s="322"/>
      <c r="L125" s="517">
        <f t="shared" si="59"/>
        <v>0</v>
      </c>
      <c r="M125" s="518"/>
      <c r="N125" s="519"/>
      <c r="O125" s="519"/>
      <c r="P125" s="393"/>
      <c r="Q125" s="520"/>
      <c r="R125" s="521"/>
      <c r="S125" s="521"/>
      <c r="T125" s="394"/>
      <c r="U125" s="522"/>
      <c r="V125" s="523"/>
      <c r="W125" s="524"/>
      <c r="X125" s="524"/>
      <c r="Y125" s="524"/>
      <c r="Z125" s="524"/>
      <c r="AA125" s="524"/>
      <c r="AB125" s="396"/>
      <c r="AC125" s="525"/>
      <c r="AD125" s="526"/>
      <c r="AE125" s="401"/>
      <c r="AF125" s="220">
        <f t="shared" si="49"/>
        <v>0</v>
      </c>
      <c r="AG125" s="206"/>
      <c r="AI125" s="1785"/>
      <c r="AJ125" s="1785"/>
      <c r="AK125" s="1785"/>
    </row>
    <row r="126" spans="1:37" ht="60">
      <c r="A126" s="320" t="s">
        <v>421</v>
      </c>
      <c r="B126" s="321"/>
      <c r="C126" s="322"/>
      <c r="D126" s="322"/>
      <c r="E126" s="322"/>
      <c r="F126" s="322"/>
      <c r="G126" s="322"/>
      <c r="H126" s="322"/>
      <c r="I126" s="322"/>
      <c r="J126" s="322"/>
      <c r="K126" s="322"/>
      <c r="L126" s="517">
        <f t="shared" si="59"/>
        <v>0</v>
      </c>
      <c r="M126" s="518"/>
      <c r="N126" s="519"/>
      <c r="O126" s="519"/>
      <c r="P126" s="393"/>
      <c r="Q126" s="520"/>
      <c r="R126" s="521"/>
      <c r="S126" s="521"/>
      <c r="T126" s="394"/>
      <c r="U126" s="522"/>
      <c r="V126" s="523"/>
      <c r="W126" s="524"/>
      <c r="X126" s="524"/>
      <c r="Y126" s="524"/>
      <c r="Z126" s="524"/>
      <c r="AA126" s="524"/>
      <c r="AB126" s="396"/>
      <c r="AC126" s="525"/>
      <c r="AD126" s="526"/>
      <c r="AE126" s="401"/>
      <c r="AF126" s="220">
        <f t="shared" si="49"/>
        <v>0</v>
      </c>
      <c r="AG126" s="206"/>
      <c r="AJ126" s="1053"/>
      <c r="AK126" s="468"/>
    </row>
    <row r="127" spans="1:37" ht="30">
      <c r="A127" s="320" t="s">
        <v>422</v>
      </c>
      <c r="B127" s="321"/>
      <c r="C127" s="322"/>
      <c r="D127" s="322"/>
      <c r="E127" s="322"/>
      <c r="F127" s="322"/>
      <c r="G127" s="322"/>
      <c r="H127" s="322"/>
      <c r="I127" s="322"/>
      <c r="J127" s="322"/>
      <c r="K127" s="322"/>
      <c r="L127" s="517">
        <f t="shared" si="59"/>
        <v>0</v>
      </c>
      <c r="M127" s="518"/>
      <c r="N127" s="519"/>
      <c r="O127" s="519"/>
      <c r="P127" s="393"/>
      <c r="Q127" s="520"/>
      <c r="R127" s="521"/>
      <c r="S127" s="521"/>
      <c r="T127" s="394"/>
      <c r="U127" s="522"/>
      <c r="V127" s="523"/>
      <c r="W127" s="524"/>
      <c r="X127" s="524"/>
      <c r="Y127" s="524"/>
      <c r="Z127" s="524"/>
      <c r="AA127" s="524"/>
      <c r="AB127" s="396"/>
      <c r="AC127" s="525"/>
      <c r="AD127" s="526"/>
      <c r="AE127" s="401"/>
      <c r="AF127" s="220">
        <f t="shared" si="49"/>
        <v>0</v>
      </c>
      <c r="AG127" s="206"/>
      <c r="AJ127" s="1053"/>
      <c r="AK127" s="468"/>
    </row>
    <row r="128" spans="1:37" ht="30">
      <c r="A128" s="320" t="s">
        <v>423</v>
      </c>
      <c r="B128" s="321"/>
      <c r="C128" s="322"/>
      <c r="D128" s="322"/>
      <c r="E128" s="322"/>
      <c r="F128" s="322"/>
      <c r="G128" s="322"/>
      <c r="H128" s="322"/>
      <c r="I128" s="322"/>
      <c r="J128" s="322"/>
      <c r="K128" s="322"/>
      <c r="L128" s="517">
        <f t="shared" si="59"/>
        <v>0</v>
      </c>
      <c r="M128" s="518"/>
      <c r="N128" s="519"/>
      <c r="O128" s="519"/>
      <c r="P128" s="393"/>
      <c r="Q128" s="520"/>
      <c r="R128" s="521"/>
      <c r="S128" s="521"/>
      <c r="T128" s="394"/>
      <c r="U128" s="522"/>
      <c r="V128" s="523"/>
      <c r="W128" s="524"/>
      <c r="X128" s="524"/>
      <c r="Y128" s="524"/>
      <c r="Z128" s="524"/>
      <c r="AA128" s="524"/>
      <c r="AB128" s="396"/>
      <c r="AC128" s="525"/>
      <c r="AD128" s="526"/>
      <c r="AE128" s="401"/>
      <c r="AF128" s="220">
        <f t="shared" si="49"/>
        <v>0</v>
      </c>
      <c r="AG128" s="206"/>
      <c r="AJ128" s="1053"/>
      <c r="AK128" s="468"/>
    </row>
    <row r="129" spans="1:37" ht="30">
      <c r="A129" s="320" t="s">
        <v>424</v>
      </c>
      <c r="B129" s="321"/>
      <c r="C129" s="322"/>
      <c r="D129" s="322"/>
      <c r="E129" s="322"/>
      <c r="F129" s="322"/>
      <c r="G129" s="322"/>
      <c r="H129" s="322"/>
      <c r="I129" s="322"/>
      <c r="J129" s="322"/>
      <c r="K129" s="322"/>
      <c r="L129" s="517">
        <f t="shared" si="59"/>
        <v>0</v>
      </c>
      <c r="M129" s="518"/>
      <c r="N129" s="519"/>
      <c r="O129" s="519"/>
      <c r="P129" s="393"/>
      <c r="Q129" s="520"/>
      <c r="R129" s="521"/>
      <c r="S129" s="521"/>
      <c r="T129" s="394"/>
      <c r="U129" s="522"/>
      <c r="V129" s="523"/>
      <c r="W129" s="524"/>
      <c r="X129" s="524"/>
      <c r="Y129" s="524"/>
      <c r="Z129" s="524"/>
      <c r="AA129" s="524"/>
      <c r="AB129" s="396"/>
      <c r="AC129" s="525"/>
      <c r="AD129" s="526"/>
      <c r="AE129" s="401"/>
      <c r="AF129" s="220">
        <f t="shared" si="49"/>
        <v>0</v>
      </c>
      <c r="AG129" s="206"/>
      <c r="AJ129" s="1053"/>
      <c r="AK129" s="468"/>
    </row>
    <row r="130" spans="1:37" ht="30">
      <c r="A130" s="500" t="s">
        <v>425</v>
      </c>
      <c r="B130" s="501">
        <f t="shared" ref="B130:L130" si="60">SUM(B124:B129)</f>
        <v>0</v>
      </c>
      <c r="C130" s="502">
        <f t="shared" si="60"/>
        <v>0</v>
      </c>
      <c r="D130" s="502">
        <f t="shared" si="60"/>
        <v>0</v>
      </c>
      <c r="E130" s="502">
        <f t="shared" si="60"/>
        <v>0</v>
      </c>
      <c r="F130" s="502">
        <f t="shared" si="60"/>
        <v>0</v>
      </c>
      <c r="G130" s="502">
        <f t="shared" si="60"/>
        <v>0</v>
      </c>
      <c r="H130" s="502">
        <f t="shared" si="60"/>
        <v>0</v>
      </c>
      <c r="I130" s="502">
        <f t="shared" si="60"/>
        <v>0</v>
      </c>
      <c r="J130" s="502">
        <f t="shared" si="60"/>
        <v>0</v>
      </c>
      <c r="K130" s="502">
        <f t="shared" si="60"/>
        <v>0</v>
      </c>
      <c r="L130" s="503">
        <f t="shared" si="60"/>
        <v>0</v>
      </c>
      <c r="M130" s="504"/>
      <c r="N130" s="505"/>
      <c r="O130" s="505"/>
      <c r="P130" s="506">
        <f>SUM(P124:P129)</f>
        <v>0</v>
      </c>
      <c r="Q130" s="507"/>
      <c r="R130" s="508"/>
      <c r="S130" s="508"/>
      <c r="T130" s="509">
        <f>SUM(T124:T129)</f>
        <v>0</v>
      </c>
      <c r="U130" s="510">
        <f>SUM(U124:U129)</f>
        <v>0</v>
      </c>
      <c r="V130" s="511"/>
      <c r="W130" s="512"/>
      <c r="X130" s="512"/>
      <c r="Y130" s="512"/>
      <c r="Z130" s="512"/>
      <c r="AA130" s="512"/>
      <c r="AB130" s="513">
        <f>SUM(AB124:AB129)</f>
        <v>0</v>
      </c>
      <c r="AC130" s="514">
        <f>SUM(AC124:AC129)</f>
        <v>0</v>
      </c>
      <c r="AD130" s="515">
        <f>SUM(AD124:AD129)</f>
        <v>0</v>
      </c>
      <c r="AE130" s="516">
        <f>SUM(AE124:AE129)</f>
        <v>0</v>
      </c>
      <c r="AF130" s="220">
        <f t="shared" si="49"/>
        <v>0</v>
      </c>
      <c r="AG130" s="206"/>
      <c r="AJ130" s="1053"/>
      <c r="AK130" s="468"/>
    </row>
    <row r="131" spans="1:37" ht="45">
      <c r="A131" s="320" t="s">
        <v>426</v>
      </c>
      <c r="B131" s="321"/>
      <c r="C131" s="322"/>
      <c r="D131" s="322"/>
      <c r="E131" s="322"/>
      <c r="F131" s="322"/>
      <c r="G131" s="322"/>
      <c r="H131" s="322"/>
      <c r="I131" s="322"/>
      <c r="J131" s="322"/>
      <c r="K131" s="322"/>
      <c r="L131" s="517">
        <f>SUM(B131:K131)</f>
        <v>0</v>
      </c>
      <c r="M131" s="518"/>
      <c r="N131" s="519"/>
      <c r="O131" s="519"/>
      <c r="P131" s="393"/>
      <c r="Q131" s="520"/>
      <c r="R131" s="521"/>
      <c r="S131" s="521"/>
      <c r="T131" s="394"/>
      <c r="U131" s="522"/>
      <c r="V131" s="523"/>
      <c r="W131" s="524"/>
      <c r="X131" s="524"/>
      <c r="Y131" s="524"/>
      <c r="Z131" s="524"/>
      <c r="AA131" s="524"/>
      <c r="AB131" s="396"/>
      <c r="AC131" s="525"/>
      <c r="AD131" s="526"/>
      <c r="AE131" s="401"/>
      <c r="AF131" s="220">
        <f t="shared" si="49"/>
        <v>0</v>
      </c>
      <c r="AG131" s="206"/>
      <c r="AJ131" s="1053"/>
      <c r="AK131" s="468"/>
    </row>
    <row r="132" spans="1:37">
      <c r="A132" s="500" t="s">
        <v>427</v>
      </c>
      <c r="B132" s="501">
        <f t="shared" ref="B132:L132" si="61">B131</f>
        <v>0</v>
      </c>
      <c r="C132" s="502">
        <f t="shared" si="61"/>
        <v>0</v>
      </c>
      <c r="D132" s="502">
        <f t="shared" si="61"/>
        <v>0</v>
      </c>
      <c r="E132" s="502">
        <f t="shared" si="61"/>
        <v>0</v>
      </c>
      <c r="F132" s="502">
        <f t="shared" si="61"/>
        <v>0</v>
      </c>
      <c r="G132" s="502">
        <f t="shared" si="61"/>
        <v>0</v>
      </c>
      <c r="H132" s="502">
        <f t="shared" si="61"/>
        <v>0</v>
      </c>
      <c r="I132" s="502">
        <f t="shared" si="61"/>
        <v>0</v>
      </c>
      <c r="J132" s="502">
        <f t="shared" si="61"/>
        <v>0</v>
      </c>
      <c r="K132" s="502">
        <f t="shared" si="61"/>
        <v>0</v>
      </c>
      <c r="L132" s="503">
        <f t="shared" si="61"/>
        <v>0</v>
      </c>
      <c r="M132" s="504"/>
      <c r="N132" s="505"/>
      <c r="O132" s="505"/>
      <c r="P132" s="506">
        <f>P131</f>
        <v>0</v>
      </c>
      <c r="Q132" s="507"/>
      <c r="R132" s="508"/>
      <c r="S132" s="508"/>
      <c r="T132" s="509">
        <f>T131</f>
        <v>0</v>
      </c>
      <c r="U132" s="510">
        <f>U131</f>
        <v>0</v>
      </c>
      <c r="V132" s="511"/>
      <c r="W132" s="512"/>
      <c r="X132" s="512"/>
      <c r="Y132" s="512"/>
      <c r="Z132" s="512"/>
      <c r="AA132" s="512"/>
      <c r="AB132" s="513">
        <f>AB131</f>
        <v>0</v>
      </c>
      <c r="AC132" s="514">
        <f>AC131</f>
        <v>0</v>
      </c>
      <c r="AD132" s="515">
        <f>AD131</f>
        <v>0</v>
      </c>
      <c r="AE132" s="516">
        <f>AE131</f>
        <v>0</v>
      </c>
      <c r="AF132" s="220">
        <f t="shared" si="49"/>
        <v>0</v>
      </c>
      <c r="AG132" s="206"/>
      <c r="AJ132" s="1053"/>
      <c r="AK132" s="468"/>
    </row>
    <row r="133" spans="1:37" ht="30.75" thickBot="1">
      <c r="A133" s="566" t="s">
        <v>428</v>
      </c>
      <c r="B133" s="567"/>
      <c r="C133" s="568"/>
      <c r="D133" s="568"/>
      <c r="E133" s="568"/>
      <c r="F133" s="568"/>
      <c r="G133" s="568"/>
      <c r="H133" s="568"/>
      <c r="I133" s="568"/>
      <c r="J133" s="568"/>
      <c r="K133" s="568"/>
      <c r="L133" s="569">
        <f>SUM(B133:K133)</f>
        <v>0</v>
      </c>
      <c r="M133" s="570"/>
      <c r="N133" s="571"/>
      <c r="O133" s="571"/>
      <c r="P133" s="572"/>
      <c r="Q133" s="573"/>
      <c r="R133" s="574"/>
      <c r="S133" s="574"/>
      <c r="T133" s="575"/>
      <c r="U133" s="576"/>
      <c r="V133" s="577"/>
      <c r="W133" s="578"/>
      <c r="X133" s="578"/>
      <c r="Y133" s="578"/>
      <c r="Z133" s="578"/>
      <c r="AA133" s="578"/>
      <c r="AB133" s="579"/>
      <c r="AC133" s="580"/>
      <c r="AD133" s="581"/>
      <c r="AE133" s="582"/>
      <c r="AF133" s="248">
        <f t="shared" si="49"/>
        <v>0</v>
      </c>
      <c r="AG133" s="206"/>
      <c r="AJ133" s="1053"/>
      <c r="AK133" s="468"/>
    </row>
    <row r="134" spans="1:37" ht="32.25" thickBot="1">
      <c r="A134" s="451" t="s">
        <v>429</v>
      </c>
      <c r="B134" s="452">
        <f t="shared" ref="B134:L134" si="62">B130+B132+B133</f>
        <v>0</v>
      </c>
      <c r="C134" s="453">
        <f t="shared" si="62"/>
        <v>0</v>
      </c>
      <c r="D134" s="453">
        <f t="shared" si="62"/>
        <v>0</v>
      </c>
      <c r="E134" s="453">
        <f t="shared" si="62"/>
        <v>0</v>
      </c>
      <c r="F134" s="453">
        <f t="shared" si="62"/>
        <v>0</v>
      </c>
      <c r="G134" s="453">
        <f t="shared" si="62"/>
        <v>0</v>
      </c>
      <c r="H134" s="453">
        <f t="shared" si="62"/>
        <v>0</v>
      </c>
      <c r="I134" s="453">
        <f t="shared" si="62"/>
        <v>0</v>
      </c>
      <c r="J134" s="453">
        <f t="shared" si="62"/>
        <v>0</v>
      </c>
      <c r="K134" s="453">
        <f t="shared" si="62"/>
        <v>0</v>
      </c>
      <c r="L134" s="454">
        <f t="shared" si="62"/>
        <v>0</v>
      </c>
      <c r="M134" s="455"/>
      <c r="N134" s="456"/>
      <c r="O134" s="456"/>
      <c r="P134" s="457">
        <f>P130+P132+P133</f>
        <v>0</v>
      </c>
      <c r="Q134" s="458"/>
      <c r="R134" s="459"/>
      <c r="S134" s="459"/>
      <c r="T134" s="460">
        <f>T130+T132+T133</f>
        <v>0</v>
      </c>
      <c r="U134" s="461">
        <f>U130+U132+U133</f>
        <v>0</v>
      </c>
      <c r="V134" s="462"/>
      <c r="W134" s="463"/>
      <c r="X134" s="463"/>
      <c r="Y134" s="463"/>
      <c r="Z134" s="463"/>
      <c r="AA134" s="463"/>
      <c r="AB134" s="464">
        <f>AB130+AB132+AB133</f>
        <v>0</v>
      </c>
      <c r="AC134" s="465">
        <f>AC130+AC132+AC133</f>
        <v>0</v>
      </c>
      <c r="AD134" s="466">
        <f>AD130+AD132+AD133</f>
        <v>0</v>
      </c>
      <c r="AE134" s="467">
        <f>AE130+AE132+AE133</f>
        <v>0</v>
      </c>
      <c r="AF134" s="315">
        <f t="shared" si="49"/>
        <v>0</v>
      </c>
      <c r="AG134" s="206"/>
      <c r="AJ134" s="1053"/>
      <c r="AK134" s="468"/>
    </row>
    <row r="135" spans="1:37" ht="30.75" thickBot="1">
      <c r="A135" s="599" t="s">
        <v>430</v>
      </c>
      <c r="B135" s="600"/>
      <c r="C135" s="601"/>
      <c r="D135" s="601"/>
      <c r="E135" s="601"/>
      <c r="F135" s="601"/>
      <c r="G135" s="601"/>
      <c r="H135" s="601"/>
      <c r="I135" s="601"/>
      <c r="J135" s="601"/>
      <c r="K135" s="601"/>
      <c r="L135" s="253">
        <f>SUM(B135:K135)</f>
        <v>0</v>
      </c>
      <c r="M135" s="254"/>
      <c r="N135" s="255"/>
      <c r="O135" s="255"/>
      <c r="P135" s="605"/>
      <c r="Q135" s="257"/>
      <c r="R135" s="258"/>
      <c r="S135" s="258"/>
      <c r="T135" s="608"/>
      <c r="U135" s="616"/>
      <c r="V135" s="261"/>
      <c r="W135" s="262"/>
      <c r="X135" s="262"/>
      <c r="Y135" s="262"/>
      <c r="Z135" s="262"/>
      <c r="AA135" s="262"/>
      <c r="AB135" s="612"/>
      <c r="AC135" s="617"/>
      <c r="AD135" s="618"/>
      <c r="AE135" s="619"/>
      <c r="AF135" s="266">
        <f t="shared" si="49"/>
        <v>0</v>
      </c>
      <c r="AG135" s="206"/>
      <c r="AJ135" s="1053"/>
      <c r="AK135" s="468"/>
    </row>
    <row r="136" spans="1:37" ht="16.5" thickBot="1">
      <c r="A136" s="599" t="s">
        <v>431</v>
      </c>
      <c r="B136" s="600"/>
      <c r="C136" s="601"/>
      <c r="D136" s="601"/>
      <c r="E136" s="601"/>
      <c r="F136" s="601"/>
      <c r="G136" s="601"/>
      <c r="H136" s="601"/>
      <c r="I136" s="601"/>
      <c r="J136" s="601"/>
      <c r="K136" s="601"/>
      <c r="L136" s="253">
        <f>SUM(B136:K136)</f>
        <v>0</v>
      </c>
      <c r="M136" s="254"/>
      <c r="N136" s="255"/>
      <c r="O136" s="255"/>
      <c r="P136" s="605"/>
      <c r="Q136" s="257"/>
      <c r="R136" s="258"/>
      <c r="S136" s="258"/>
      <c r="T136" s="608"/>
      <c r="U136" s="616"/>
      <c r="V136" s="261"/>
      <c r="W136" s="262"/>
      <c r="X136" s="262"/>
      <c r="Y136" s="262"/>
      <c r="Z136" s="262"/>
      <c r="AA136" s="262"/>
      <c r="AB136" s="612"/>
      <c r="AC136" s="617"/>
      <c r="AD136" s="618"/>
      <c r="AE136" s="619"/>
      <c r="AF136" s="266">
        <f t="shared" si="49"/>
        <v>0</v>
      </c>
      <c r="AG136" s="206"/>
      <c r="AJ136" s="1053"/>
      <c r="AK136" s="468"/>
    </row>
    <row r="137" spans="1:37" ht="30.75" thickBot="1">
      <c r="A137" s="599" t="s">
        <v>432</v>
      </c>
      <c r="B137" s="600"/>
      <c r="C137" s="601"/>
      <c r="D137" s="601"/>
      <c r="E137" s="601"/>
      <c r="F137" s="601"/>
      <c r="G137" s="601"/>
      <c r="H137" s="601"/>
      <c r="I137" s="601"/>
      <c r="J137" s="601"/>
      <c r="K137" s="601"/>
      <c r="L137" s="253">
        <f>SUM(B137:K137)</f>
        <v>0</v>
      </c>
      <c r="M137" s="254"/>
      <c r="N137" s="255"/>
      <c r="O137" s="255"/>
      <c r="P137" s="605"/>
      <c r="Q137" s="257"/>
      <c r="R137" s="258"/>
      <c r="S137" s="258"/>
      <c r="T137" s="608"/>
      <c r="U137" s="616"/>
      <c r="V137" s="261"/>
      <c r="W137" s="262"/>
      <c r="X137" s="262"/>
      <c r="Y137" s="262"/>
      <c r="Z137" s="262"/>
      <c r="AA137" s="262"/>
      <c r="AB137" s="612"/>
      <c r="AC137" s="617"/>
      <c r="AD137" s="618"/>
      <c r="AE137" s="619"/>
      <c r="AF137" s="266">
        <f t="shared" si="49"/>
        <v>0</v>
      </c>
      <c r="AG137" s="206"/>
      <c r="AJ137" s="1053"/>
      <c r="AK137" s="468"/>
    </row>
    <row r="138" spans="1:37" ht="30.75" thickBot="1">
      <c r="A138" s="350" t="s">
        <v>433</v>
      </c>
      <c r="B138" s="351">
        <f t="shared" ref="B138:L138" si="63">SUM(B135:B137)</f>
        <v>0</v>
      </c>
      <c r="C138" s="352">
        <f t="shared" si="63"/>
        <v>0</v>
      </c>
      <c r="D138" s="352">
        <f t="shared" si="63"/>
        <v>0</v>
      </c>
      <c r="E138" s="352">
        <f t="shared" si="63"/>
        <v>0</v>
      </c>
      <c r="F138" s="352">
        <f t="shared" si="63"/>
        <v>0</v>
      </c>
      <c r="G138" s="352">
        <f t="shared" si="63"/>
        <v>0</v>
      </c>
      <c r="H138" s="352">
        <f t="shared" si="63"/>
        <v>0</v>
      </c>
      <c r="I138" s="352">
        <f t="shared" si="63"/>
        <v>0</v>
      </c>
      <c r="J138" s="352">
        <f t="shared" si="63"/>
        <v>0</v>
      </c>
      <c r="K138" s="352">
        <f t="shared" si="63"/>
        <v>0</v>
      </c>
      <c r="L138" s="353">
        <f t="shared" si="63"/>
        <v>0</v>
      </c>
      <c r="M138" s="424"/>
      <c r="N138" s="354"/>
      <c r="O138" s="354"/>
      <c r="P138" s="256">
        <f>SUM(P135:P137)</f>
        <v>0</v>
      </c>
      <c r="Q138" s="390"/>
      <c r="R138" s="355"/>
      <c r="S138" s="355"/>
      <c r="T138" s="259">
        <f>SUM(T135:T137)</f>
        <v>0</v>
      </c>
      <c r="U138" s="356">
        <f>SUM(U135:U137)</f>
        <v>0</v>
      </c>
      <c r="V138" s="357"/>
      <c r="W138" s="358"/>
      <c r="X138" s="358"/>
      <c r="Y138" s="358"/>
      <c r="Z138" s="358"/>
      <c r="AA138" s="358"/>
      <c r="AB138" s="263">
        <f>SUM(AB135:AB137)</f>
        <v>0</v>
      </c>
      <c r="AC138" s="359">
        <f>SUM(AC135:AC137)</f>
        <v>0</v>
      </c>
      <c r="AD138" s="360">
        <f>SUM(AD135:AD137)</f>
        <v>0</v>
      </c>
      <c r="AE138" s="362">
        <f>SUM(AE135:AE137)</f>
        <v>0</v>
      </c>
      <c r="AF138" s="266">
        <f t="shared" si="49"/>
        <v>0</v>
      </c>
      <c r="AG138" s="206"/>
      <c r="AJ138" s="1053"/>
      <c r="AK138" s="468"/>
    </row>
    <row r="139" spans="1:37" ht="30.75" thickBot="1">
      <c r="A139" s="350" t="s">
        <v>434</v>
      </c>
      <c r="B139" s="351"/>
      <c r="C139" s="352"/>
      <c r="D139" s="352"/>
      <c r="E139" s="352"/>
      <c r="F139" s="352"/>
      <c r="G139" s="352"/>
      <c r="H139" s="352"/>
      <c r="I139" s="352"/>
      <c r="J139" s="352"/>
      <c r="K139" s="352"/>
      <c r="L139" s="253">
        <f>SUM(B139:K139)</f>
        <v>0</v>
      </c>
      <c r="M139" s="254"/>
      <c r="N139" s="255"/>
      <c r="O139" s="255"/>
      <c r="P139" s="256"/>
      <c r="Q139" s="257"/>
      <c r="R139" s="258"/>
      <c r="S139" s="258"/>
      <c r="T139" s="259"/>
      <c r="U139" s="260"/>
      <c r="V139" s="261"/>
      <c r="W139" s="262"/>
      <c r="X139" s="262"/>
      <c r="Y139" s="262"/>
      <c r="Z139" s="262"/>
      <c r="AA139" s="262"/>
      <c r="AB139" s="263"/>
      <c r="AC139" s="264"/>
      <c r="AD139" s="265"/>
      <c r="AE139" s="266"/>
      <c r="AF139" s="266">
        <f t="shared" si="49"/>
        <v>0</v>
      </c>
      <c r="AG139" s="206"/>
      <c r="AJ139" s="1053"/>
      <c r="AK139" s="468"/>
    </row>
    <row r="140" spans="1:37" ht="32.25" thickBot="1">
      <c r="A140" s="451" t="s">
        <v>435</v>
      </c>
      <c r="B140" s="452">
        <f t="shared" ref="B140:L140" si="64">B138+B139</f>
        <v>0</v>
      </c>
      <c r="C140" s="453">
        <f t="shared" si="64"/>
        <v>0</v>
      </c>
      <c r="D140" s="453">
        <f t="shared" si="64"/>
        <v>0</v>
      </c>
      <c r="E140" s="453">
        <f t="shared" si="64"/>
        <v>0</v>
      </c>
      <c r="F140" s="453">
        <f t="shared" si="64"/>
        <v>0</v>
      </c>
      <c r="G140" s="453">
        <f t="shared" si="64"/>
        <v>0</v>
      </c>
      <c r="H140" s="453">
        <f t="shared" si="64"/>
        <v>0</v>
      </c>
      <c r="I140" s="453">
        <f t="shared" si="64"/>
        <v>0</v>
      </c>
      <c r="J140" s="453">
        <f t="shared" si="64"/>
        <v>0</v>
      </c>
      <c r="K140" s="453">
        <f t="shared" si="64"/>
        <v>0</v>
      </c>
      <c r="L140" s="454">
        <f t="shared" si="64"/>
        <v>0</v>
      </c>
      <c r="M140" s="455"/>
      <c r="N140" s="456"/>
      <c r="O140" s="456"/>
      <c r="P140" s="457">
        <f>P138+P139</f>
        <v>0</v>
      </c>
      <c r="Q140" s="458"/>
      <c r="R140" s="459"/>
      <c r="S140" s="459"/>
      <c r="T140" s="460">
        <f>T138+T139</f>
        <v>0</v>
      </c>
      <c r="U140" s="461">
        <f>U138+U139</f>
        <v>0</v>
      </c>
      <c r="V140" s="462"/>
      <c r="W140" s="463"/>
      <c r="X140" s="463"/>
      <c r="Y140" s="463"/>
      <c r="Z140" s="463"/>
      <c r="AA140" s="463"/>
      <c r="AB140" s="464">
        <f>AB138+AB139</f>
        <v>0</v>
      </c>
      <c r="AC140" s="465">
        <f>AC138+AC139</f>
        <v>0</v>
      </c>
      <c r="AD140" s="466">
        <f>AD138+AD139</f>
        <v>0</v>
      </c>
      <c r="AE140" s="467">
        <f>AE138+AE139</f>
        <v>0</v>
      </c>
      <c r="AF140" s="315">
        <f t="shared" si="49"/>
        <v>0</v>
      </c>
      <c r="AG140" s="206"/>
      <c r="AJ140" s="1053"/>
      <c r="AK140" s="468"/>
    </row>
    <row r="141" spans="1:37" ht="16.5" thickBot="1">
      <c r="A141" s="632" t="s">
        <v>436</v>
      </c>
      <c r="B141" s="633"/>
      <c r="C141" s="634"/>
      <c r="D141" s="634"/>
      <c r="E141" s="634"/>
      <c r="F141" s="634"/>
      <c r="G141" s="634"/>
      <c r="H141" s="634"/>
      <c r="I141" s="634"/>
      <c r="J141" s="634"/>
      <c r="K141" s="634"/>
      <c r="L141" s="253">
        <f>SUM(B141:K141)</f>
        <v>0</v>
      </c>
      <c r="M141" s="254"/>
      <c r="N141" s="255"/>
      <c r="O141" s="255"/>
      <c r="P141" s="635"/>
      <c r="Q141" s="257"/>
      <c r="R141" s="258"/>
      <c r="S141" s="258"/>
      <c r="T141" s="636"/>
      <c r="U141" s="637"/>
      <c r="V141" s="261"/>
      <c r="W141" s="262"/>
      <c r="X141" s="262"/>
      <c r="Y141" s="262"/>
      <c r="Z141" s="262"/>
      <c r="AA141" s="262"/>
      <c r="AB141" s="638"/>
      <c r="AC141" s="639"/>
      <c r="AD141" s="640"/>
      <c r="AE141" s="641"/>
      <c r="AF141" s="266">
        <f t="shared" si="49"/>
        <v>0</v>
      </c>
      <c r="AG141" s="206"/>
      <c r="AJ141" s="1053"/>
      <c r="AK141" s="468"/>
    </row>
    <row r="142" spans="1:37" ht="30.75" thickBot="1">
      <c r="A142" s="599" t="s">
        <v>437</v>
      </c>
      <c r="B142" s="600"/>
      <c r="C142" s="601"/>
      <c r="D142" s="601"/>
      <c r="E142" s="601"/>
      <c r="F142" s="601"/>
      <c r="G142" s="601"/>
      <c r="H142" s="601"/>
      <c r="I142" s="601"/>
      <c r="J142" s="601"/>
      <c r="K142" s="601"/>
      <c r="L142" s="253">
        <f>SUM(B142:K142)</f>
        <v>0</v>
      </c>
      <c r="M142" s="254"/>
      <c r="N142" s="255"/>
      <c r="O142" s="255"/>
      <c r="P142" s="605"/>
      <c r="Q142" s="257"/>
      <c r="R142" s="258"/>
      <c r="S142" s="258"/>
      <c r="T142" s="608"/>
      <c r="U142" s="616"/>
      <c r="V142" s="261"/>
      <c r="W142" s="262"/>
      <c r="X142" s="262"/>
      <c r="Y142" s="262"/>
      <c r="Z142" s="262"/>
      <c r="AA142" s="262"/>
      <c r="AB142" s="612"/>
      <c r="AC142" s="617"/>
      <c r="AD142" s="618"/>
      <c r="AE142" s="619"/>
      <c r="AF142" s="266">
        <f t="shared" si="49"/>
        <v>0</v>
      </c>
      <c r="AG142" s="206"/>
      <c r="AJ142" s="1053"/>
      <c r="AK142" s="468"/>
    </row>
    <row r="143" spans="1:37" ht="16.5" thickBot="1">
      <c r="A143" s="350" t="s">
        <v>438</v>
      </c>
      <c r="B143" s="351">
        <f t="shared" ref="B143:L143" si="65">SUM(B141:B142)</f>
        <v>0</v>
      </c>
      <c r="C143" s="352">
        <f t="shared" si="65"/>
        <v>0</v>
      </c>
      <c r="D143" s="352">
        <f t="shared" si="65"/>
        <v>0</v>
      </c>
      <c r="E143" s="352">
        <f t="shared" si="65"/>
        <v>0</v>
      </c>
      <c r="F143" s="352">
        <f t="shared" si="65"/>
        <v>0</v>
      </c>
      <c r="G143" s="352">
        <f t="shared" si="65"/>
        <v>0</v>
      </c>
      <c r="H143" s="352">
        <f t="shared" si="65"/>
        <v>0</v>
      </c>
      <c r="I143" s="352">
        <f t="shared" si="65"/>
        <v>0</v>
      </c>
      <c r="J143" s="352">
        <f t="shared" si="65"/>
        <v>0</v>
      </c>
      <c r="K143" s="352">
        <f t="shared" si="65"/>
        <v>0</v>
      </c>
      <c r="L143" s="353">
        <f t="shared" si="65"/>
        <v>0</v>
      </c>
      <c r="M143" s="424"/>
      <c r="N143" s="354"/>
      <c r="O143" s="354"/>
      <c r="P143" s="256">
        <f>SUM(P141:P142)</f>
        <v>0</v>
      </c>
      <c r="Q143" s="390"/>
      <c r="R143" s="355"/>
      <c r="S143" s="355"/>
      <c r="T143" s="259">
        <f>SUM(T141:T142)</f>
        <v>0</v>
      </c>
      <c r="U143" s="356">
        <f>SUM(U141:U142)</f>
        <v>0</v>
      </c>
      <c r="V143" s="357"/>
      <c r="W143" s="358"/>
      <c r="X143" s="358"/>
      <c r="Y143" s="358"/>
      <c r="Z143" s="358"/>
      <c r="AA143" s="358"/>
      <c r="AB143" s="263">
        <f>SUM(AB141:AB142)</f>
        <v>0</v>
      </c>
      <c r="AC143" s="359">
        <f>SUM(AC141:AC142)</f>
        <v>0</v>
      </c>
      <c r="AD143" s="360">
        <f>SUM(AD141:AD142)</f>
        <v>0</v>
      </c>
      <c r="AE143" s="362">
        <f>SUM(AE141:AE142)</f>
        <v>0</v>
      </c>
      <c r="AF143" s="266">
        <f t="shared" si="49"/>
        <v>0</v>
      </c>
      <c r="AG143" s="206"/>
      <c r="AJ143" s="1053"/>
      <c r="AK143" s="468"/>
    </row>
    <row r="144" spans="1:37" ht="30.75" thickBot="1">
      <c r="A144" s="593" t="s">
        <v>439</v>
      </c>
      <c r="B144" s="594"/>
      <c r="C144" s="595"/>
      <c r="D144" s="595"/>
      <c r="E144" s="595"/>
      <c r="F144" s="595"/>
      <c r="G144" s="595"/>
      <c r="H144" s="595"/>
      <c r="I144" s="595"/>
      <c r="J144" s="595"/>
      <c r="K144" s="595"/>
      <c r="L144" s="253">
        <f>SUM(B144:K144)</f>
        <v>0</v>
      </c>
      <c r="M144" s="254"/>
      <c r="N144" s="255"/>
      <c r="O144" s="255"/>
      <c r="P144" s="596"/>
      <c r="Q144" s="257"/>
      <c r="R144" s="258"/>
      <c r="S144" s="258"/>
      <c r="T144" s="597"/>
      <c r="U144" s="642"/>
      <c r="V144" s="261"/>
      <c r="W144" s="262"/>
      <c r="X144" s="262"/>
      <c r="Y144" s="262"/>
      <c r="Z144" s="262"/>
      <c r="AA144" s="262"/>
      <c r="AB144" s="598"/>
      <c r="AC144" s="643"/>
      <c r="AD144" s="644"/>
      <c r="AE144" s="645"/>
      <c r="AF144" s="266">
        <f t="shared" si="49"/>
        <v>0</v>
      </c>
      <c r="AG144" s="206"/>
      <c r="AJ144" s="1053"/>
      <c r="AK144" s="468"/>
    </row>
    <row r="145" spans="1:37" ht="30.75" thickBot="1">
      <c r="A145" s="646" t="s">
        <v>440</v>
      </c>
      <c r="B145" s="594"/>
      <c r="C145" s="595"/>
      <c r="D145" s="595"/>
      <c r="E145" s="595"/>
      <c r="F145" s="595"/>
      <c r="G145" s="595"/>
      <c r="H145" s="595"/>
      <c r="I145" s="595"/>
      <c r="J145" s="595"/>
      <c r="K145" s="595"/>
      <c r="L145" s="253">
        <f>SUM(B145:K145)</f>
        <v>0</v>
      </c>
      <c r="M145" s="254"/>
      <c r="N145" s="255"/>
      <c r="O145" s="255"/>
      <c r="P145" s="596"/>
      <c r="Q145" s="257"/>
      <c r="R145" s="258"/>
      <c r="S145" s="258"/>
      <c r="T145" s="597"/>
      <c r="U145" s="642"/>
      <c r="V145" s="261"/>
      <c r="W145" s="262"/>
      <c r="X145" s="262"/>
      <c r="Y145" s="262"/>
      <c r="Z145" s="262"/>
      <c r="AA145" s="262"/>
      <c r="AB145" s="598"/>
      <c r="AC145" s="643"/>
      <c r="AD145" s="644"/>
      <c r="AE145" s="645"/>
      <c r="AF145" s="266">
        <f t="shared" si="49"/>
        <v>0</v>
      </c>
      <c r="AG145" s="206"/>
      <c r="AJ145" s="1053"/>
      <c r="AK145" s="468"/>
    </row>
    <row r="146" spans="1:37" ht="16.5" thickBot="1">
      <c r="A146" s="599" t="s">
        <v>441</v>
      </c>
      <c r="B146" s="600">
        <f t="shared" ref="B146:L146" si="66">SUM(B144:B145)</f>
        <v>0</v>
      </c>
      <c r="C146" s="601">
        <f t="shared" si="66"/>
        <v>0</v>
      </c>
      <c r="D146" s="601">
        <f t="shared" si="66"/>
        <v>0</v>
      </c>
      <c r="E146" s="601">
        <f t="shared" si="66"/>
        <v>0</v>
      </c>
      <c r="F146" s="601">
        <f t="shared" si="66"/>
        <v>0</v>
      </c>
      <c r="G146" s="601">
        <f t="shared" si="66"/>
        <v>0</v>
      </c>
      <c r="H146" s="601">
        <f t="shared" si="66"/>
        <v>0</v>
      </c>
      <c r="I146" s="601">
        <f t="shared" si="66"/>
        <v>0</v>
      </c>
      <c r="J146" s="601">
        <f t="shared" si="66"/>
        <v>0</v>
      </c>
      <c r="K146" s="601">
        <f t="shared" si="66"/>
        <v>0</v>
      </c>
      <c r="L146" s="602">
        <f t="shared" si="66"/>
        <v>0</v>
      </c>
      <c r="M146" s="603"/>
      <c r="N146" s="604"/>
      <c r="O146" s="604"/>
      <c r="P146" s="605">
        <f>SUM(P144:P145)</f>
        <v>0</v>
      </c>
      <c r="Q146" s="606"/>
      <c r="R146" s="607"/>
      <c r="S146" s="607"/>
      <c r="T146" s="608">
        <f>SUM(T144:T145)</f>
        <v>0</v>
      </c>
      <c r="U146" s="609">
        <f>SUM(U144:U145)</f>
        <v>0</v>
      </c>
      <c r="V146" s="610"/>
      <c r="W146" s="611"/>
      <c r="X146" s="611"/>
      <c r="Y146" s="611"/>
      <c r="Z146" s="611"/>
      <c r="AA146" s="611"/>
      <c r="AB146" s="612">
        <f>SUM(AB144:AB145)</f>
        <v>0</v>
      </c>
      <c r="AC146" s="613">
        <f>SUM(AC144:AC145)</f>
        <v>0</v>
      </c>
      <c r="AD146" s="614">
        <f>SUM(AD144:AD145)</f>
        <v>0</v>
      </c>
      <c r="AE146" s="615">
        <f>SUM(AE144:AE145)</f>
        <v>0</v>
      </c>
      <c r="AF146" s="266">
        <f t="shared" si="49"/>
        <v>0</v>
      </c>
      <c r="AG146" s="206"/>
      <c r="AJ146" s="1053"/>
      <c r="AK146" s="468"/>
    </row>
    <row r="147" spans="1:37" ht="30.75" thickBot="1">
      <c r="A147" s="646" t="s">
        <v>442</v>
      </c>
      <c r="B147" s="647"/>
      <c r="C147" s="648"/>
      <c r="D147" s="648"/>
      <c r="E147" s="648"/>
      <c r="F147" s="648"/>
      <c r="G147" s="648"/>
      <c r="H147" s="648"/>
      <c r="I147" s="648"/>
      <c r="J147" s="648"/>
      <c r="K147" s="648"/>
      <c r="L147" s="253">
        <f>SUM(B147:K147)</f>
        <v>0</v>
      </c>
      <c r="M147" s="254"/>
      <c r="N147" s="255"/>
      <c r="O147" s="255"/>
      <c r="P147" s="649"/>
      <c r="Q147" s="257"/>
      <c r="R147" s="258"/>
      <c r="S147" s="258"/>
      <c r="T147" s="650"/>
      <c r="U147" s="260"/>
      <c r="V147" s="261"/>
      <c r="W147" s="262"/>
      <c r="X147" s="262"/>
      <c r="Y147" s="262"/>
      <c r="Z147" s="262"/>
      <c r="AA147" s="262"/>
      <c r="AB147" s="651"/>
      <c r="AC147" s="264"/>
      <c r="AD147" s="265"/>
      <c r="AE147" s="266"/>
      <c r="AF147" s="266">
        <f t="shared" si="49"/>
        <v>0</v>
      </c>
      <c r="AG147" s="206"/>
      <c r="AJ147" s="1053"/>
      <c r="AK147" s="468"/>
    </row>
    <row r="148" spans="1:37" ht="30.75" thickBot="1">
      <c r="A148" s="646" t="s">
        <v>443</v>
      </c>
      <c r="B148" s="647"/>
      <c r="C148" s="648"/>
      <c r="D148" s="648"/>
      <c r="E148" s="648"/>
      <c r="F148" s="648"/>
      <c r="G148" s="648"/>
      <c r="H148" s="648"/>
      <c r="I148" s="648"/>
      <c r="J148" s="648"/>
      <c r="K148" s="648"/>
      <c r="L148" s="253">
        <f>SUM(B148:K148)</f>
        <v>0</v>
      </c>
      <c r="M148" s="254"/>
      <c r="N148" s="255"/>
      <c r="O148" s="255"/>
      <c r="P148" s="649"/>
      <c r="Q148" s="257"/>
      <c r="R148" s="258"/>
      <c r="S148" s="258"/>
      <c r="T148" s="650"/>
      <c r="U148" s="260"/>
      <c r="V148" s="261"/>
      <c r="W148" s="262"/>
      <c r="X148" s="262"/>
      <c r="Y148" s="262"/>
      <c r="Z148" s="262"/>
      <c r="AA148" s="262"/>
      <c r="AB148" s="651"/>
      <c r="AC148" s="264"/>
      <c r="AD148" s="265"/>
      <c r="AE148" s="266"/>
      <c r="AF148" s="266">
        <f t="shared" si="49"/>
        <v>0</v>
      </c>
      <c r="AG148" s="206"/>
      <c r="AJ148" s="1053"/>
      <c r="AK148" s="468"/>
    </row>
    <row r="149" spans="1:37" ht="16.5" thickBot="1">
      <c r="A149" s="599" t="s">
        <v>444</v>
      </c>
      <c r="B149" s="600">
        <f t="shared" ref="B149:L149" si="67">SUM(B147:B148)</f>
        <v>0</v>
      </c>
      <c r="C149" s="601">
        <f t="shared" si="67"/>
        <v>0</v>
      </c>
      <c r="D149" s="601">
        <f t="shared" si="67"/>
        <v>0</v>
      </c>
      <c r="E149" s="601">
        <f t="shared" si="67"/>
        <v>0</v>
      </c>
      <c r="F149" s="601">
        <f t="shared" si="67"/>
        <v>0</v>
      </c>
      <c r="G149" s="601">
        <f t="shared" si="67"/>
        <v>0</v>
      </c>
      <c r="H149" s="601">
        <f t="shared" si="67"/>
        <v>0</v>
      </c>
      <c r="I149" s="601">
        <f t="shared" si="67"/>
        <v>0</v>
      </c>
      <c r="J149" s="601">
        <f t="shared" si="67"/>
        <v>0</v>
      </c>
      <c r="K149" s="601">
        <f t="shared" si="67"/>
        <v>0</v>
      </c>
      <c r="L149" s="602">
        <f t="shared" si="67"/>
        <v>0</v>
      </c>
      <c r="M149" s="603"/>
      <c r="N149" s="604"/>
      <c r="O149" s="604"/>
      <c r="P149" s="605">
        <f>SUM(P147:P148)</f>
        <v>0</v>
      </c>
      <c r="Q149" s="606"/>
      <c r="R149" s="607"/>
      <c r="S149" s="607"/>
      <c r="T149" s="608">
        <f>SUM(T147:T148)</f>
        <v>0</v>
      </c>
      <c r="U149" s="609">
        <f>SUM(U147:U148)</f>
        <v>0</v>
      </c>
      <c r="V149" s="610"/>
      <c r="W149" s="611"/>
      <c r="X149" s="611"/>
      <c r="Y149" s="611"/>
      <c r="Z149" s="611"/>
      <c r="AA149" s="611"/>
      <c r="AB149" s="612">
        <f>SUM(AB147:AB148)</f>
        <v>0</v>
      </c>
      <c r="AC149" s="613">
        <f>SUM(AC147:AC148)</f>
        <v>0</v>
      </c>
      <c r="AD149" s="614">
        <f>SUM(AD147:AD148)</f>
        <v>0</v>
      </c>
      <c r="AE149" s="615">
        <f>SUM(AE147:AE148)</f>
        <v>0</v>
      </c>
      <c r="AF149" s="266">
        <f t="shared" si="49"/>
        <v>0</v>
      </c>
      <c r="AG149" s="206"/>
      <c r="AJ149" s="1053"/>
      <c r="AK149" s="468"/>
    </row>
    <row r="150" spans="1:37" ht="16.5" thickBot="1">
      <c r="A150" s="646" t="s">
        <v>445</v>
      </c>
      <c r="B150" s="647"/>
      <c r="C150" s="648"/>
      <c r="D150" s="648"/>
      <c r="E150" s="648"/>
      <c r="F150" s="648"/>
      <c r="G150" s="648"/>
      <c r="H150" s="648"/>
      <c r="I150" s="648"/>
      <c r="J150" s="648"/>
      <c r="K150" s="648"/>
      <c r="L150" s="253">
        <f>SUM(B150:K150)</f>
        <v>0</v>
      </c>
      <c r="M150" s="254"/>
      <c r="N150" s="255"/>
      <c r="O150" s="255"/>
      <c r="P150" s="649"/>
      <c r="Q150" s="257"/>
      <c r="R150" s="258"/>
      <c r="S150" s="258"/>
      <c r="T150" s="650"/>
      <c r="U150" s="260"/>
      <c r="V150" s="261"/>
      <c r="W150" s="262"/>
      <c r="X150" s="262"/>
      <c r="Y150" s="262"/>
      <c r="Z150" s="262"/>
      <c r="AA150" s="262"/>
      <c r="AB150" s="651"/>
      <c r="AC150" s="264"/>
      <c r="AD150" s="265"/>
      <c r="AE150" s="266"/>
      <c r="AF150" s="266">
        <f t="shared" si="49"/>
        <v>0</v>
      </c>
      <c r="AG150" s="206"/>
      <c r="AJ150" s="1053"/>
      <c r="AK150" s="468"/>
    </row>
    <row r="151" spans="1:37" ht="30.75" thickBot="1">
      <c r="A151" s="599" t="s">
        <v>446</v>
      </c>
      <c r="B151" s="600">
        <f t="shared" ref="B151:L151" si="68">B150</f>
        <v>0</v>
      </c>
      <c r="C151" s="601">
        <f t="shared" si="68"/>
        <v>0</v>
      </c>
      <c r="D151" s="601">
        <f t="shared" si="68"/>
        <v>0</v>
      </c>
      <c r="E151" s="601">
        <f t="shared" si="68"/>
        <v>0</v>
      </c>
      <c r="F151" s="601">
        <f t="shared" si="68"/>
        <v>0</v>
      </c>
      <c r="G151" s="601">
        <f t="shared" si="68"/>
        <v>0</v>
      </c>
      <c r="H151" s="601">
        <f t="shared" si="68"/>
        <v>0</v>
      </c>
      <c r="I151" s="601">
        <f t="shared" si="68"/>
        <v>0</v>
      </c>
      <c r="J151" s="601">
        <f t="shared" si="68"/>
        <v>0</v>
      </c>
      <c r="K151" s="601">
        <f t="shared" si="68"/>
        <v>0</v>
      </c>
      <c r="L151" s="602">
        <f t="shared" si="68"/>
        <v>0</v>
      </c>
      <c r="M151" s="603"/>
      <c r="N151" s="604"/>
      <c r="O151" s="604"/>
      <c r="P151" s="605">
        <f>P150</f>
        <v>0</v>
      </c>
      <c r="Q151" s="606"/>
      <c r="R151" s="607"/>
      <c r="S151" s="607"/>
      <c r="T151" s="608">
        <f>T150</f>
        <v>0</v>
      </c>
      <c r="U151" s="609">
        <f>U150</f>
        <v>0</v>
      </c>
      <c r="V151" s="610"/>
      <c r="W151" s="611"/>
      <c r="X151" s="611"/>
      <c r="Y151" s="611"/>
      <c r="Z151" s="611"/>
      <c r="AA151" s="611"/>
      <c r="AB151" s="612">
        <f>AB150</f>
        <v>0</v>
      </c>
      <c r="AC151" s="613">
        <f>AC150</f>
        <v>0</v>
      </c>
      <c r="AD151" s="614">
        <f>AD150</f>
        <v>0</v>
      </c>
      <c r="AE151" s="615">
        <f>AE150</f>
        <v>0</v>
      </c>
      <c r="AF151" s="266">
        <f t="shared" si="49"/>
        <v>0</v>
      </c>
      <c r="AG151" s="206"/>
      <c r="AJ151" s="1053"/>
      <c r="AK151" s="468"/>
    </row>
    <row r="152" spans="1:37" ht="16.5" thickBot="1">
      <c r="A152" s="350" t="s">
        <v>447</v>
      </c>
      <c r="B152" s="351">
        <f t="shared" ref="B152:L152" si="69">B146+B149+B151</f>
        <v>0</v>
      </c>
      <c r="C152" s="352">
        <f t="shared" si="69"/>
        <v>0</v>
      </c>
      <c r="D152" s="352">
        <f t="shared" si="69"/>
        <v>0</v>
      </c>
      <c r="E152" s="352">
        <f t="shared" si="69"/>
        <v>0</v>
      </c>
      <c r="F152" s="352">
        <f t="shared" si="69"/>
        <v>0</v>
      </c>
      <c r="G152" s="352">
        <f t="shared" si="69"/>
        <v>0</v>
      </c>
      <c r="H152" s="352">
        <f t="shared" si="69"/>
        <v>0</v>
      </c>
      <c r="I152" s="352">
        <f t="shared" si="69"/>
        <v>0</v>
      </c>
      <c r="J152" s="352">
        <f t="shared" si="69"/>
        <v>0</v>
      </c>
      <c r="K152" s="352">
        <f t="shared" si="69"/>
        <v>0</v>
      </c>
      <c r="L152" s="353">
        <f t="shared" si="69"/>
        <v>0</v>
      </c>
      <c r="M152" s="424"/>
      <c r="N152" s="354"/>
      <c r="O152" s="354"/>
      <c r="P152" s="256">
        <f>P146+P149+P151</f>
        <v>0</v>
      </c>
      <c r="Q152" s="390"/>
      <c r="R152" s="355"/>
      <c r="S152" s="355"/>
      <c r="T152" s="259">
        <f>T146+T149+T151</f>
        <v>0</v>
      </c>
      <c r="U152" s="356">
        <f>U146+U149+U151</f>
        <v>0</v>
      </c>
      <c r="V152" s="357"/>
      <c r="W152" s="358"/>
      <c r="X152" s="358"/>
      <c r="Y152" s="358"/>
      <c r="Z152" s="358"/>
      <c r="AA152" s="358"/>
      <c r="AB152" s="263">
        <f>AB146+AB149+AB151</f>
        <v>0</v>
      </c>
      <c r="AC152" s="359">
        <f>AC146+AC149+AC151</f>
        <v>0</v>
      </c>
      <c r="AD152" s="360">
        <f>AD146+AD149+AD151</f>
        <v>0</v>
      </c>
      <c r="AE152" s="362">
        <f>AE146+AE149+AE151</f>
        <v>0</v>
      </c>
      <c r="AF152" s="266">
        <f t="shared" si="49"/>
        <v>0</v>
      </c>
      <c r="AG152" s="206"/>
      <c r="AJ152" s="1053"/>
      <c r="AK152" s="468"/>
    </row>
    <row r="153" spans="1:37" ht="16.5" thickBot="1">
      <c r="A153" s="599" t="s">
        <v>448</v>
      </c>
      <c r="B153" s="600"/>
      <c r="C153" s="601"/>
      <c r="D153" s="601"/>
      <c r="E153" s="601"/>
      <c r="F153" s="601"/>
      <c r="G153" s="601"/>
      <c r="H153" s="601"/>
      <c r="I153" s="601"/>
      <c r="J153" s="601"/>
      <c r="K153" s="601"/>
      <c r="L153" s="253">
        <f>SUM(B153:K153)</f>
        <v>0</v>
      </c>
      <c r="M153" s="254"/>
      <c r="N153" s="255"/>
      <c r="O153" s="255"/>
      <c r="P153" s="605"/>
      <c r="Q153" s="257"/>
      <c r="R153" s="258"/>
      <c r="S153" s="258"/>
      <c r="T153" s="608"/>
      <c r="U153" s="616"/>
      <c r="V153" s="261"/>
      <c r="W153" s="262"/>
      <c r="X153" s="262"/>
      <c r="Y153" s="262"/>
      <c r="Z153" s="262"/>
      <c r="AA153" s="262"/>
      <c r="AB153" s="612"/>
      <c r="AC153" s="617"/>
      <c r="AD153" s="618"/>
      <c r="AE153" s="619"/>
      <c r="AF153" s="266">
        <f t="shared" si="49"/>
        <v>0</v>
      </c>
      <c r="AG153" s="206"/>
      <c r="AJ153" s="1053"/>
      <c r="AK153" s="468"/>
    </row>
    <row r="154" spans="1:37" ht="16.5" thickBot="1">
      <c r="A154" s="599" t="s">
        <v>449</v>
      </c>
      <c r="B154" s="600"/>
      <c r="C154" s="601"/>
      <c r="D154" s="601"/>
      <c r="E154" s="601"/>
      <c r="F154" s="601"/>
      <c r="G154" s="601"/>
      <c r="H154" s="601"/>
      <c r="I154" s="601"/>
      <c r="J154" s="601"/>
      <c r="K154" s="601"/>
      <c r="L154" s="253">
        <f>SUM(B154:K154)</f>
        <v>0</v>
      </c>
      <c r="M154" s="254"/>
      <c r="N154" s="255"/>
      <c r="O154" s="255"/>
      <c r="P154" s="605"/>
      <c r="Q154" s="257"/>
      <c r="R154" s="258"/>
      <c r="S154" s="258"/>
      <c r="T154" s="608"/>
      <c r="U154" s="616"/>
      <c r="V154" s="261"/>
      <c r="W154" s="262"/>
      <c r="X154" s="262"/>
      <c r="Y154" s="262"/>
      <c r="Z154" s="262"/>
      <c r="AA154" s="262"/>
      <c r="AB154" s="612"/>
      <c r="AC154" s="617"/>
      <c r="AD154" s="618"/>
      <c r="AE154" s="619"/>
      <c r="AF154" s="266">
        <f t="shared" si="49"/>
        <v>0</v>
      </c>
      <c r="AG154" s="206"/>
      <c r="AJ154" s="1053"/>
      <c r="AK154" s="468"/>
    </row>
    <row r="155" spans="1:37" ht="16.5" thickBot="1">
      <c r="A155" s="599" t="s">
        <v>450</v>
      </c>
      <c r="B155" s="600"/>
      <c r="C155" s="601"/>
      <c r="D155" s="601"/>
      <c r="E155" s="601"/>
      <c r="F155" s="601"/>
      <c r="G155" s="601"/>
      <c r="H155" s="601"/>
      <c r="I155" s="601"/>
      <c r="J155" s="601"/>
      <c r="K155" s="601"/>
      <c r="L155" s="253">
        <f>SUM(B155:K155)</f>
        <v>0</v>
      </c>
      <c r="M155" s="254"/>
      <c r="N155" s="255"/>
      <c r="O155" s="255"/>
      <c r="P155" s="605"/>
      <c r="Q155" s="257"/>
      <c r="R155" s="258"/>
      <c r="S155" s="258"/>
      <c r="T155" s="608"/>
      <c r="U155" s="616"/>
      <c r="V155" s="261"/>
      <c r="W155" s="262"/>
      <c r="X155" s="262"/>
      <c r="Y155" s="262"/>
      <c r="Z155" s="262"/>
      <c r="AA155" s="262"/>
      <c r="AB155" s="612"/>
      <c r="AC155" s="617"/>
      <c r="AD155" s="618"/>
      <c r="AE155" s="619"/>
      <c r="AF155" s="266">
        <f t="shared" si="49"/>
        <v>0</v>
      </c>
      <c r="AG155" s="206"/>
      <c r="AJ155" s="1053"/>
      <c r="AK155" s="468"/>
    </row>
    <row r="156" spans="1:37" ht="30.75" thickBot="1">
      <c r="A156" s="599" t="s">
        <v>451</v>
      </c>
      <c r="B156" s="600"/>
      <c r="C156" s="601"/>
      <c r="D156" s="601"/>
      <c r="E156" s="601"/>
      <c r="F156" s="601"/>
      <c r="G156" s="601"/>
      <c r="H156" s="601"/>
      <c r="I156" s="601"/>
      <c r="J156" s="601"/>
      <c r="K156" s="601"/>
      <c r="L156" s="253">
        <f>SUM(B156:K156)</f>
        <v>0</v>
      </c>
      <c r="M156" s="254"/>
      <c r="N156" s="255"/>
      <c r="O156" s="255"/>
      <c r="P156" s="605"/>
      <c r="Q156" s="257"/>
      <c r="R156" s="258"/>
      <c r="S156" s="258"/>
      <c r="T156" s="608"/>
      <c r="U156" s="616"/>
      <c r="V156" s="261"/>
      <c r="W156" s="262"/>
      <c r="X156" s="262"/>
      <c r="Y156" s="262"/>
      <c r="Z156" s="262"/>
      <c r="AA156" s="262"/>
      <c r="AB156" s="612"/>
      <c r="AC156" s="617"/>
      <c r="AD156" s="618"/>
      <c r="AE156" s="619"/>
      <c r="AF156" s="266">
        <f t="shared" si="49"/>
        <v>0</v>
      </c>
      <c r="AG156" s="206"/>
      <c r="AJ156" s="1053"/>
      <c r="AK156" s="468"/>
    </row>
    <row r="157" spans="1:37" ht="16.5" thickBot="1">
      <c r="A157" s="599" t="s">
        <v>452</v>
      </c>
      <c r="B157" s="600"/>
      <c r="C157" s="601"/>
      <c r="D157" s="601"/>
      <c r="E157" s="601"/>
      <c r="F157" s="601"/>
      <c r="G157" s="601"/>
      <c r="H157" s="601"/>
      <c r="I157" s="601"/>
      <c r="J157" s="601"/>
      <c r="K157" s="601"/>
      <c r="L157" s="253">
        <f>SUM(B157:K157)</f>
        <v>0</v>
      </c>
      <c r="M157" s="254"/>
      <c r="N157" s="255"/>
      <c r="O157" s="255"/>
      <c r="P157" s="605"/>
      <c r="Q157" s="257"/>
      <c r="R157" s="258"/>
      <c r="S157" s="258"/>
      <c r="T157" s="608"/>
      <c r="U157" s="616"/>
      <c r="V157" s="261"/>
      <c r="W157" s="262"/>
      <c r="X157" s="262"/>
      <c r="Y157" s="262"/>
      <c r="Z157" s="262"/>
      <c r="AA157" s="262"/>
      <c r="AB157" s="612"/>
      <c r="AC157" s="617"/>
      <c r="AD157" s="618"/>
      <c r="AE157" s="619"/>
      <c r="AF157" s="266">
        <f t="shared" si="49"/>
        <v>0</v>
      </c>
      <c r="AG157" s="206"/>
      <c r="AJ157" s="1053"/>
      <c r="AK157" s="468"/>
    </row>
    <row r="158" spans="1:37" ht="16.5" thickBot="1">
      <c r="A158" s="350" t="s">
        <v>453</v>
      </c>
      <c r="B158" s="351">
        <f t="shared" ref="B158:L158" si="70">SUM(B153:B157)</f>
        <v>0</v>
      </c>
      <c r="C158" s="352">
        <f t="shared" si="70"/>
        <v>0</v>
      </c>
      <c r="D158" s="352">
        <f t="shared" si="70"/>
        <v>0</v>
      </c>
      <c r="E158" s="352">
        <f t="shared" si="70"/>
        <v>0</v>
      </c>
      <c r="F158" s="352">
        <f t="shared" si="70"/>
        <v>0</v>
      </c>
      <c r="G158" s="352">
        <f t="shared" si="70"/>
        <v>0</v>
      </c>
      <c r="H158" s="352">
        <f t="shared" si="70"/>
        <v>0</v>
      </c>
      <c r="I158" s="352">
        <f t="shared" si="70"/>
        <v>0</v>
      </c>
      <c r="J158" s="352">
        <f t="shared" si="70"/>
        <v>0</v>
      </c>
      <c r="K158" s="352">
        <f t="shared" si="70"/>
        <v>0</v>
      </c>
      <c r="L158" s="353">
        <f t="shared" si="70"/>
        <v>0</v>
      </c>
      <c r="M158" s="424"/>
      <c r="N158" s="354"/>
      <c r="O158" s="354"/>
      <c r="P158" s="256">
        <f>SUM(P153:P157)</f>
        <v>0</v>
      </c>
      <c r="Q158" s="390"/>
      <c r="R158" s="355"/>
      <c r="S158" s="355"/>
      <c r="T158" s="259">
        <f>SUM(T153:T157)</f>
        <v>0</v>
      </c>
      <c r="U158" s="356">
        <f>SUM(U153:U157)</f>
        <v>0</v>
      </c>
      <c r="V158" s="357"/>
      <c r="W158" s="358"/>
      <c r="X158" s="358"/>
      <c r="Y158" s="358"/>
      <c r="Z158" s="358"/>
      <c r="AA158" s="358"/>
      <c r="AB158" s="263">
        <f>SUM(AB153:AB157)</f>
        <v>0</v>
      </c>
      <c r="AC158" s="359">
        <f>SUM(AC153:AC157)</f>
        <v>0</v>
      </c>
      <c r="AD158" s="360">
        <f>SUM(AD153:AD157)</f>
        <v>0</v>
      </c>
      <c r="AE158" s="362">
        <f>SUM(AE153:AE157)</f>
        <v>0</v>
      </c>
      <c r="AF158" s="266">
        <f t="shared" si="49"/>
        <v>0</v>
      </c>
      <c r="AG158" s="206"/>
      <c r="AJ158" s="1053"/>
      <c r="AK158" s="468"/>
    </row>
    <row r="159" spans="1:37" ht="16.5" thickBot="1">
      <c r="A159" s="451" t="s">
        <v>454</v>
      </c>
      <c r="B159" s="452">
        <f t="shared" ref="B159:L159" si="71">B143+B152+B158</f>
        <v>0</v>
      </c>
      <c r="C159" s="453">
        <f t="shared" si="71"/>
        <v>0</v>
      </c>
      <c r="D159" s="453">
        <f t="shared" si="71"/>
        <v>0</v>
      </c>
      <c r="E159" s="453">
        <f t="shared" si="71"/>
        <v>0</v>
      </c>
      <c r="F159" s="453">
        <f t="shared" si="71"/>
        <v>0</v>
      </c>
      <c r="G159" s="453">
        <f t="shared" si="71"/>
        <v>0</v>
      </c>
      <c r="H159" s="453">
        <f t="shared" si="71"/>
        <v>0</v>
      </c>
      <c r="I159" s="453">
        <f t="shared" si="71"/>
        <v>0</v>
      </c>
      <c r="J159" s="453">
        <f t="shared" si="71"/>
        <v>0</v>
      </c>
      <c r="K159" s="453">
        <f t="shared" si="71"/>
        <v>0</v>
      </c>
      <c r="L159" s="454">
        <f t="shared" si="71"/>
        <v>0</v>
      </c>
      <c r="M159" s="455"/>
      <c r="N159" s="456"/>
      <c r="O159" s="456"/>
      <c r="P159" s="457">
        <f>P143+P152+P158</f>
        <v>0</v>
      </c>
      <c r="Q159" s="458"/>
      <c r="R159" s="459"/>
      <c r="S159" s="459"/>
      <c r="T159" s="460">
        <f>T143+T152+T158</f>
        <v>0</v>
      </c>
      <c r="U159" s="461">
        <f>U143+U152+U158</f>
        <v>0</v>
      </c>
      <c r="V159" s="462"/>
      <c r="W159" s="463"/>
      <c r="X159" s="463"/>
      <c r="Y159" s="463"/>
      <c r="Z159" s="463"/>
      <c r="AA159" s="463"/>
      <c r="AB159" s="464">
        <f>AB143+AB152+AB158</f>
        <v>0</v>
      </c>
      <c r="AC159" s="465">
        <f>AC143+AC152+AC158</f>
        <v>0</v>
      </c>
      <c r="AD159" s="466">
        <f>AD143+AD152+AD158</f>
        <v>0</v>
      </c>
      <c r="AE159" s="467">
        <f>AE143+AE152+AE158</f>
        <v>0</v>
      </c>
      <c r="AF159" s="315">
        <f t="shared" si="49"/>
        <v>0</v>
      </c>
      <c r="AG159" s="206"/>
      <c r="AJ159" s="1053"/>
      <c r="AK159" s="468"/>
    </row>
    <row r="160" spans="1:37">
      <c r="A160" s="652" t="s">
        <v>455</v>
      </c>
      <c r="B160" s="653"/>
      <c r="C160" s="654"/>
      <c r="D160" s="654"/>
      <c r="E160" s="654"/>
      <c r="F160" s="654"/>
      <c r="G160" s="654"/>
      <c r="H160" s="654"/>
      <c r="I160" s="654"/>
      <c r="J160" s="654"/>
      <c r="K160" s="654"/>
      <c r="L160" s="655">
        <f>SUM(B160,K160)</f>
        <v>0</v>
      </c>
      <c r="M160" s="656"/>
      <c r="N160" s="657"/>
      <c r="O160" s="657"/>
      <c r="P160" s="658"/>
      <c r="Q160" s="659"/>
      <c r="R160" s="660"/>
      <c r="S160" s="660"/>
      <c r="T160" s="661"/>
      <c r="U160" s="662"/>
      <c r="V160" s="663"/>
      <c r="W160" s="664"/>
      <c r="X160" s="664"/>
      <c r="Y160" s="664"/>
      <c r="Z160" s="664"/>
      <c r="AA160" s="664">
        <v>6856700</v>
      </c>
      <c r="AB160" s="665">
        <f>AA160</f>
        <v>6856700</v>
      </c>
      <c r="AC160" s="666"/>
      <c r="AD160" s="667"/>
      <c r="AE160" s="668"/>
      <c r="AF160" s="204">
        <f>L160+P160+U160+AC160+AD160+AE160+AB160</f>
        <v>6856700</v>
      </c>
      <c r="AG160" s="206"/>
      <c r="AJ160" s="1053"/>
      <c r="AK160" s="468"/>
    </row>
    <row r="161" spans="1:37" ht="30">
      <c r="A161" s="669" t="s">
        <v>456</v>
      </c>
      <c r="B161" s="670"/>
      <c r="C161" s="671"/>
      <c r="D161" s="671"/>
      <c r="E161" s="671"/>
      <c r="F161" s="671"/>
      <c r="G161" s="671"/>
      <c r="H161" s="671"/>
      <c r="I161" s="671"/>
      <c r="J161" s="671"/>
      <c r="K161" s="671">
        <v>100000</v>
      </c>
      <c r="L161" s="672">
        <f>SUM(B161:K161)</f>
        <v>100000</v>
      </c>
      <c r="M161" s="673"/>
      <c r="N161" s="674"/>
      <c r="O161" s="674"/>
      <c r="P161" s="675"/>
      <c r="Q161" s="676"/>
      <c r="R161" s="677"/>
      <c r="S161" s="677"/>
      <c r="T161" s="678"/>
      <c r="U161" s="679"/>
      <c r="V161" s="680"/>
      <c r="W161" s="681"/>
      <c r="X161" s="681"/>
      <c r="Y161" s="681"/>
      <c r="Z161" s="681"/>
      <c r="AA161" s="681"/>
      <c r="AB161" s="682"/>
      <c r="AC161" s="683"/>
      <c r="AD161" s="684"/>
      <c r="AE161" s="685"/>
      <c r="AF161" s="220">
        <f t="shared" ref="AF161:AF169" si="72">L161+P161+U161+AC161+AD161+AE161</f>
        <v>100000</v>
      </c>
      <c r="AG161" s="206"/>
      <c r="AJ161" s="1053"/>
      <c r="AK161" s="468"/>
    </row>
    <row r="162" spans="1:37" ht="45">
      <c r="A162" s="320" t="s">
        <v>457</v>
      </c>
      <c r="B162" s="321"/>
      <c r="C162" s="322"/>
      <c r="D162" s="322"/>
      <c r="E162" s="322"/>
      <c r="F162" s="322"/>
      <c r="G162" s="322"/>
      <c r="H162" s="322"/>
      <c r="I162" s="322"/>
      <c r="J162" s="322"/>
      <c r="K162" s="322"/>
      <c r="L162" s="672">
        <f>SUM(B162:K162)</f>
        <v>0</v>
      </c>
      <c r="M162" s="673"/>
      <c r="N162" s="674"/>
      <c r="O162" s="674"/>
      <c r="P162" s="393"/>
      <c r="Q162" s="676"/>
      <c r="R162" s="677"/>
      <c r="S162" s="677"/>
      <c r="T162" s="394"/>
      <c r="U162" s="522"/>
      <c r="V162" s="680"/>
      <c r="W162" s="681"/>
      <c r="X162" s="681"/>
      <c r="Y162" s="681"/>
      <c r="Z162" s="681"/>
      <c r="AA162" s="681"/>
      <c r="AB162" s="396"/>
      <c r="AC162" s="525"/>
      <c r="AD162" s="526"/>
      <c r="AE162" s="401"/>
      <c r="AF162" s="220">
        <f t="shared" si="72"/>
        <v>0</v>
      </c>
      <c r="AG162" s="206"/>
      <c r="AJ162" s="1053"/>
      <c r="AK162" s="468"/>
    </row>
    <row r="163" spans="1:37">
      <c r="A163" s="500" t="s">
        <v>458</v>
      </c>
      <c r="B163" s="501">
        <f t="shared" ref="B163:K163" si="73">B162</f>
        <v>0</v>
      </c>
      <c r="C163" s="502">
        <f t="shared" si="73"/>
        <v>0</v>
      </c>
      <c r="D163" s="502">
        <f t="shared" si="73"/>
        <v>0</v>
      </c>
      <c r="E163" s="502">
        <f t="shared" si="73"/>
        <v>0</v>
      </c>
      <c r="F163" s="502">
        <f t="shared" si="73"/>
        <v>0</v>
      </c>
      <c r="G163" s="502">
        <f t="shared" si="73"/>
        <v>0</v>
      </c>
      <c r="H163" s="502">
        <f t="shared" si="73"/>
        <v>0</v>
      </c>
      <c r="I163" s="502">
        <f t="shared" si="73"/>
        <v>0</v>
      </c>
      <c r="J163" s="502">
        <f t="shared" si="73"/>
        <v>0</v>
      </c>
      <c r="K163" s="502">
        <f t="shared" si="73"/>
        <v>0</v>
      </c>
      <c r="L163" s="672">
        <f>SUM(B163:K163)</f>
        <v>0</v>
      </c>
      <c r="M163" s="673"/>
      <c r="N163" s="674"/>
      <c r="O163" s="674"/>
      <c r="P163" s="506">
        <f>P162</f>
        <v>0</v>
      </c>
      <c r="Q163" s="676"/>
      <c r="R163" s="677"/>
      <c r="S163" s="677"/>
      <c r="T163" s="509">
        <f>T162</f>
        <v>0</v>
      </c>
      <c r="U163" s="510">
        <f>U162</f>
        <v>0</v>
      </c>
      <c r="V163" s="680"/>
      <c r="W163" s="681"/>
      <c r="X163" s="681"/>
      <c r="Y163" s="681"/>
      <c r="Z163" s="681"/>
      <c r="AA163" s="681"/>
      <c r="AB163" s="513">
        <f>AB162</f>
        <v>0</v>
      </c>
      <c r="AC163" s="514">
        <f>AC162</f>
        <v>0</v>
      </c>
      <c r="AD163" s="515">
        <f>AD162</f>
        <v>0</v>
      </c>
      <c r="AE163" s="516">
        <f>AE162</f>
        <v>0</v>
      </c>
      <c r="AF163" s="220">
        <f t="shared" si="72"/>
        <v>0</v>
      </c>
      <c r="AG163" s="206"/>
      <c r="AJ163" s="1053"/>
      <c r="AK163" s="468"/>
    </row>
    <row r="164" spans="1:37">
      <c r="A164" s="500" t="s">
        <v>459</v>
      </c>
      <c r="B164" s="501"/>
      <c r="C164" s="502"/>
      <c r="D164" s="502"/>
      <c r="E164" s="502"/>
      <c r="F164" s="502"/>
      <c r="G164" s="502"/>
      <c r="H164" s="502"/>
      <c r="I164" s="502"/>
      <c r="J164" s="502"/>
      <c r="K164" s="502"/>
      <c r="L164" s="672">
        <f>SUM(B164:K164)</f>
        <v>0</v>
      </c>
      <c r="M164" s="673"/>
      <c r="N164" s="674"/>
      <c r="O164" s="674"/>
      <c r="P164" s="506"/>
      <c r="Q164" s="676"/>
      <c r="R164" s="677"/>
      <c r="S164" s="677"/>
      <c r="T164" s="509"/>
      <c r="U164" s="563"/>
      <c r="V164" s="680"/>
      <c r="W164" s="681"/>
      <c r="X164" s="681"/>
      <c r="Y164" s="681"/>
      <c r="Z164" s="681"/>
      <c r="AA164" s="681">
        <v>6700000</v>
      </c>
      <c r="AB164" s="513">
        <f>SUM(V164:AA164)</f>
        <v>6700000</v>
      </c>
      <c r="AC164" s="564"/>
      <c r="AD164" s="565"/>
      <c r="AE164" s="318"/>
      <c r="AF164" s="220">
        <f>L164+P164+U164+AC164+AD164+AE164+T164+AB164</f>
        <v>6700000</v>
      </c>
      <c r="AG164" s="206"/>
      <c r="AJ164" s="1053"/>
      <c r="AK164" s="468"/>
    </row>
    <row r="165" spans="1:37">
      <c r="A165" s="500" t="s">
        <v>460</v>
      </c>
      <c r="B165" s="501"/>
      <c r="C165" s="502"/>
      <c r="D165" s="502"/>
      <c r="E165" s="502"/>
      <c r="F165" s="502"/>
      <c r="G165" s="502"/>
      <c r="H165" s="502"/>
      <c r="I165" s="502"/>
      <c r="J165" s="502"/>
      <c r="K165" s="502">
        <v>27000</v>
      </c>
      <c r="L165" s="672">
        <f>SUM(B165:K165)</f>
        <v>27000</v>
      </c>
      <c r="M165" s="673"/>
      <c r="N165" s="674"/>
      <c r="O165" s="674"/>
      <c r="P165" s="506"/>
      <c r="Q165" s="676"/>
      <c r="R165" s="677"/>
      <c r="S165" s="677"/>
      <c r="T165" s="509"/>
      <c r="U165" s="563"/>
      <c r="V165" s="680"/>
      <c r="W165" s="681"/>
      <c r="X165" s="681"/>
      <c r="Y165" s="681"/>
      <c r="Z165" s="681"/>
      <c r="AA165" s="681">
        <v>3660300</v>
      </c>
      <c r="AB165" s="513">
        <f>SUM(V165:AA165)</f>
        <v>3660300</v>
      </c>
      <c r="AC165" s="564"/>
      <c r="AD165" s="565"/>
      <c r="AE165" s="318"/>
      <c r="AF165" s="220">
        <f>L165+P165+U165+AC165+AD165+AE165+T165+AB165</f>
        <v>3687300</v>
      </c>
      <c r="AG165" s="206"/>
      <c r="AJ165" s="1053"/>
      <c r="AK165" s="468"/>
    </row>
    <row r="166" spans="1:37">
      <c r="A166" s="500" t="s">
        <v>461</v>
      </c>
      <c r="B166" s="501"/>
      <c r="C166" s="502"/>
      <c r="D166" s="502"/>
      <c r="E166" s="502"/>
      <c r="F166" s="502"/>
      <c r="G166" s="502"/>
      <c r="H166" s="502"/>
      <c r="I166" s="502"/>
      <c r="J166" s="502"/>
      <c r="K166" s="502"/>
      <c r="L166" s="672">
        <f>SUM(B166,K166)</f>
        <v>0</v>
      </c>
      <c r="M166" s="673"/>
      <c r="N166" s="674"/>
      <c r="O166" s="674"/>
      <c r="P166" s="506"/>
      <c r="Q166" s="676"/>
      <c r="R166" s="677"/>
      <c r="S166" s="677"/>
      <c r="T166" s="509"/>
      <c r="U166" s="563"/>
      <c r="V166" s="680"/>
      <c r="W166" s="681"/>
      <c r="X166" s="681"/>
      <c r="Y166" s="681"/>
      <c r="Z166" s="681"/>
      <c r="AA166" s="681"/>
      <c r="AB166" s="513"/>
      <c r="AC166" s="564"/>
      <c r="AD166" s="565"/>
      <c r="AE166" s="318"/>
      <c r="AF166" s="220">
        <f>L166+P166+U166+AC166+AD166+AE166+T166+AB166</f>
        <v>0</v>
      </c>
      <c r="AG166" s="206"/>
      <c r="AJ166" s="1053"/>
      <c r="AK166" s="468"/>
    </row>
    <row r="167" spans="1:37">
      <c r="A167" s="500" t="s">
        <v>462</v>
      </c>
      <c r="B167" s="501"/>
      <c r="C167" s="502"/>
      <c r="D167" s="502"/>
      <c r="E167" s="502"/>
      <c r="F167" s="502"/>
      <c r="G167" s="502"/>
      <c r="H167" s="502"/>
      <c r="I167" s="502"/>
      <c r="J167" s="502"/>
      <c r="K167" s="502"/>
      <c r="L167" s="517">
        <f>SUM(B167:K167)</f>
        <v>0</v>
      </c>
      <c r="M167" s="518"/>
      <c r="N167" s="519"/>
      <c r="O167" s="519"/>
      <c r="P167" s="506"/>
      <c r="Q167" s="520"/>
      <c r="R167" s="521"/>
      <c r="S167" s="521"/>
      <c r="T167" s="509"/>
      <c r="U167" s="563"/>
      <c r="V167" s="523"/>
      <c r="W167" s="524"/>
      <c r="X167" s="524"/>
      <c r="Y167" s="524"/>
      <c r="Z167" s="524"/>
      <c r="AA167" s="524"/>
      <c r="AB167" s="513"/>
      <c r="AC167" s="564"/>
      <c r="AD167" s="565"/>
      <c r="AE167" s="318"/>
      <c r="AF167" s="220">
        <f>L167+P167+U167+AC167+AD167+AE167+T167+AB167</f>
        <v>0</v>
      </c>
      <c r="AG167" s="206"/>
      <c r="AJ167" s="1053"/>
      <c r="AK167" s="468"/>
    </row>
    <row r="168" spans="1:37">
      <c r="A168" s="320" t="s">
        <v>463</v>
      </c>
      <c r="B168" s="321"/>
      <c r="C168" s="322"/>
      <c r="D168" s="322"/>
      <c r="E168" s="322"/>
      <c r="F168" s="322"/>
      <c r="G168" s="322"/>
      <c r="H168" s="322"/>
      <c r="I168" s="322"/>
      <c r="J168" s="322"/>
      <c r="K168" s="322">
        <v>10000</v>
      </c>
      <c r="L168" s="517">
        <f>SUM(B168:K168)</f>
        <v>10000</v>
      </c>
      <c r="M168" s="518"/>
      <c r="N168" s="519"/>
      <c r="O168" s="519"/>
      <c r="P168" s="393"/>
      <c r="Q168" s="520"/>
      <c r="R168" s="521"/>
      <c r="S168" s="521"/>
      <c r="T168" s="394"/>
      <c r="U168" s="522"/>
      <c r="V168" s="523"/>
      <c r="W168" s="524"/>
      <c r="X168" s="524"/>
      <c r="Y168" s="524"/>
      <c r="Z168" s="524"/>
      <c r="AA168" s="524"/>
      <c r="AB168" s="396"/>
      <c r="AC168" s="525"/>
      <c r="AD168" s="526"/>
      <c r="AE168" s="401"/>
      <c r="AF168" s="220">
        <f>L168+P168+U168+AC168+AD168+AE168+T168+AB168</f>
        <v>10000</v>
      </c>
      <c r="AG168" s="206"/>
      <c r="AJ168" s="1053"/>
      <c r="AK168" s="468"/>
    </row>
    <row r="169" spans="1:37" ht="16.5" thickBot="1">
      <c r="A169" s="566" t="s">
        <v>463</v>
      </c>
      <c r="B169" s="567">
        <f t="shared" ref="B169:L169" si="74">B168</f>
        <v>0</v>
      </c>
      <c r="C169" s="568">
        <f t="shared" si="74"/>
        <v>0</v>
      </c>
      <c r="D169" s="568">
        <f t="shared" si="74"/>
        <v>0</v>
      </c>
      <c r="E169" s="568">
        <f t="shared" si="74"/>
        <v>0</v>
      </c>
      <c r="F169" s="568">
        <f t="shared" si="74"/>
        <v>0</v>
      </c>
      <c r="G169" s="568">
        <f t="shared" si="74"/>
        <v>0</v>
      </c>
      <c r="H169" s="568">
        <f t="shared" si="74"/>
        <v>0</v>
      </c>
      <c r="I169" s="568">
        <f t="shared" si="74"/>
        <v>0</v>
      </c>
      <c r="J169" s="568">
        <f t="shared" si="74"/>
        <v>0</v>
      </c>
      <c r="K169" s="568">
        <f t="shared" si="74"/>
        <v>10000</v>
      </c>
      <c r="L169" s="686">
        <f t="shared" si="74"/>
        <v>10000</v>
      </c>
      <c r="M169" s="687"/>
      <c r="N169" s="688"/>
      <c r="O169" s="688"/>
      <c r="P169" s="572">
        <f>P168</f>
        <v>0</v>
      </c>
      <c r="Q169" s="689"/>
      <c r="R169" s="690"/>
      <c r="S169" s="690"/>
      <c r="T169" s="575">
        <f>T168</f>
        <v>0</v>
      </c>
      <c r="U169" s="691">
        <f>U168</f>
        <v>0</v>
      </c>
      <c r="V169" s="692"/>
      <c r="W169" s="693"/>
      <c r="X169" s="693"/>
      <c r="Y169" s="693"/>
      <c r="Z169" s="693"/>
      <c r="AA169" s="693"/>
      <c r="AB169" s="579">
        <f>AB168</f>
        <v>0</v>
      </c>
      <c r="AC169" s="694">
        <f>AC168</f>
        <v>0</v>
      </c>
      <c r="AD169" s="695">
        <f>AD168</f>
        <v>0</v>
      </c>
      <c r="AE169" s="696">
        <f>AE168</f>
        <v>0</v>
      </c>
      <c r="AF169" s="248">
        <f t="shared" si="72"/>
        <v>10000</v>
      </c>
      <c r="AG169" s="206"/>
      <c r="AJ169" s="1053"/>
      <c r="AK169" s="468"/>
    </row>
    <row r="170" spans="1:37" ht="16.5" thickBot="1">
      <c r="A170" s="451" t="s">
        <v>464</v>
      </c>
      <c r="B170" s="452">
        <f>B163+B164+B165+B166+B167+B169+B161+B160</f>
        <v>0</v>
      </c>
      <c r="C170" s="453">
        <f>C163+C164+C165+C166+C167+C169+C161+C160</f>
        <v>0</v>
      </c>
      <c r="D170" s="453">
        <f t="shared" ref="D170:K170" si="75">D163+D164+D165+D166+D167+D169+D161+D160</f>
        <v>0</v>
      </c>
      <c r="E170" s="453">
        <f t="shared" si="75"/>
        <v>0</v>
      </c>
      <c r="F170" s="453">
        <f t="shared" si="75"/>
        <v>0</v>
      </c>
      <c r="G170" s="453">
        <f t="shared" si="75"/>
        <v>0</v>
      </c>
      <c r="H170" s="453">
        <f t="shared" si="75"/>
        <v>0</v>
      </c>
      <c r="I170" s="453">
        <f t="shared" si="75"/>
        <v>0</v>
      </c>
      <c r="J170" s="453">
        <f t="shared" si="75"/>
        <v>0</v>
      </c>
      <c r="K170" s="453">
        <f t="shared" si="75"/>
        <v>137000</v>
      </c>
      <c r="L170" s="454">
        <f>L163+L164+L165+L166+L167+L169+L160+L161</f>
        <v>137000</v>
      </c>
      <c r="M170" s="455"/>
      <c r="N170" s="456"/>
      <c r="O170" s="456"/>
      <c r="P170" s="457">
        <f>P163+P164+P165+P166+P167+P169+P160+P161</f>
        <v>0</v>
      </c>
      <c r="Q170" s="458"/>
      <c r="R170" s="459"/>
      <c r="S170" s="459"/>
      <c r="T170" s="460">
        <f>T163+T164+T165+T166+T167+T169+T160+T161</f>
        <v>0</v>
      </c>
      <c r="U170" s="461">
        <f>U163+U164+U165+U166+U167+U169+U160+U161</f>
        <v>0</v>
      </c>
      <c r="V170" s="462"/>
      <c r="W170" s="463"/>
      <c r="X170" s="463"/>
      <c r="Y170" s="463"/>
      <c r="Z170" s="463"/>
      <c r="AA170" s="464">
        <f t="shared" ref="AA170:AF170" si="76">AA163+AA164+AA165+AA166+AA167+AA169+AA160+AA161</f>
        <v>17217000</v>
      </c>
      <c r="AB170" s="464">
        <f t="shared" si="76"/>
        <v>17217000</v>
      </c>
      <c r="AC170" s="465">
        <f t="shared" si="76"/>
        <v>0</v>
      </c>
      <c r="AD170" s="466">
        <f t="shared" si="76"/>
        <v>0</v>
      </c>
      <c r="AE170" s="467">
        <f t="shared" si="76"/>
        <v>0</v>
      </c>
      <c r="AF170" s="467">
        <f t="shared" si="76"/>
        <v>17354000</v>
      </c>
      <c r="AG170" s="206"/>
      <c r="AJ170" s="1053"/>
      <c r="AK170" s="468"/>
    </row>
    <row r="171" spans="1:37">
      <c r="A171" s="583" t="s">
        <v>465</v>
      </c>
      <c r="B171" s="584"/>
      <c r="C171" s="585"/>
      <c r="D171" s="585"/>
      <c r="E171" s="585"/>
      <c r="F171" s="585"/>
      <c r="G171" s="585"/>
      <c r="H171" s="585"/>
      <c r="I171" s="585"/>
      <c r="J171" s="585"/>
      <c r="K171" s="585"/>
      <c r="L171" s="487">
        <f>SUM(B171:K171)</f>
        <v>0</v>
      </c>
      <c r="M171" s="488"/>
      <c r="N171" s="489"/>
      <c r="O171" s="489"/>
      <c r="P171" s="586"/>
      <c r="Q171" s="491"/>
      <c r="R171" s="492"/>
      <c r="S171" s="492"/>
      <c r="T171" s="587"/>
      <c r="U171" s="588"/>
      <c r="V171" s="495"/>
      <c r="W171" s="496"/>
      <c r="X171" s="496"/>
      <c r="Y171" s="496"/>
      <c r="Z171" s="496"/>
      <c r="AA171" s="496"/>
      <c r="AB171" s="589"/>
      <c r="AC171" s="590"/>
      <c r="AD171" s="591"/>
      <c r="AE171" s="369"/>
      <c r="AF171" s="204">
        <f t="shared" ref="AF171:AF185" si="77">L171+P171+U171+AC171+AD171+AE171</f>
        <v>0</v>
      </c>
      <c r="AG171" s="206"/>
      <c r="AJ171" s="1053"/>
      <c r="AK171" s="468"/>
    </row>
    <row r="172" spans="1:37" ht="16.5" thickBot="1">
      <c r="A172" s="566" t="s">
        <v>466</v>
      </c>
      <c r="B172" s="567"/>
      <c r="C172" s="568"/>
      <c r="D172" s="568"/>
      <c r="E172" s="568"/>
      <c r="F172" s="568"/>
      <c r="G172" s="568"/>
      <c r="H172" s="568"/>
      <c r="I172" s="568"/>
      <c r="J172" s="568"/>
      <c r="K172" s="568"/>
      <c r="L172" s="569">
        <f>SUM(B172:K172)</f>
        <v>0</v>
      </c>
      <c r="M172" s="570"/>
      <c r="N172" s="571"/>
      <c r="O172" s="571"/>
      <c r="P172" s="572"/>
      <c r="Q172" s="573"/>
      <c r="R172" s="574"/>
      <c r="S172" s="574"/>
      <c r="T172" s="575"/>
      <c r="U172" s="576"/>
      <c r="V172" s="577"/>
      <c r="W172" s="578"/>
      <c r="X172" s="578"/>
      <c r="Y172" s="578"/>
      <c r="Z172" s="578"/>
      <c r="AA172" s="578"/>
      <c r="AB172" s="579"/>
      <c r="AC172" s="580"/>
      <c r="AD172" s="581"/>
      <c r="AE172" s="582"/>
      <c r="AF172" s="248">
        <f t="shared" si="77"/>
        <v>0</v>
      </c>
      <c r="AG172" s="206"/>
      <c r="AJ172" s="1053"/>
      <c r="AK172" s="468"/>
    </row>
    <row r="173" spans="1:37" ht="16.5" thickBot="1">
      <c r="A173" s="451" t="s">
        <v>467</v>
      </c>
      <c r="B173" s="452">
        <f t="shared" ref="B173:L173" si="78">SUM(B171:B172)</f>
        <v>0</v>
      </c>
      <c r="C173" s="453">
        <f t="shared" si="78"/>
        <v>0</v>
      </c>
      <c r="D173" s="453">
        <f t="shared" si="78"/>
        <v>0</v>
      </c>
      <c r="E173" s="453">
        <f t="shared" si="78"/>
        <v>0</v>
      </c>
      <c r="F173" s="453">
        <f t="shared" si="78"/>
        <v>0</v>
      </c>
      <c r="G173" s="453">
        <f t="shared" si="78"/>
        <v>0</v>
      </c>
      <c r="H173" s="453">
        <f t="shared" si="78"/>
        <v>0</v>
      </c>
      <c r="I173" s="453">
        <f t="shared" si="78"/>
        <v>0</v>
      </c>
      <c r="J173" s="453">
        <f t="shared" si="78"/>
        <v>0</v>
      </c>
      <c r="K173" s="453">
        <f t="shared" si="78"/>
        <v>0</v>
      </c>
      <c r="L173" s="454">
        <f t="shared" si="78"/>
        <v>0</v>
      </c>
      <c r="M173" s="455"/>
      <c r="N173" s="456"/>
      <c r="O173" s="456"/>
      <c r="P173" s="457">
        <f>SUM(P171:P172)</f>
        <v>0</v>
      </c>
      <c r="Q173" s="458"/>
      <c r="R173" s="459"/>
      <c r="S173" s="459"/>
      <c r="T173" s="460">
        <f>SUM(T171:T172)</f>
        <v>0</v>
      </c>
      <c r="U173" s="461">
        <f>SUM(U171:U172)</f>
        <v>0</v>
      </c>
      <c r="V173" s="462"/>
      <c r="W173" s="463"/>
      <c r="X173" s="463"/>
      <c r="Y173" s="463"/>
      <c r="Z173" s="463"/>
      <c r="AA173" s="463"/>
      <c r="AB173" s="464">
        <f>SUM(AB171:AB172)</f>
        <v>0</v>
      </c>
      <c r="AC173" s="465">
        <f>SUM(AC171:AC172)</f>
        <v>0</v>
      </c>
      <c r="AD173" s="466">
        <f>SUM(AD171:AD172)</f>
        <v>0</v>
      </c>
      <c r="AE173" s="467">
        <f>SUM(AE171:AE172)</f>
        <v>0</v>
      </c>
      <c r="AF173" s="315">
        <f t="shared" si="77"/>
        <v>0</v>
      </c>
      <c r="AG173" s="206"/>
      <c r="AJ173" s="1053"/>
      <c r="AK173" s="468"/>
    </row>
    <row r="174" spans="1:37" ht="30.75" thickBot="1">
      <c r="A174" s="697" t="s">
        <v>468</v>
      </c>
      <c r="B174" s="698"/>
      <c r="C174" s="699"/>
      <c r="D174" s="699"/>
      <c r="E174" s="699"/>
      <c r="F174" s="699"/>
      <c r="G174" s="699"/>
      <c r="H174" s="699"/>
      <c r="I174" s="699"/>
      <c r="J174" s="699"/>
      <c r="K174" s="699"/>
      <c r="L174" s="700">
        <f>SUM(B174:K174)</f>
        <v>0</v>
      </c>
      <c r="M174" s="701"/>
      <c r="N174" s="702"/>
      <c r="O174" s="702"/>
      <c r="P174" s="703"/>
      <c r="Q174" s="704"/>
      <c r="R174" s="705"/>
      <c r="S174" s="705"/>
      <c r="T174" s="706"/>
      <c r="U174" s="707"/>
      <c r="V174" s="708"/>
      <c r="W174" s="709"/>
      <c r="X174" s="709"/>
      <c r="Y174" s="709"/>
      <c r="Z174" s="709"/>
      <c r="AA174" s="709"/>
      <c r="AB174" s="710"/>
      <c r="AC174" s="711"/>
      <c r="AD174" s="712"/>
      <c r="AE174" s="713"/>
      <c r="AF174" s="272">
        <f t="shared" si="77"/>
        <v>0</v>
      </c>
      <c r="AG174" s="206"/>
      <c r="AJ174" s="1053"/>
      <c r="AK174" s="468"/>
    </row>
    <row r="175" spans="1:37" ht="16.5" thickBot="1">
      <c r="A175" s="451" t="s">
        <v>469</v>
      </c>
      <c r="B175" s="452">
        <f t="shared" ref="B175:L175" si="79">B174</f>
        <v>0</v>
      </c>
      <c r="C175" s="453">
        <f t="shared" si="79"/>
        <v>0</v>
      </c>
      <c r="D175" s="453">
        <f t="shared" si="79"/>
        <v>0</v>
      </c>
      <c r="E175" s="453">
        <f t="shared" si="79"/>
        <v>0</v>
      </c>
      <c r="F175" s="453">
        <f t="shared" si="79"/>
        <v>0</v>
      </c>
      <c r="G175" s="453">
        <f t="shared" si="79"/>
        <v>0</v>
      </c>
      <c r="H175" s="453">
        <f t="shared" si="79"/>
        <v>0</v>
      </c>
      <c r="I175" s="453">
        <f t="shared" si="79"/>
        <v>0</v>
      </c>
      <c r="J175" s="453">
        <f t="shared" si="79"/>
        <v>0</v>
      </c>
      <c r="K175" s="453">
        <f t="shared" si="79"/>
        <v>0</v>
      </c>
      <c r="L175" s="454">
        <f t="shared" si="79"/>
        <v>0</v>
      </c>
      <c r="M175" s="455"/>
      <c r="N175" s="456"/>
      <c r="O175" s="456"/>
      <c r="P175" s="457">
        <f>P174</f>
        <v>0</v>
      </c>
      <c r="Q175" s="458"/>
      <c r="R175" s="459"/>
      <c r="S175" s="459"/>
      <c r="T175" s="460">
        <f>T174</f>
        <v>0</v>
      </c>
      <c r="U175" s="461">
        <f>U174</f>
        <v>0</v>
      </c>
      <c r="V175" s="462"/>
      <c r="W175" s="463"/>
      <c r="X175" s="463"/>
      <c r="Y175" s="463"/>
      <c r="Z175" s="463"/>
      <c r="AA175" s="463"/>
      <c r="AB175" s="464">
        <f>AB174</f>
        <v>0</v>
      </c>
      <c r="AC175" s="465">
        <f>AC174</f>
        <v>0</v>
      </c>
      <c r="AD175" s="466">
        <f>AD174</f>
        <v>0</v>
      </c>
      <c r="AE175" s="467">
        <f>AE174</f>
        <v>0</v>
      </c>
      <c r="AF175" s="315">
        <f t="shared" si="77"/>
        <v>0</v>
      </c>
      <c r="AG175" s="206"/>
      <c r="AJ175" s="1053"/>
      <c r="AK175" s="468"/>
    </row>
    <row r="176" spans="1:37" ht="30.75" thickBot="1">
      <c r="A176" s="697" t="s">
        <v>470</v>
      </c>
      <c r="B176" s="698"/>
      <c r="C176" s="699"/>
      <c r="D176" s="699"/>
      <c r="E176" s="699"/>
      <c r="F176" s="699"/>
      <c r="G176" s="699"/>
      <c r="H176" s="699"/>
      <c r="I176" s="699"/>
      <c r="J176" s="699"/>
      <c r="K176" s="699"/>
      <c r="L176" s="700"/>
      <c r="M176" s="701"/>
      <c r="N176" s="702"/>
      <c r="O176" s="702"/>
      <c r="P176" s="703"/>
      <c r="Q176" s="704"/>
      <c r="R176" s="705"/>
      <c r="S176" s="705"/>
      <c r="T176" s="706"/>
      <c r="U176" s="707"/>
      <c r="V176" s="708"/>
      <c r="W176" s="709"/>
      <c r="X176" s="709"/>
      <c r="Y176" s="709"/>
      <c r="Z176" s="709"/>
      <c r="AA176" s="709"/>
      <c r="AB176" s="710"/>
      <c r="AC176" s="711"/>
      <c r="AD176" s="712"/>
      <c r="AE176" s="713"/>
      <c r="AF176" s="272">
        <f t="shared" si="77"/>
        <v>0</v>
      </c>
      <c r="AG176" s="206"/>
      <c r="AJ176" s="1053"/>
      <c r="AK176" s="468"/>
    </row>
    <row r="177" spans="1:37" ht="32.25" thickBot="1">
      <c r="A177" s="451" t="s">
        <v>471</v>
      </c>
      <c r="B177" s="452">
        <f t="shared" ref="B177:L177" si="80">B176</f>
        <v>0</v>
      </c>
      <c r="C177" s="453">
        <f t="shared" si="80"/>
        <v>0</v>
      </c>
      <c r="D177" s="453">
        <f t="shared" si="80"/>
        <v>0</v>
      </c>
      <c r="E177" s="453">
        <f t="shared" si="80"/>
        <v>0</v>
      </c>
      <c r="F177" s="453">
        <f t="shared" si="80"/>
        <v>0</v>
      </c>
      <c r="G177" s="453">
        <f t="shared" si="80"/>
        <v>0</v>
      </c>
      <c r="H177" s="453">
        <f t="shared" si="80"/>
        <v>0</v>
      </c>
      <c r="I177" s="453">
        <f t="shared" si="80"/>
        <v>0</v>
      </c>
      <c r="J177" s="453">
        <f t="shared" si="80"/>
        <v>0</v>
      </c>
      <c r="K177" s="453">
        <f t="shared" si="80"/>
        <v>0</v>
      </c>
      <c r="L177" s="454">
        <f t="shared" si="80"/>
        <v>0</v>
      </c>
      <c r="M177" s="455"/>
      <c r="N177" s="456"/>
      <c r="O177" s="456"/>
      <c r="P177" s="457">
        <f>P176</f>
        <v>0</v>
      </c>
      <c r="Q177" s="458"/>
      <c r="R177" s="459"/>
      <c r="S177" s="459"/>
      <c r="T177" s="460">
        <f>T176</f>
        <v>0</v>
      </c>
      <c r="U177" s="461">
        <f>U176</f>
        <v>0</v>
      </c>
      <c r="V177" s="462"/>
      <c r="W177" s="463"/>
      <c r="X177" s="463"/>
      <c r="Y177" s="463"/>
      <c r="Z177" s="463"/>
      <c r="AA177" s="463"/>
      <c r="AB177" s="464">
        <f>AB176</f>
        <v>0</v>
      </c>
      <c r="AC177" s="465">
        <f>AC176</f>
        <v>0</v>
      </c>
      <c r="AD177" s="466">
        <f>AD176</f>
        <v>0</v>
      </c>
      <c r="AE177" s="467">
        <f>AE176</f>
        <v>0</v>
      </c>
      <c r="AF177" s="315">
        <f t="shared" si="77"/>
        <v>0</v>
      </c>
      <c r="AG177" s="206"/>
      <c r="AJ177" s="1053"/>
      <c r="AK177" s="468"/>
    </row>
    <row r="178" spans="1:37" ht="30">
      <c r="A178" s="363" t="s">
        <v>472</v>
      </c>
      <c r="B178" s="189"/>
      <c r="C178" s="190"/>
      <c r="D178" s="190"/>
      <c r="E178" s="190"/>
      <c r="F178" s="190"/>
      <c r="G178" s="190"/>
      <c r="H178" s="190"/>
      <c r="I178" s="190"/>
      <c r="J178" s="190"/>
      <c r="K178" s="190"/>
      <c r="L178" s="487">
        <f>SUM(B178:K178)</f>
        <v>0</v>
      </c>
      <c r="M178" s="488"/>
      <c r="N178" s="489"/>
      <c r="O178" s="489"/>
      <c r="P178" s="714"/>
      <c r="Q178" s="491"/>
      <c r="R178" s="492"/>
      <c r="S178" s="492"/>
      <c r="T178" s="715"/>
      <c r="U178" s="588"/>
      <c r="V178" s="495"/>
      <c r="W178" s="496"/>
      <c r="X178" s="496"/>
      <c r="Y178" s="496"/>
      <c r="Z178" s="496"/>
      <c r="AA178" s="496"/>
      <c r="AB178" s="716"/>
      <c r="AC178" s="590"/>
      <c r="AD178" s="591"/>
      <c r="AE178" s="369"/>
      <c r="AF178" s="204">
        <f t="shared" si="77"/>
        <v>0</v>
      </c>
      <c r="AG178" s="206"/>
      <c r="AJ178" s="1053"/>
      <c r="AK178" s="468"/>
    </row>
    <row r="179" spans="1:37">
      <c r="A179" s="320" t="s">
        <v>473</v>
      </c>
      <c r="B179" s="321">
        <f t="shared" ref="B179:L179" si="81">B178</f>
        <v>0</v>
      </c>
      <c r="C179" s="322">
        <f t="shared" si="81"/>
        <v>0</v>
      </c>
      <c r="D179" s="322">
        <f t="shared" si="81"/>
        <v>0</v>
      </c>
      <c r="E179" s="322">
        <f t="shared" si="81"/>
        <v>0</v>
      </c>
      <c r="F179" s="322">
        <f t="shared" si="81"/>
        <v>0</v>
      </c>
      <c r="G179" s="322">
        <f t="shared" si="81"/>
        <v>0</v>
      </c>
      <c r="H179" s="322">
        <f t="shared" si="81"/>
        <v>0</v>
      </c>
      <c r="I179" s="322">
        <f t="shared" si="81"/>
        <v>0</v>
      </c>
      <c r="J179" s="322">
        <f t="shared" si="81"/>
        <v>0</v>
      </c>
      <c r="K179" s="322">
        <f t="shared" si="81"/>
        <v>0</v>
      </c>
      <c r="L179" s="323">
        <f t="shared" si="81"/>
        <v>0</v>
      </c>
      <c r="M179" s="324"/>
      <c r="N179" s="325"/>
      <c r="O179" s="325"/>
      <c r="P179" s="393">
        <f>P178</f>
        <v>0</v>
      </c>
      <c r="Q179" s="326"/>
      <c r="R179" s="327"/>
      <c r="S179" s="327"/>
      <c r="T179" s="394">
        <f>T178</f>
        <v>0</v>
      </c>
      <c r="U179" s="370">
        <f>U178</f>
        <v>0</v>
      </c>
      <c r="V179" s="329"/>
      <c r="W179" s="330"/>
      <c r="X179" s="330"/>
      <c r="Y179" s="330"/>
      <c r="Z179" s="330"/>
      <c r="AA179" s="330"/>
      <c r="AB179" s="396">
        <f>AB178</f>
        <v>0</v>
      </c>
      <c r="AC179" s="371">
        <f>AC178</f>
        <v>0</v>
      </c>
      <c r="AD179" s="372">
        <f>AD178</f>
        <v>0</v>
      </c>
      <c r="AE179" s="373">
        <f>AE178</f>
        <v>0</v>
      </c>
      <c r="AF179" s="220">
        <f t="shared" si="77"/>
        <v>0</v>
      </c>
      <c r="AG179" s="206"/>
      <c r="AJ179" s="1053"/>
      <c r="AK179" s="468"/>
    </row>
    <row r="180" spans="1:37" ht="30">
      <c r="A180" s="221" t="s">
        <v>474</v>
      </c>
      <c r="B180" s="222"/>
      <c r="C180" s="223"/>
      <c r="D180" s="223"/>
      <c r="E180" s="223"/>
      <c r="F180" s="223"/>
      <c r="G180" s="223"/>
      <c r="H180" s="223"/>
      <c r="I180" s="223"/>
      <c r="J180" s="223"/>
      <c r="K180" s="223"/>
      <c r="L180" s="517">
        <f>SUM(B180:K180)</f>
        <v>0</v>
      </c>
      <c r="M180" s="518"/>
      <c r="N180" s="519"/>
      <c r="O180" s="519"/>
      <c r="P180" s="717"/>
      <c r="Q180" s="520"/>
      <c r="R180" s="521"/>
      <c r="S180" s="521"/>
      <c r="T180" s="718"/>
      <c r="U180" s="563"/>
      <c r="V180" s="523"/>
      <c r="W180" s="524"/>
      <c r="X180" s="524"/>
      <c r="Y180" s="524"/>
      <c r="Z180" s="524"/>
      <c r="AA180" s="524"/>
      <c r="AB180" s="719"/>
      <c r="AC180" s="564"/>
      <c r="AD180" s="565"/>
      <c r="AE180" s="318"/>
      <c r="AF180" s="220">
        <f t="shared" si="77"/>
        <v>0</v>
      </c>
      <c r="AG180" s="206"/>
      <c r="AJ180" s="1053"/>
      <c r="AK180" s="468"/>
    </row>
    <row r="181" spans="1:37">
      <c r="A181" s="320" t="s">
        <v>475</v>
      </c>
      <c r="B181" s="321">
        <f t="shared" ref="B181:L181" si="82">B180</f>
        <v>0</v>
      </c>
      <c r="C181" s="322">
        <f t="shared" si="82"/>
        <v>0</v>
      </c>
      <c r="D181" s="322">
        <f t="shared" si="82"/>
        <v>0</v>
      </c>
      <c r="E181" s="322">
        <f t="shared" si="82"/>
        <v>0</v>
      </c>
      <c r="F181" s="322">
        <f t="shared" si="82"/>
        <v>0</v>
      </c>
      <c r="G181" s="322">
        <f t="shared" si="82"/>
        <v>0</v>
      </c>
      <c r="H181" s="322">
        <f t="shared" si="82"/>
        <v>0</v>
      </c>
      <c r="I181" s="322">
        <f t="shared" si="82"/>
        <v>0</v>
      </c>
      <c r="J181" s="322">
        <f t="shared" si="82"/>
        <v>0</v>
      </c>
      <c r="K181" s="322">
        <f t="shared" si="82"/>
        <v>0</v>
      </c>
      <c r="L181" s="323">
        <f t="shared" si="82"/>
        <v>0</v>
      </c>
      <c r="M181" s="324"/>
      <c r="N181" s="325"/>
      <c r="O181" s="325"/>
      <c r="P181" s="393">
        <f>P180</f>
        <v>0</v>
      </c>
      <c r="Q181" s="326"/>
      <c r="R181" s="327"/>
      <c r="S181" s="327"/>
      <c r="T181" s="394">
        <f>T180</f>
        <v>0</v>
      </c>
      <c r="U181" s="370">
        <f>U180</f>
        <v>0</v>
      </c>
      <c r="V181" s="329"/>
      <c r="W181" s="330"/>
      <c r="X181" s="330"/>
      <c r="Y181" s="330"/>
      <c r="Z181" s="330"/>
      <c r="AA181" s="330"/>
      <c r="AB181" s="396">
        <f>AB180</f>
        <v>0</v>
      </c>
      <c r="AC181" s="371">
        <f>AC180</f>
        <v>0</v>
      </c>
      <c r="AD181" s="372">
        <f>AD180</f>
        <v>0</v>
      </c>
      <c r="AE181" s="373">
        <f>AE180</f>
        <v>0</v>
      </c>
      <c r="AF181" s="220">
        <f t="shared" si="77"/>
        <v>0</v>
      </c>
      <c r="AG181" s="206"/>
      <c r="AJ181" s="1053"/>
      <c r="AK181" s="468"/>
    </row>
    <row r="182" spans="1:37">
      <c r="A182" s="320" t="s">
        <v>476</v>
      </c>
      <c r="B182" s="321"/>
      <c r="C182" s="322"/>
      <c r="D182" s="322"/>
      <c r="E182" s="322"/>
      <c r="F182" s="322"/>
      <c r="G182" s="322"/>
      <c r="H182" s="322"/>
      <c r="I182" s="322"/>
      <c r="J182" s="322"/>
      <c r="K182" s="322"/>
      <c r="L182" s="517">
        <f>SUM(B182:K182)</f>
        <v>0</v>
      </c>
      <c r="M182" s="518"/>
      <c r="N182" s="519"/>
      <c r="O182" s="519"/>
      <c r="P182" s="393"/>
      <c r="Q182" s="520"/>
      <c r="R182" s="521"/>
      <c r="S182" s="521"/>
      <c r="T182" s="394"/>
      <c r="U182" s="522"/>
      <c r="V182" s="523"/>
      <c r="W182" s="524"/>
      <c r="X182" s="524"/>
      <c r="Y182" s="524"/>
      <c r="Z182" s="524"/>
      <c r="AA182" s="524"/>
      <c r="AB182" s="396"/>
      <c r="AC182" s="525"/>
      <c r="AD182" s="526"/>
      <c r="AE182" s="401"/>
      <c r="AF182" s="220">
        <f t="shared" si="77"/>
        <v>0</v>
      </c>
      <c r="AG182" s="206"/>
      <c r="AJ182" s="1053"/>
      <c r="AK182" s="468"/>
    </row>
    <row r="183" spans="1:37">
      <c r="A183" s="320" t="s">
        <v>477</v>
      </c>
      <c r="B183" s="321"/>
      <c r="C183" s="322"/>
      <c r="D183" s="322"/>
      <c r="E183" s="322"/>
      <c r="F183" s="322"/>
      <c r="G183" s="322"/>
      <c r="H183" s="322"/>
      <c r="I183" s="322"/>
      <c r="J183" s="322"/>
      <c r="K183" s="322"/>
      <c r="L183" s="517">
        <f>SUM(B183:K183)</f>
        <v>0</v>
      </c>
      <c r="M183" s="518"/>
      <c r="N183" s="519"/>
      <c r="O183" s="519"/>
      <c r="P183" s="393"/>
      <c r="Q183" s="520"/>
      <c r="R183" s="521"/>
      <c r="S183" s="521"/>
      <c r="T183" s="394"/>
      <c r="U183" s="446">
        <v>68522545</v>
      </c>
      <c r="V183" s="523"/>
      <c r="W183" s="524"/>
      <c r="X183" s="524"/>
      <c r="Y183" s="524"/>
      <c r="Z183" s="524"/>
      <c r="AA183" s="524"/>
      <c r="AB183" s="396"/>
      <c r="AC183" s="399"/>
      <c r="AD183" s="400"/>
      <c r="AE183" s="527"/>
      <c r="AF183" s="304">
        <f t="shared" si="77"/>
        <v>68522545</v>
      </c>
      <c r="AG183" s="206"/>
      <c r="AJ183" s="1053"/>
      <c r="AK183" s="468"/>
    </row>
    <row r="184" spans="1:37" ht="16.5" thickBot="1">
      <c r="A184" s="566" t="s">
        <v>478</v>
      </c>
      <c r="B184" s="567">
        <f t="shared" ref="B184:L184" si="83">B179+B181+B182+B183</f>
        <v>0</v>
      </c>
      <c r="C184" s="568">
        <f t="shared" si="83"/>
        <v>0</v>
      </c>
      <c r="D184" s="568">
        <f t="shared" si="83"/>
        <v>0</v>
      </c>
      <c r="E184" s="568">
        <f t="shared" si="83"/>
        <v>0</v>
      </c>
      <c r="F184" s="568">
        <f t="shared" si="83"/>
        <v>0</v>
      </c>
      <c r="G184" s="568">
        <f t="shared" si="83"/>
        <v>0</v>
      </c>
      <c r="H184" s="568">
        <f t="shared" si="83"/>
        <v>0</v>
      </c>
      <c r="I184" s="568">
        <f t="shared" si="83"/>
        <v>0</v>
      </c>
      <c r="J184" s="568">
        <f t="shared" si="83"/>
        <v>0</v>
      </c>
      <c r="K184" s="568">
        <f t="shared" si="83"/>
        <v>0</v>
      </c>
      <c r="L184" s="686">
        <f t="shared" si="83"/>
        <v>0</v>
      </c>
      <c r="M184" s="687"/>
      <c r="N184" s="688"/>
      <c r="O184" s="688"/>
      <c r="P184" s="572">
        <f>P179+P181+P182+P183</f>
        <v>0</v>
      </c>
      <c r="Q184" s="689"/>
      <c r="R184" s="690"/>
      <c r="S184" s="690"/>
      <c r="T184" s="575">
        <f>T179+T181+T182+T183</f>
        <v>0</v>
      </c>
      <c r="U184" s="691">
        <f>U179+U181+U182+U183</f>
        <v>68522545</v>
      </c>
      <c r="V184" s="692"/>
      <c r="W184" s="693"/>
      <c r="X184" s="693"/>
      <c r="Y184" s="693"/>
      <c r="Z184" s="693"/>
      <c r="AA184" s="693"/>
      <c r="AB184" s="579">
        <f>AB179+AB181+AB182+AB183</f>
        <v>0</v>
      </c>
      <c r="AC184" s="694">
        <f>AC179+AC181+AC182+AC183</f>
        <v>0</v>
      </c>
      <c r="AD184" s="695">
        <f>AD179+AD181+AD182+AD183</f>
        <v>0</v>
      </c>
      <c r="AE184" s="696">
        <f>AE179+AE181+AE182+AE183</f>
        <v>0</v>
      </c>
      <c r="AF184" s="248">
        <f t="shared" si="77"/>
        <v>68522545</v>
      </c>
      <c r="AG184" s="206"/>
      <c r="AJ184" s="1053"/>
      <c r="AK184" s="468"/>
    </row>
    <row r="185" spans="1:37" ht="16.5" thickBot="1">
      <c r="A185" s="451" t="s">
        <v>479</v>
      </c>
      <c r="B185" s="452">
        <f t="shared" ref="B185:L185" si="84">B184</f>
        <v>0</v>
      </c>
      <c r="C185" s="453">
        <f t="shared" si="84"/>
        <v>0</v>
      </c>
      <c r="D185" s="453">
        <f t="shared" si="84"/>
        <v>0</v>
      </c>
      <c r="E185" s="453">
        <f t="shared" si="84"/>
        <v>0</v>
      </c>
      <c r="F185" s="453">
        <f t="shared" si="84"/>
        <v>0</v>
      </c>
      <c r="G185" s="453">
        <f t="shared" si="84"/>
        <v>0</v>
      </c>
      <c r="H185" s="453">
        <f t="shared" si="84"/>
        <v>0</v>
      </c>
      <c r="I185" s="453">
        <f t="shared" si="84"/>
        <v>0</v>
      </c>
      <c r="J185" s="453">
        <f t="shared" si="84"/>
        <v>0</v>
      </c>
      <c r="K185" s="453">
        <f t="shared" si="84"/>
        <v>0</v>
      </c>
      <c r="L185" s="454">
        <f t="shared" si="84"/>
        <v>0</v>
      </c>
      <c r="M185" s="455"/>
      <c r="N185" s="456"/>
      <c r="O185" s="456"/>
      <c r="P185" s="457">
        <f>P184</f>
        <v>0</v>
      </c>
      <c r="Q185" s="458"/>
      <c r="R185" s="459"/>
      <c r="S185" s="459"/>
      <c r="T185" s="460">
        <f>T184</f>
        <v>0</v>
      </c>
      <c r="U185" s="461">
        <f>U184</f>
        <v>68522545</v>
      </c>
      <c r="V185" s="462"/>
      <c r="W185" s="463"/>
      <c r="X185" s="463"/>
      <c r="Y185" s="463"/>
      <c r="Z185" s="463"/>
      <c r="AA185" s="463"/>
      <c r="AB185" s="464">
        <f>AB184</f>
        <v>0</v>
      </c>
      <c r="AC185" s="465">
        <f>AC184</f>
        <v>0</v>
      </c>
      <c r="AD185" s="466">
        <f>AD184</f>
        <v>0</v>
      </c>
      <c r="AE185" s="467">
        <f>AE184</f>
        <v>0</v>
      </c>
      <c r="AF185" s="315">
        <f t="shared" si="77"/>
        <v>68522545</v>
      </c>
      <c r="AG185" s="206"/>
      <c r="AJ185" s="1053"/>
      <c r="AK185" s="468"/>
    </row>
    <row r="186" spans="1:37" ht="19.5" thickBot="1">
      <c r="A186" s="624" t="s">
        <v>480</v>
      </c>
      <c r="B186" s="625">
        <f t="shared" ref="B186:AD186" si="85">B134+B140+B159+B170+B173+B175+B177+B185</f>
        <v>0</v>
      </c>
      <c r="C186" s="626">
        <f t="shared" si="85"/>
        <v>0</v>
      </c>
      <c r="D186" s="626">
        <f t="shared" si="85"/>
        <v>0</v>
      </c>
      <c r="E186" s="626">
        <f t="shared" si="85"/>
        <v>0</v>
      </c>
      <c r="F186" s="626">
        <f t="shared" si="85"/>
        <v>0</v>
      </c>
      <c r="G186" s="626">
        <f t="shared" si="85"/>
        <v>0</v>
      </c>
      <c r="H186" s="626">
        <f t="shared" si="85"/>
        <v>0</v>
      </c>
      <c r="I186" s="626">
        <f t="shared" si="85"/>
        <v>0</v>
      </c>
      <c r="J186" s="626">
        <f t="shared" si="85"/>
        <v>0</v>
      </c>
      <c r="K186" s="626">
        <f t="shared" si="85"/>
        <v>137000</v>
      </c>
      <c r="L186" s="627">
        <f t="shared" si="85"/>
        <v>137000</v>
      </c>
      <c r="M186" s="625">
        <f t="shared" si="85"/>
        <v>0</v>
      </c>
      <c r="N186" s="626">
        <f t="shared" si="85"/>
        <v>0</v>
      </c>
      <c r="O186" s="626">
        <f t="shared" si="85"/>
        <v>0</v>
      </c>
      <c r="P186" s="627">
        <f t="shared" si="85"/>
        <v>0</v>
      </c>
      <c r="Q186" s="625">
        <f t="shared" si="85"/>
        <v>0</v>
      </c>
      <c r="R186" s="626">
        <f t="shared" si="85"/>
        <v>0</v>
      </c>
      <c r="S186" s="626">
        <f t="shared" si="85"/>
        <v>0</v>
      </c>
      <c r="T186" s="627">
        <f t="shared" si="85"/>
        <v>0</v>
      </c>
      <c r="U186" s="720">
        <f t="shared" si="85"/>
        <v>68522545</v>
      </c>
      <c r="V186" s="625">
        <f t="shared" si="85"/>
        <v>0</v>
      </c>
      <c r="W186" s="626">
        <f t="shared" si="85"/>
        <v>0</v>
      </c>
      <c r="X186" s="626">
        <f t="shared" si="85"/>
        <v>0</v>
      </c>
      <c r="Y186" s="626">
        <f t="shared" si="85"/>
        <v>0</v>
      </c>
      <c r="Z186" s="626">
        <f t="shared" si="85"/>
        <v>0</v>
      </c>
      <c r="AA186" s="626">
        <f t="shared" si="85"/>
        <v>17217000</v>
      </c>
      <c r="AB186" s="627">
        <f t="shared" si="85"/>
        <v>17217000</v>
      </c>
      <c r="AC186" s="627">
        <f t="shared" si="85"/>
        <v>0</v>
      </c>
      <c r="AD186" s="627">
        <f t="shared" si="85"/>
        <v>0</v>
      </c>
      <c r="AE186" s="1058">
        <f>AE134+AE140+AE159+AE170+AE173+AE175+AE177+AE185</f>
        <v>0</v>
      </c>
      <c r="AF186" s="630">
        <f>L186+P186+U186+AC186+AD186+AE186+T186+AB186</f>
        <v>85876545</v>
      </c>
      <c r="AG186" s="206">
        <f>AF123-AF186</f>
        <v>-0.11499999463558197</v>
      </c>
      <c r="AJ186" s="1053"/>
      <c r="AK186" s="468"/>
    </row>
    <row r="187" spans="1:37">
      <c r="K187" t="s">
        <v>481</v>
      </c>
      <c r="L187" s="721">
        <f>L123+P123-L186</f>
        <v>47850251.655000001</v>
      </c>
      <c r="M187" t="s">
        <v>486</v>
      </c>
      <c r="S187" s="1813" t="s">
        <v>482</v>
      </c>
      <c r="T187" s="1813"/>
      <c r="U187" s="721">
        <f>L188</f>
        <v>37601800</v>
      </c>
      <c r="AA187" t="s">
        <v>481</v>
      </c>
      <c r="AB187" s="721">
        <f>AB123-AB186</f>
        <v>20552293.230000004</v>
      </c>
    </row>
    <row r="188" spans="1:37">
      <c r="K188" t="s">
        <v>483</v>
      </c>
      <c r="L188" s="721">
        <v>37601800</v>
      </c>
      <c r="S188" s="1808" t="s">
        <v>484</v>
      </c>
      <c r="T188" s="1808"/>
      <c r="U188" s="721">
        <f>AB188</f>
        <v>9728000</v>
      </c>
      <c r="AA188" t="s">
        <v>485</v>
      </c>
      <c r="AB188" s="721">
        <v>9728000</v>
      </c>
    </row>
    <row r="189" spans="1:37">
      <c r="K189" t="s">
        <v>568</v>
      </c>
      <c r="L189" s="723">
        <v>4926000</v>
      </c>
      <c r="S189" s="1808" t="s">
        <v>487</v>
      </c>
      <c r="T189" s="1808"/>
      <c r="U189" s="721">
        <f>AB189</f>
        <v>4639228</v>
      </c>
      <c r="AA189" t="s">
        <v>488</v>
      </c>
      <c r="AB189" s="721">
        <v>4639228</v>
      </c>
    </row>
    <row r="190" spans="1:37">
      <c r="K190" t="s">
        <v>489</v>
      </c>
      <c r="L190" s="297">
        <f>L187-L188-L189</f>
        <v>5322451.6550000012</v>
      </c>
      <c r="S190" s="1808" t="s">
        <v>490</v>
      </c>
      <c r="T190" s="1808"/>
      <c r="U190" s="721">
        <v>0</v>
      </c>
      <c r="AA190" t="s">
        <v>491</v>
      </c>
      <c r="AB190" s="297">
        <f>AB187-AB188-AB189</f>
        <v>6185065.2300000042</v>
      </c>
    </row>
    <row r="191" spans="1:37">
      <c r="S191" s="1808" t="s">
        <v>492</v>
      </c>
      <c r="T191" s="1808"/>
      <c r="U191" s="721">
        <v>120000</v>
      </c>
      <c r="AA191" s="389" t="s">
        <v>493</v>
      </c>
      <c r="AB191" s="724">
        <v>2148282</v>
      </c>
    </row>
    <row r="192" spans="1:37">
      <c r="S192" s="725" t="s">
        <v>494</v>
      </c>
      <c r="T192" s="1015" t="s">
        <v>583</v>
      </c>
      <c r="U192" s="721">
        <f>L189</f>
        <v>4926000</v>
      </c>
      <c r="AB192" s="297">
        <f>AB190-AB191</f>
        <v>4036783.2300000042</v>
      </c>
    </row>
    <row r="193" spans="19:28">
      <c r="S193" s="1808" t="s">
        <v>493</v>
      </c>
      <c r="T193" s="1808"/>
      <c r="U193" s="726">
        <f>AB191</f>
        <v>2148282</v>
      </c>
      <c r="AB193" s="297"/>
    </row>
    <row r="194" spans="19:28">
      <c r="S194" s="1809" t="s">
        <v>495</v>
      </c>
      <c r="T194" s="1809"/>
      <c r="U194" s="727">
        <f>SUM(U187:U193)</f>
        <v>59163310</v>
      </c>
    </row>
    <row r="195" spans="19:28">
      <c r="S195" s="1810" t="s">
        <v>496</v>
      </c>
      <c r="T195" s="1810"/>
      <c r="U195" s="728">
        <f>U186-U194</f>
        <v>9359235</v>
      </c>
    </row>
    <row r="196" spans="19:28">
      <c r="T196" t="s">
        <v>567</v>
      </c>
      <c r="U196" s="721">
        <f>AK123</f>
        <v>4248970</v>
      </c>
    </row>
    <row r="197" spans="19:28">
      <c r="S197" s="1808"/>
      <c r="T197" s="1808"/>
      <c r="U197" s="1059">
        <f>U195-U196</f>
        <v>5110265</v>
      </c>
    </row>
    <row r="198" spans="19:28">
      <c r="U198" s="728"/>
    </row>
  </sheetData>
  <sheetProtection password="DCF7" sheet="1" objects="1" scenarios="1" selectLockedCells="1" selectUnlockedCells="1"/>
  <mergeCells count="21">
    <mergeCell ref="S193:T193"/>
    <mergeCell ref="S194:T194"/>
    <mergeCell ref="S195:T195"/>
    <mergeCell ref="S197:T197"/>
    <mergeCell ref="AF2:AF3"/>
    <mergeCell ref="S187:T187"/>
    <mergeCell ref="S188:T188"/>
    <mergeCell ref="S189:T189"/>
    <mergeCell ref="S190:T190"/>
    <mergeCell ref="S191:T191"/>
    <mergeCell ref="AI125:AK125"/>
    <mergeCell ref="A1:AF1"/>
    <mergeCell ref="A2:A3"/>
    <mergeCell ref="B2:L2"/>
    <mergeCell ref="M2:P2"/>
    <mergeCell ref="Q2:T2"/>
    <mergeCell ref="U2:U3"/>
    <mergeCell ref="V2:AB2"/>
    <mergeCell ref="AC2:AC3"/>
    <mergeCell ref="AD2:AD3"/>
    <mergeCell ref="AE2:AE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Q33"/>
  <sheetViews>
    <sheetView tabSelected="1" view="pageBreakPreview" zoomScaleNormal="100" zoomScaleSheetLayoutView="100" workbookViewId="0">
      <selection activeCell="C3" sqref="C3"/>
    </sheetView>
  </sheetViews>
  <sheetFormatPr defaultRowHeight="15"/>
  <cols>
    <col min="1" max="1" width="45.140625" style="1515" customWidth="1"/>
    <col min="2" max="2" width="14.140625" style="1515" customWidth="1"/>
    <col min="3" max="3" width="12.85546875" style="1515" customWidth="1"/>
    <col min="4" max="4" width="11.28515625" style="1515" customWidth="1"/>
    <col min="5" max="7" width="9.140625" style="1456" hidden="1" customWidth="1"/>
    <col min="8" max="256" width="9.140625" style="1456"/>
    <col min="257" max="257" width="45.140625" style="1456" customWidth="1"/>
    <col min="258" max="258" width="14.140625" style="1456" customWidth="1"/>
    <col min="259" max="259" width="12.85546875" style="1456" customWidth="1"/>
    <col min="260" max="260" width="11.28515625" style="1456" customWidth="1"/>
    <col min="261" max="263" width="0" style="1456" hidden="1" customWidth="1"/>
    <col min="264" max="512" width="9.140625" style="1456"/>
    <col min="513" max="513" width="45.140625" style="1456" customWidth="1"/>
    <col min="514" max="514" width="14.140625" style="1456" customWidth="1"/>
    <col min="515" max="515" width="12.85546875" style="1456" customWidth="1"/>
    <col min="516" max="516" width="11.28515625" style="1456" customWidth="1"/>
    <col min="517" max="519" width="0" style="1456" hidden="1" customWidth="1"/>
    <col min="520" max="768" width="9.140625" style="1456"/>
    <col min="769" max="769" width="45.140625" style="1456" customWidth="1"/>
    <col min="770" max="770" width="14.140625" style="1456" customWidth="1"/>
    <col min="771" max="771" width="12.85546875" style="1456" customWidth="1"/>
    <col min="772" max="772" width="11.28515625" style="1456" customWidth="1"/>
    <col min="773" max="775" width="0" style="1456" hidden="1" customWidth="1"/>
    <col min="776" max="1024" width="9.140625" style="1456"/>
    <col min="1025" max="1025" width="45.140625" style="1456" customWidth="1"/>
    <col min="1026" max="1026" width="14.140625" style="1456" customWidth="1"/>
    <col min="1027" max="1027" width="12.85546875" style="1456" customWidth="1"/>
    <col min="1028" max="1028" width="11.28515625" style="1456" customWidth="1"/>
    <col min="1029" max="1031" width="0" style="1456" hidden="1" customWidth="1"/>
    <col min="1032" max="1280" width="9.140625" style="1456"/>
    <col min="1281" max="1281" width="45.140625" style="1456" customWidth="1"/>
    <col min="1282" max="1282" width="14.140625" style="1456" customWidth="1"/>
    <col min="1283" max="1283" width="12.85546875" style="1456" customWidth="1"/>
    <col min="1284" max="1284" width="11.28515625" style="1456" customWidth="1"/>
    <col min="1285" max="1287" width="0" style="1456" hidden="1" customWidth="1"/>
    <col min="1288" max="1536" width="9.140625" style="1456"/>
    <col min="1537" max="1537" width="45.140625" style="1456" customWidth="1"/>
    <col min="1538" max="1538" width="14.140625" style="1456" customWidth="1"/>
    <col min="1539" max="1539" width="12.85546875" style="1456" customWidth="1"/>
    <col min="1540" max="1540" width="11.28515625" style="1456" customWidth="1"/>
    <col min="1541" max="1543" width="0" style="1456" hidden="1" customWidth="1"/>
    <col min="1544" max="1792" width="9.140625" style="1456"/>
    <col min="1793" max="1793" width="45.140625" style="1456" customWidth="1"/>
    <col min="1794" max="1794" width="14.140625" style="1456" customWidth="1"/>
    <col min="1795" max="1795" width="12.85546875" style="1456" customWidth="1"/>
    <col min="1796" max="1796" width="11.28515625" style="1456" customWidth="1"/>
    <col min="1797" max="1799" width="0" style="1456" hidden="1" customWidth="1"/>
    <col min="1800" max="2048" width="9.140625" style="1456"/>
    <col min="2049" max="2049" width="45.140625" style="1456" customWidth="1"/>
    <col min="2050" max="2050" width="14.140625" style="1456" customWidth="1"/>
    <col min="2051" max="2051" width="12.85546875" style="1456" customWidth="1"/>
    <col min="2052" max="2052" width="11.28515625" style="1456" customWidth="1"/>
    <col min="2053" max="2055" width="0" style="1456" hidden="1" customWidth="1"/>
    <col min="2056" max="2304" width="9.140625" style="1456"/>
    <col min="2305" max="2305" width="45.140625" style="1456" customWidth="1"/>
    <col min="2306" max="2306" width="14.140625" style="1456" customWidth="1"/>
    <col min="2307" max="2307" width="12.85546875" style="1456" customWidth="1"/>
    <col min="2308" max="2308" width="11.28515625" style="1456" customWidth="1"/>
    <col min="2309" max="2311" width="0" style="1456" hidden="1" customWidth="1"/>
    <col min="2312" max="2560" width="9.140625" style="1456"/>
    <col min="2561" max="2561" width="45.140625" style="1456" customWidth="1"/>
    <col min="2562" max="2562" width="14.140625" style="1456" customWidth="1"/>
    <col min="2563" max="2563" width="12.85546875" style="1456" customWidth="1"/>
    <col min="2564" max="2564" width="11.28515625" style="1456" customWidth="1"/>
    <col min="2565" max="2567" width="0" style="1456" hidden="1" customWidth="1"/>
    <col min="2568" max="2816" width="9.140625" style="1456"/>
    <col min="2817" max="2817" width="45.140625" style="1456" customWidth="1"/>
    <col min="2818" max="2818" width="14.140625" style="1456" customWidth="1"/>
    <col min="2819" max="2819" width="12.85546875" style="1456" customWidth="1"/>
    <col min="2820" max="2820" width="11.28515625" style="1456" customWidth="1"/>
    <col min="2821" max="2823" width="0" style="1456" hidden="1" customWidth="1"/>
    <col min="2824" max="3072" width="9.140625" style="1456"/>
    <col min="3073" max="3073" width="45.140625" style="1456" customWidth="1"/>
    <col min="3074" max="3074" width="14.140625" style="1456" customWidth="1"/>
    <col min="3075" max="3075" width="12.85546875" style="1456" customWidth="1"/>
    <col min="3076" max="3076" width="11.28515625" style="1456" customWidth="1"/>
    <col min="3077" max="3079" width="0" style="1456" hidden="1" customWidth="1"/>
    <col min="3080" max="3328" width="9.140625" style="1456"/>
    <col min="3329" max="3329" width="45.140625" style="1456" customWidth="1"/>
    <col min="3330" max="3330" width="14.140625" style="1456" customWidth="1"/>
    <col min="3331" max="3331" width="12.85546875" style="1456" customWidth="1"/>
    <col min="3332" max="3332" width="11.28515625" style="1456" customWidth="1"/>
    <col min="3333" max="3335" width="0" style="1456" hidden="1" customWidth="1"/>
    <col min="3336" max="3584" width="9.140625" style="1456"/>
    <col min="3585" max="3585" width="45.140625" style="1456" customWidth="1"/>
    <col min="3586" max="3586" width="14.140625" style="1456" customWidth="1"/>
    <col min="3587" max="3587" width="12.85546875" style="1456" customWidth="1"/>
    <col min="3588" max="3588" width="11.28515625" style="1456" customWidth="1"/>
    <col min="3589" max="3591" width="0" style="1456" hidden="1" customWidth="1"/>
    <col min="3592" max="3840" width="9.140625" style="1456"/>
    <col min="3841" max="3841" width="45.140625" style="1456" customWidth="1"/>
    <col min="3842" max="3842" width="14.140625" style="1456" customWidth="1"/>
    <col min="3843" max="3843" width="12.85546875" style="1456" customWidth="1"/>
    <col min="3844" max="3844" width="11.28515625" style="1456" customWidth="1"/>
    <col min="3845" max="3847" width="0" style="1456" hidden="1" customWidth="1"/>
    <col min="3848" max="4096" width="9.140625" style="1456"/>
    <col min="4097" max="4097" width="45.140625" style="1456" customWidth="1"/>
    <col min="4098" max="4098" width="14.140625" style="1456" customWidth="1"/>
    <col min="4099" max="4099" width="12.85546875" style="1456" customWidth="1"/>
    <col min="4100" max="4100" width="11.28515625" style="1456" customWidth="1"/>
    <col min="4101" max="4103" width="0" style="1456" hidden="1" customWidth="1"/>
    <col min="4104" max="4352" width="9.140625" style="1456"/>
    <col min="4353" max="4353" width="45.140625" style="1456" customWidth="1"/>
    <col min="4354" max="4354" width="14.140625" style="1456" customWidth="1"/>
    <col min="4355" max="4355" width="12.85546875" style="1456" customWidth="1"/>
    <col min="4356" max="4356" width="11.28515625" style="1456" customWidth="1"/>
    <col min="4357" max="4359" width="0" style="1456" hidden="1" customWidth="1"/>
    <col min="4360" max="4608" width="9.140625" style="1456"/>
    <col min="4609" max="4609" width="45.140625" style="1456" customWidth="1"/>
    <col min="4610" max="4610" width="14.140625" style="1456" customWidth="1"/>
    <col min="4611" max="4611" width="12.85546875" style="1456" customWidth="1"/>
    <col min="4612" max="4612" width="11.28515625" style="1456" customWidth="1"/>
    <col min="4613" max="4615" width="0" style="1456" hidden="1" customWidth="1"/>
    <col min="4616" max="4864" width="9.140625" style="1456"/>
    <col min="4865" max="4865" width="45.140625" style="1456" customWidth="1"/>
    <col min="4866" max="4866" width="14.140625" style="1456" customWidth="1"/>
    <col min="4867" max="4867" width="12.85546875" style="1456" customWidth="1"/>
    <col min="4868" max="4868" width="11.28515625" style="1456" customWidth="1"/>
    <col min="4869" max="4871" width="0" style="1456" hidden="1" customWidth="1"/>
    <col min="4872" max="5120" width="9.140625" style="1456"/>
    <col min="5121" max="5121" width="45.140625" style="1456" customWidth="1"/>
    <col min="5122" max="5122" width="14.140625" style="1456" customWidth="1"/>
    <col min="5123" max="5123" width="12.85546875" style="1456" customWidth="1"/>
    <col min="5124" max="5124" width="11.28515625" style="1456" customWidth="1"/>
    <col min="5125" max="5127" width="0" style="1456" hidden="1" customWidth="1"/>
    <col min="5128" max="5376" width="9.140625" style="1456"/>
    <col min="5377" max="5377" width="45.140625" style="1456" customWidth="1"/>
    <col min="5378" max="5378" width="14.140625" style="1456" customWidth="1"/>
    <col min="5379" max="5379" width="12.85546875" style="1456" customWidth="1"/>
    <col min="5380" max="5380" width="11.28515625" style="1456" customWidth="1"/>
    <col min="5381" max="5383" width="0" style="1456" hidden="1" customWidth="1"/>
    <col min="5384" max="5632" width="9.140625" style="1456"/>
    <col min="5633" max="5633" width="45.140625" style="1456" customWidth="1"/>
    <col min="5634" max="5634" width="14.140625" style="1456" customWidth="1"/>
    <col min="5635" max="5635" width="12.85546875" style="1456" customWidth="1"/>
    <col min="5636" max="5636" width="11.28515625" style="1456" customWidth="1"/>
    <col min="5637" max="5639" width="0" style="1456" hidden="1" customWidth="1"/>
    <col min="5640" max="5888" width="9.140625" style="1456"/>
    <col min="5889" max="5889" width="45.140625" style="1456" customWidth="1"/>
    <col min="5890" max="5890" width="14.140625" style="1456" customWidth="1"/>
    <col min="5891" max="5891" width="12.85546875" style="1456" customWidth="1"/>
    <col min="5892" max="5892" width="11.28515625" style="1456" customWidth="1"/>
    <col min="5893" max="5895" width="0" style="1456" hidden="1" customWidth="1"/>
    <col min="5896" max="6144" width="9.140625" style="1456"/>
    <col min="6145" max="6145" width="45.140625" style="1456" customWidth="1"/>
    <col min="6146" max="6146" width="14.140625" style="1456" customWidth="1"/>
    <col min="6147" max="6147" width="12.85546875" style="1456" customWidth="1"/>
    <col min="6148" max="6148" width="11.28515625" style="1456" customWidth="1"/>
    <col min="6149" max="6151" width="0" style="1456" hidden="1" customWidth="1"/>
    <col min="6152" max="6400" width="9.140625" style="1456"/>
    <col min="6401" max="6401" width="45.140625" style="1456" customWidth="1"/>
    <col min="6402" max="6402" width="14.140625" style="1456" customWidth="1"/>
    <col min="6403" max="6403" width="12.85546875" style="1456" customWidth="1"/>
    <col min="6404" max="6404" width="11.28515625" style="1456" customWidth="1"/>
    <col min="6405" max="6407" width="0" style="1456" hidden="1" customWidth="1"/>
    <col min="6408" max="6656" width="9.140625" style="1456"/>
    <col min="6657" max="6657" width="45.140625" style="1456" customWidth="1"/>
    <col min="6658" max="6658" width="14.140625" style="1456" customWidth="1"/>
    <col min="6659" max="6659" width="12.85546875" style="1456" customWidth="1"/>
    <col min="6660" max="6660" width="11.28515625" style="1456" customWidth="1"/>
    <col min="6661" max="6663" width="0" style="1456" hidden="1" customWidth="1"/>
    <col min="6664" max="6912" width="9.140625" style="1456"/>
    <col min="6913" max="6913" width="45.140625" style="1456" customWidth="1"/>
    <col min="6914" max="6914" width="14.140625" style="1456" customWidth="1"/>
    <col min="6915" max="6915" width="12.85546875" style="1456" customWidth="1"/>
    <col min="6916" max="6916" width="11.28515625" style="1456" customWidth="1"/>
    <col min="6917" max="6919" width="0" style="1456" hidden="1" customWidth="1"/>
    <col min="6920" max="7168" width="9.140625" style="1456"/>
    <col min="7169" max="7169" width="45.140625" style="1456" customWidth="1"/>
    <col min="7170" max="7170" width="14.140625" style="1456" customWidth="1"/>
    <col min="7171" max="7171" width="12.85546875" style="1456" customWidth="1"/>
    <col min="7172" max="7172" width="11.28515625" style="1456" customWidth="1"/>
    <col min="7173" max="7175" width="0" style="1456" hidden="1" customWidth="1"/>
    <col min="7176" max="7424" width="9.140625" style="1456"/>
    <col min="7425" max="7425" width="45.140625" style="1456" customWidth="1"/>
    <col min="7426" max="7426" width="14.140625" style="1456" customWidth="1"/>
    <col min="7427" max="7427" width="12.85546875" style="1456" customWidth="1"/>
    <col min="7428" max="7428" width="11.28515625" style="1456" customWidth="1"/>
    <col min="7429" max="7431" width="0" style="1456" hidden="1" customWidth="1"/>
    <col min="7432" max="7680" width="9.140625" style="1456"/>
    <col min="7681" max="7681" width="45.140625" style="1456" customWidth="1"/>
    <col min="7682" max="7682" width="14.140625" style="1456" customWidth="1"/>
    <col min="7683" max="7683" width="12.85546875" style="1456" customWidth="1"/>
    <col min="7684" max="7684" width="11.28515625" style="1456" customWidth="1"/>
    <col min="7685" max="7687" width="0" style="1456" hidden="1" customWidth="1"/>
    <col min="7688" max="7936" width="9.140625" style="1456"/>
    <col min="7937" max="7937" width="45.140625" style="1456" customWidth="1"/>
    <col min="7938" max="7938" width="14.140625" style="1456" customWidth="1"/>
    <col min="7939" max="7939" width="12.85546875" style="1456" customWidth="1"/>
    <col min="7940" max="7940" width="11.28515625" style="1456" customWidth="1"/>
    <col min="7941" max="7943" width="0" style="1456" hidden="1" customWidth="1"/>
    <col min="7944" max="8192" width="9.140625" style="1456"/>
    <col min="8193" max="8193" width="45.140625" style="1456" customWidth="1"/>
    <col min="8194" max="8194" width="14.140625" style="1456" customWidth="1"/>
    <col min="8195" max="8195" width="12.85546875" style="1456" customWidth="1"/>
    <col min="8196" max="8196" width="11.28515625" style="1456" customWidth="1"/>
    <col min="8197" max="8199" width="0" style="1456" hidden="1" customWidth="1"/>
    <col min="8200" max="8448" width="9.140625" style="1456"/>
    <col min="8449" max="8449" width="45.140625" style="1456" customWidth="1"/>
    <col min="8450" max="8450" width="14.140625" style="1456" customWidth="1"/>
    <col min="8451" max="8451" width="12.85546875" style="1456" customWidth="1"/>
    <col min="8452" max="8452" width="11.28515625" style="1456" customWidth="1"/>
    <col min="8453" max="8455" width="0" style="1456" hidden="1" customWidth="1"/>
    <col min="8456" max="8704" width="9.140625" style="1456"/>
    <col min="8705" max="8705" width="45.140625" style="1456" customWidth="1"/>
    <col min="8706" max="8706" width="14.140625" style="1456" customWidth="1"/>
    <col min="8707" max="8707" width="12.85546875" style="1456" customWidth="1"/>
    <col min="8708" max="8708" width="11.28515625" style="1456" customWidth="1"/>
    <col min="8709" max="8711" width="0" style="1456" hidden="1" customWidth="1"/>
    <col min="8712" max="8960" width="9.140625" style="1456"/>
    <col min="8961" max="8961" width="45.140625" style="1456" customWidth="1"/>
    <col min="8962" max="8962" width="14.140625" style="1456" customWidth="1"/>
    <col min="8963" max="8963" width="12.85546875" style="1456" customWidth="1"/>
    <col min="8964" max="8964" width="11.28515625" style="1456" customWidth="1"/>
    <col min="8965" max="8967" width="0" style="1456" hidden="1" customWidth="1"/>
    <col min="8968" max="9216" width="9.140625" style="1456"/>
    <col min="9217" max="9217" width="45.140625" style="1456" customWidth="1"/>
    <col min="9218" max="9218" width="14.140625" style="1456" customWidth="1"/>
    <col min="9219" max="9219" width="12.85546875" style="1456" customWidth="1"/>
    <col min="9220" max="9220" width="11.28515625" style="1456" customWidth="1"/>
    <col min="9221" max="9223" width="0" style="1456" hidden="1" customWidth="1"/>
    <col min="9224" max="9472" width="9.140625" style="1456"/>
    <col min="9473" max="9473" width="45.140625" style="1456" customWidth="1"/>
    <col min="9474" max="9474" width="14.140625" style="1456" customWidth="1"/>
    <col min="9475" max="9475" width="12.85546875" style="1456" customWidth="1"/>
    <col min="9476" max="9476" width="11.28515625" style="1456" customWidth="1"/>
    <col min="9477" max="9479" width="0" style="1456" hidden="1" customWidth="1"/>
    <col min="9480" max="9728" width="9.140625" style="1456"/>
    <col min="9729" max="9729" width="45.140625" style="1456" customWidth="1"/>
    <col min="9730" max="9730" width="14.140625" style="1456" customWidth="1"/>
    <col min="9731" max="9731" width="12.85546875" style="1456" customWidth="1"/>
    <col min="9732" max="9732" width="11.28515625" style="1456" customWidth="1"/>
    <col min="9733" max="9735" width="0" style="1456" hidden="1" customWidth="1"/>
    <col min="9736" max="9984" width="9.140625" style="1456"/>
    <col min="9985" max="9985" width="45.140625" style="1456" customWidth="1"/>
    <col min="9986" max="9986" width="14.140625" style="1456" customWidth="1"/>
    <col min="9987" max="9987" width="12.85546875" style="1456" customWidth="1"/>
    <col min="9988" max="9988" width="11.28515625" style="1456" customWidth="1"/>
    <col min="9989" max="9991" width="0" style="1456" hidden="1" customWidth="1"/>
    <col min="9992" max="10240" width="9.140625" style="1456"/>
    <col min="10241" max="10241" width="45.140625" style="1456" customWidth="1"/>
    <col min="10242" max="10242" width="14.140625" style="1456" customWidth="1"/>
    <col min="10243" max="10243" width="12.85546875" style="1456" customWidth="1"/>
    <col min="10244" max="10244" width="11.28515625" style="1456" customWidth="1"/>
    <col min="10245" max="10247" width="0" style="1456" hidden="1" customWidth="1"/>
    <col min="10248" max="10496" width="9.140625" style="1456"/>
    <col min="10497" max="10497" width="45.140625" style="1456" customWidth="1"/>
    <col min="10498" max="10498" width="14.140625" style="1456" customWidth="1"/>
    <col min="10499" max="10499" width="12.85546875" style="1456" customWidth="1"/>
    <col min="10500" max="10500" width="11.28515625" style="1456" customWidth="1"/>
    <col min="10501" max="10503" width="0" style="1456" hidden="1" customWidth="1"/>
    <col min="10504" max="10752" width="9.140625" style="1456"/>
    <col min="10753" max="10753" width="45.140625" style="1456" customWidth="1"/>
    <col min="10754" max="10754" width="14.140625" style="1456" customWidth="1"/>
    <col min="10755" max="10755" width="12.85546875" style="1456" customWidth="1"/>
    <col min="10756" max="10756" width="11.28515625" style="1456" customWidth="1"/>
    <col min="10757" max="10759" width="0" style="1456" hidden="1" customWidth="1"/>
    <col min="10760" max="11008" width="9.140625" style="1456"/>
    <col min="11009" max="11009" width="45.140625" style="1456" customWidth="1"/>
    <col min="11010" max="11010" width="14.140625" style="1456" customWidth="1"/>
    <col min="11011" max="11011" width="12.85546875" style="1456" customWidth="1"/>
    <col min="11012" max="11012" width="11.28515625" style="1456" customWidth="1"/>
    <col min="11013" max="11015" width="0" style="1456" hidden="1" customWidth="1"/>
    <col min="11016" max="11264" width="9.140625" style="1456"/>
    <col min="11265" max="11265" width="45.140625" style="1456" customWidth="1"/>
    <col min="11266" max="11266" width="14.140625" style="1456" customWidth="1"/>
    <col min="11267" max="11267" width="12.85546875" style="1456" customWidth="1"/>
    <col min="11268" max="11268" width="11.28515625" style="1456" customWidth="1"/>
    <col min="11269" max="11271" width="0" style="1456" hidden="1" customWidth="1"/>
    <col min="11272" max="11520" width="9.140625" style="1456"/>
    <col min="11521" max="11521" width="45.140625" style="1456" customWidth="1"/>
    <col min="11522" max="11522" width="14.140625" style="1456" customWidth="1"/>
    <col min="11523" max="11523" width="12.85546875" style="1456" customWidth="1"/>
    <col min="11524" max="11524" width="11.28515625" style="1456" customWidth="1"/>
    <col min="11525" max="11527" width="0" style="1456" hidden="1" customWidth="1"/>
    <col min="11528" max="11776" width="9.140625" style="1456"/>
    <col min="11777" max="11777" width="45.140625" style="1456" customWidth="1"/>
    <col min="11778" max="11778" width="14.140625" style="1456" customWidth="1"/>
    <col min="11779" max="11779" width="12.85546875" style="1456" customWidth="1"/>
    <col min="11780" max="11780" width="11.28515625" style="1456" customWidth="1"/>
    <col min="11781" max="11783" width="0" style="1456" hidden="1" customWidth="1"/>
    <col min="11784" max="12032" width="9.140625" style="1456"/>
    <col min="12033" max="12033" width="45.140625" style="1456" customWidth="1"/>
    <col min="12034" max="12034" width="14.140625" style="1456" customWidth="1"/>
    <col min="12035" max="12035" width="12.85546875" style="1456" customWidth="1"/>
    <col min="12036" max="12036" width="11.28515625" style="1456" customWidth="1"/>
    <col min="12037" max="12039" width="0" style="1456" hidden="1" customWidth="1"/>
    <col min="12040" max="12288" width="9.140625" style="1456"/>
    <col min="12289" max="12289" width="45.140625" style="1456" customWidth="1"/>
    <col min="12290" max="12290" width="14.140625" style="1456" customWidth="1"/>
    <col min="12291" max="12291" width="12.85546875" style="1456" customWidth="1"/>
    <col min="12292" max="12292" width="11.28515625" style="1456" customWidth="1"/>
    <col min="12293" max="12295" width="0" style="1456" hidden="1" customWidth="1"/>
    <col min="12296" max="12544" width="9.140625" style="1456"/>
    <col min="12545" max="12545" width="45.140625" style="1456" customWidth="1"/>
    <col min="12546" max="12546" width="14.140625" style="1456" customWidth="1"/>
    <col min="12547" max="12547" width="12.85546875" style="1456" customWidth="1"/>
    <col min="12548" max="12548" width="11.28515625" style="1456" customWidth="1"/>
    <col min="12549" max="12551" width="0" style="1456" hidden="1" customWidth="1"/>
    <col min="12552" max="12800" width="9.140625" style="1456"/>
    <col min="12801" max="12801" width="45.140625" style="1456" customWidth="1"/>
    <col min="12802" max="12802" width="14.140625" style="1456" customWidth="1"/>
    <col min="12803" max="12803" width="12.85546875" style="1456" customWidth="1"/>
    <col min="12804" max="12804" width="11.28515625" style="1456" customWidth="1"/>
    <col min="12805" max="12807" width="0" style="1456" hidden="1" customWidth="1"/>
    <col min="12808" max="13056" width="9.140625" style="1456"/>
    <col min="13057" max="13057" width="45.140625" style="1456" customWidth="1"/>
    <col min="13058" max="13058" width="14.140625" style="1456" customWidth="1"/>
    <col min="13059" max="13059" width="12.85546875" style="1456" customWidth="1"/>
    <col min="13060" max="13060" width="11.28515625" style="1456" customWidth="1"/>
    <col min="13061" max="13063" width="0" style="1456" hidden="1" customWidth="1"/>
    <col min="13064" max="13312" width="9.140625" style="1456"/>
    <col min="13313" max="13313" width="45.140625" style="1456" customWidth="1"/>
    <col min="13314" max="13314" width="14.140625" style="1456" customWidth="1"/>
    <col min="13315" max="13315" width="12.85546875" style="1456" customWidth="1"/>
    <col min="13316" max="13316" width="11.28515625" style="1456" customWidth="1"/>
    <col min="13317" max="13319" width="0" style="1456" hidden="1" customWidth="1"/>
    <col min="13320" max="13568" width="9.140625" style="1456"/>
    <col min="13569" max="13569" width="45.140625" style="1456" customWidth="1"/>
    <col min="13570" max="13570" width="14.140625" style="1456" customWidth="1"/>
    <col min="13571" max="13571" width="12.85546875" style="1456" customWidth="1"/>
    <col min="13572" max="13572" width="11.28515625" style="1456" customWidth="1"/>
    <col min="13573" max="13575" width="0" style="1456" hidden="1" customWidth="1"/>
    <col min="13576" max="13824" width="9.140625" style="1456"/>
    <col min="13825" max="13825" width="45.140625" style="1456" customWidth="1"/>
    <col min="13826" max="13826" width="14.140625" style="1456" customWidth="1"/>
    <col min="13827" max="13827" width="12.85546875" style="1456" customWidth="1"/>
    <col min="13828" max="13828" width="11.28515625" style="1456" customWidth="1"/>
    <col min="13829" max="13831" width="0" style="1456" hidden="1" customWidth="1"/>
    <col min="13832" max="14080" width="9.140625" style="1456"/>
    <col min="14081" max="14081" width="45.140625" style="1456" customWidth="1"/>
    <col min="14082" max="14082" width="14.140625" style="1456" customWidth="1"/>
    <col min="14083" max="14083" width="12.85546875" style="1456" customWidth="1"/>
    <col min="14084" max="14084" width="11.28515625" style="1456" customWidth="1"/>
    <col min="14085" max="14087" width="0" style="1456" hidden="1" customWidth="1"/>
    <col min="14088" max="14336" width="9.140625" style="1456"/>
    <col min="14337" max="14337" width="45.140625" style="1456" customWidth="1"/>
    <col min="14338" max="14338" width="14.140625" style="1456" customWidth="1"/>
    <col min="14339" max="14339" width="12.85546875" style="1456" customWidth="1"/>
    <col min="14340" max="14340" width="11.28515625" style="1456" customWidth="1"/>
    <col min="14341" max="14343" width="0" style="1456" hidden="1" customWidth="1"/>
    <col min="14344" max="14592" width="9.140625" style="1456"/>
    <col min="14593" max="14593" width="45.140625" style="1456" customWidth="1"/>
    <col min="14594" max="14594" width="14.140625" style="1456" customWidth="1"/>
    <col min="14595" max="14595" width="12.85546875" style="1456" customWidth="1"/>
    <col min="14596" max="14596" width="11.28515625" style="1456" customWidth="1"/>
    <col min="14597" max="14599" width="0" style="1456" hidden="1" customWidth="1"/>
    <col min="14600" max="14848" width="9.140625" style="1456"/>
    <col min="14849" max="14849" width="45.140625" style="1456" customWidth="1"/>
    <col min="14850" max="14850" width="14.140625" style="1456" customWidth="1"/>
    <col min="14851" max="14851" width="12.85546875" style="1456" customWidth="1"/>
    <col min="14852" max="14852" width="11.28515625" style="1456" customWidth="1"/>
    <col min="14853" max="14855" width="0" style="1456" hidden="1" customWidth="1"/>
    <col min="14856" max="15104" width="9.140625" style="1456"/>
    <col min="15105" max="15105" width="45.140625" style="1456" customWidth="1"/>
    <col min="15106" max="15106" width="14.140625" style="1456" customWidth="1"/>
    <col min="15107" max="15107" width="12.85546875" style="1456" customWidth="1"/>
    <col min="15108" max="15108" width="11.28515625" style="1456" customWidth="1"/>
    <col min="15109" max="15111" width="0" style="1456" hidden="1" customWidth="1"/>
    <col min="15112" max="15360" width="9.140625" style="1456"/>
    <col min="15361" max="15361" width="45.140625" style="1456" customWidth="1"/>
    <col min="15362" max="15362" width="14.140625" style="1456" customWidth="1"/>
    <col min="15363" max="15363" width="12.85546875" style="1456" customWidth="1"/>
    <col min="15364" max="15364" width="11.28515625" style="1456" customWidth="1"/>
    <col min="15365" max="15367" width="0" style="1456" hidden="1" customWidth="1"/>
    <col min="15368" max="15616" width="9.140625" style="1456"/>
    <col min="15617" max="15617" width="45.140625" style="1456" customWidth="1"/>
    <col min="15618" max="15618" width="14.140625" style="1456" customWidth="1"/>
    <col min="15619" max="15619" width="12.85546875" style="1456" customWidth="1"/>
    <col min="15620" max="15620" width="11.28515625" style="1456" customWidth="1"/>
    <col min="15621" max="15623" width="0" style="1456" hidden="1" customWidth="1"/>
    <col min="15624" max="15872" width="9.140625" style="1456"/>
    <col min="15873" max="15873" width="45.140625" style="1456" customWidth="1"/>
    <col min="15874" max="15874" width="14.140625" style="1456" customWidth="1"/>
    <col min="15875" max="15875" width="12.85546875" style="1456" customWidth="1"/>
    <col min="15876" max="15876" width="11.28515625" style="1456" customWidth="1"/>
    <col min="15877" max="15879" width="0" style="1456" hidden="1" customWidth="1"/>
    <col min="15880" max="16128" width="9.140625" style="1456"/>
    <col min="16129" max="16129" width="45.140625" style="1456" customWidth="1"/>
    <col min="16130" max="16130" width="14.140625" style="1456" customWidth="1"/>
    <col min="16131" max="16131" width="12.85546875" style="1456" customWidth="1"/>
    <col min="16132" max="16132" width="11.28515625" style="1456" customWidth="1"/>
    <col min="16133" max="16135" width="0" style="1456" hidden="1" customWidth="1"/>
    <col min="16136" max="16384" width="9.140625" style="1456"/>
  </cols>
  <sheetData>
    <row r="1" spans="1:17">
      <c r="A1" s="1880" t="s">
        <v>1253</v>
      </c>
      <c r="B1" s="1881"/>
      <c r="C1" s="1881"/>
      <c r="D1" s="1881"/>
      <c r="E1" s="1881"/>
      <c r="F1" s="1881"/>
      <c r="G1" s="1881"/>
    </row>
    <row r="2" spans="1:17">
      <c r="A2" s="1882" t="s">
        <v>1124</v>
      </c>
      <c r="B2" s="1883"/>
      <c r="C2" s="1883"/>
      <c r="D2" s="1883"/>
      <c r="E2" s="1883"/>
      <c r="F2" s="1883"/>
      <c r="G2" s="1883"/>
    </row>
    <row r="3" spans="1:17">
      <c r="A3" s="1457"/>
      <c r="B3" s="1458"/>
      <c r="C3" s="1458"/>
      <c r="D3" s="1458"/>
      <c r="E3" s="1459"/>
      <c r="F3" s="1459"/>
      <c r="G3" s="1459"/>
    </row>
    <row r="4" spans="1:17" ht="15.75" thickBot="1">
      <c r="A4" s="1457"/>
      <c r="B4" s="1458"/>
      <c r="C4" s="1884" t="s">
        <v>1134</v>
      </c>
      <c r="D4" s="1884"/>
      <c r="E4" s="1459"/>
      <c r="F4" s="1459"/>
      <c r="G4" s="1459"/>
    </row>
    <row r="5" spans="1:17">
      <c r="A5" s="1885" t="s">
        <v>1125</v>
      </c>
      <c r="B5" s="1460" t="s">
        <v>1126</v>
      </c>
      <c r="C5" s="1887" t="s">
        <v>896</v>
      </c>
      <c r="D5" s="1888"/>
      <c r="E5" s="1461"/>
      <c r="F5" s="1461"/>
      <c r="G5" s="1461"/>
    </row>
    <row r="6" spans="1:17" ht="30" thickBot="1">
      <c r="A6" s="1886"/>
      <c r="B6" s="1462" t="s">
        <v>1127</v>
      </c>
      <c r="C6" s="1463" t="s">
        <v>1128</v>
      </c>
      <c r="D6" s="1464" t="s">
        <v>1129</v>
      </c>
      <c r="E6" s="1461"/>
      <c r="F6" s="1461"/>
      <c r="G6" s="1461"/>
    </row>
    <row r="7" spans="1:17">
      <c r="A7" s="1465" t="s">
        <v>895</v>
      </c>
      <c r="B7" s="1466">
        <f>'1.1 Összesítő'!D123</f>
        <v>14382509</v>
      </c>
      <c r="C7" s="1467"/>
      <c r="D7" s="1468"/>
      <c r="E7" s="1461"/>
      <c r="F7" s="1461"/>
      <c r="G7" s="1461"/>
    </row>
    <row r="8" spans="1:17" ht="15.95" customHeight="1">
      <c r="A8" s="1469" t="s">
        <v>1130</v>
      </c>
      <c r="B8" s="1470"/>
      <c r="C8" s="1471"/>
      <c r="D8" s="1472">
        <v>23529290</v>
      </c>
      <c r="E8" s="1473"/>
      <c r="F8" s="1473"/>
      <c r="G8" s="1473"/>
      <c r="M8" s="1878"/>
      <c r="N8" s="1878"/>
      <c r="O8" s="1878"/>
      <c r="P8" s="1878"/>
      <c r="Q8" s="1878"/>
    </row>
    <row r="9" spans="1:17" s="1477" customFormat="1" ht="15.95" customHeight="1">
      <c r="A9" s="1474" t="s">
        <v>1132</v>
      </c>
      <c r="B9" s="1475"/>
      <c r="C9" s="1476"/>
      <c r="D9" s="1472">
        <v>4596074</v>
      </c>
      <c r="E9" s="1461"/>
      <c r="F9" s="1461"/>
      <c r="G9" s="1461"/>
      <c r="M9" s="1878"/>
      <c r="N9" s="1878"/>
      <c r="O9" s="1878"/>
      <c r="P9" s="1878"/>
      <c r="Q9" s="1878"/>
    </row>
    <row r="10" spans="1:17" ht="15.95" customHeight="1">
      <c r="A10" s="1474" t="s">
        <v>1131</v>
      </c>
      <c r="B10" s="1470"/>
      <c r="C10" s="1471"/>
      <c r="D10" s="1472">
        <v>5800672</v>
      </c>
      <c r="E10" s="1473"/>
      <c r="F10" s="1473"/>
      <c r="G10" s="1473"/>
      <c r="M10" s="1878"/>
      <c r="N10" s="1878"/>
      <c r="O10" s="1878"/>
      <c r="P10" s="1878"/>
      <c r="Q10" s="1878"/>
    </row>
    <row r="11" spans="1:17" ht="15.75">
      <c r="A11" s="1474" t="s">
        <v>1135</v>
      </c>
      <c r="B11" s="1479"/>
      <c r="C11" s="1480"/>
      <c r="D11" s="1481">
        <v>6944974</v>
      </c>
      <c r="E11" s="1482">
        <v>0</v>
      </c>
      <c r="F11" s="1483">
        <v>0</v>
      </c>
      <c r="G11" s="1483">
        <v>0</v>
      </c>
      <c r="M11" s="1878"/>
      <c r="N11" s="1878"/>
      <c r="O11" s="1878"/>
      <c r="P11" s="1878"/>
      <c r="Q11" s="1878"/>
    </row>
    <row r="12" spans="1:17" ht="15.75">
      <c r="A12" s="1478" t="s">
        <v>1140</v>
      </c>
      <c r="B12" s="1479"/>
      <c r="C12" s="1516"/>
      <c r="D12" s="1517">
        <v>5199940</v>
      </c>
      <c r="E12" s="1488"/>
      <c r="F12" s="1489"/>
      <c r="G12" s="1489"/>
      <c r="M12" s="1878"/>
      <c r="N12" s="1878"/>
      <c r="O12" s="1878"/>
      <c r="P12" s="1878"/>
      <c r="Q12" s="1878"/>
    </row>
    <row r="13" spans="1:17" s="1491" customFormat="1" ht="15.75">
      <c r="A13" s="1518" t="s">
        <v>1139</v>
      </c>
      <c r="B13" s="1519"/>
      <c r="C13" s="1520"/>
      <c r="D13" s="1521">
        <v>15400159</v>
      </c>
      <c r="E13" s="1490"/>
      <c r="F13" s="1490"/>
      <c r="G13" s="1490"/>
      <c r="M13" s="1878"/>
      <c r="N13" s="1878"/>
      <c r="O13" s="1878"/>
      <c r="P13" s="1878"/>
      <c r="Q13" s="1878"/>
    </row>
    <row r="14" spans="1:17" ht="15.75">
      <c r="A14" s="1478" t="s">
        <v>1138</v>
      </c>
      <c r="B14" s="1479"/>
      <c r="C14" s="1516"/>
      <c r="D14" s="1517">
        <v>5000000</v>
      </c>
      <c r="E14" s="1488"/>
      <c r="F14" s="1489"/>
      <c r="G14" s="1489"/>
      <c r="M14" s="1878"/>
      <c r="N14" s="1878"/>
      <c r="O14" s="1878"/>
      <c r="P14" s="1878"/>
      <c r="Q14" s="1878"/>
    </row>
    <row r="15" spans="1:17" ht="15.75">
      <c r="A15" s="1518" t="s">
        <v>1137</v>
      </c>
      <c r="B15" s="1479"/>
      <c r="C15" s="1480"/>
      <c r="D15" s="1481">
        <v>1545590</v>
      </c>
      <c r="E15" s="1492">
        <v>0</v>
      </c>
      <c r="F15" s="1493">
        <v>0</v>
      </c>
      <c r="G15" s="1493">
        <v>0</v>
      </c>
      <c r="M15" s="1878"/>
      <c r="N15" s="1878"/>
      <c r="O15" s="1878"/>
      <c r="P15" s="1878"/>
      <c r="Q15" s="1878"/>
    </row>
    <row r="16" spans="1:17" ht="15.75">
      <c r="A16" s="1484"/>
      <c r="B16" s="1494"/>
      <c r="C16" s="1486"/>
      <c r="D16" s="1487"/>
      <c r="E16" s="1488"/>
      <c r="F16" s="1489"/>
      <c r="G16" s="1489"/>
      <c r="M16" s="1878"/>
      <c r="N16" s="1878"/>
      <c r="O16" s="1878"/>
      <c r="P16" s="1878"/>
      <c r="Q16" s="1878"/>
    </row>
    <row r="17" spans="1:17" ht="15.75">
      <c r="A17" s="1484"/>
      <c r="B17" s="1494"/>
      <c r="C17" s="1486"/>
      <c r="D17" s="1487"/>
      <c r="E17" s="1488"/>
      <c r="F17" s="1489"/>
      <c r="G17" s="1489"/>
      <c r="M17" s="1878"/>
      <c r="N17" s="1878"/>
      <c r="O17" s="1878"/>
      <c r="P17" s="1878"/>
      <c r="Q17" s="1878"/>
    </row>
    <row r="18" spans="1:17" ht="15.75">
      <c r="A18" s="1484"/>
      <c r="B18" s="1494"/>
      <c r="C18" s="1486"/>
      <c r="D18" s="1487"/>
      <c r="E18" s="1488"/>
      <c r="F18" s="1489"/>
      <c r="G18" s="1489"/>
      <c r="M18" s="1878"/>
      <c r="N18" s="1878"/>
      <c r="O18" s="1878"/>
      <c r="P18" s="1878"/>
      <c r="Q18" s="1878"/>
    </row>
    <row r="19" spans="1:17" ht="15.75">
      <c r="A19" s="1484"/>
      <c r="B19" s="1494"/>
      <c r="C19" s="1486"/>
      <c r="D19" s="1487"/>
      <c r="E19" s="1488"/>
      <c r="F19" s="1489"/>
      <c r="G19" s="1489"/>
      <c r="M19" s="1878"/>
      <c r="N19" s="1878"/>
      <c r="O19" s="1878"/>
      <c r="P19" s="1878"/>
      <c r="Q19" s="1878"/>
    </row>
    <row r="20" spans="1:17" ht="15.75">
      <c r="A20" s="1484"/>
      <c r="B20" s="1494"/>
      <c r="C20" s="1486"/>
      <c r="D20" s="1487"/>
      <c r="E20" s="1488"/>
      <c r="F20" s="1489"/>
      <c r="G20" s="1489"/>
      <c r="M20" s="1878"/>
      <c r="N20" s="1878"/>
      <c r="O20" s="1878"/>
      <c r="P20" s="1878"/>
      <c r="Q20" s="1878"/>
    </row>
    <row r="21" spans="1:17" ht="15.75">
      <c r="A21" s="1484"/>
      <c r="B21" s="1494"/>
      <c r="C21" s="1486"/>
      <c r="D21" s="1487"/>
      <c r="E21" s="1488"/>
      <c r="F21" s="1489"/>
      <c r="G21" s="1489"/>
      <c r="M21" s="1878"/>
      <c r="N21" s="1878"/>
      <c r="O21" s="1878"/>
      <c r="P21" s="1878"/>
      <c r="Q21" s="1878"/>
    </row>
    <row r="22" spans="1:17" ht="15.75">
      <c r="A22" s="1484"/>
      <c r="B22" s="1494"/>
      <c r="C22" s="1486"/>
      <c r="D22" s="1487"/>
      <c r="E22" s="1488"/>
      <c r="F22" s="1489"/>
      <c r="G22" s="1489"/>
    </row>
    <row r="23" spans="1:17" ht="15.75">
      <c r="A23" s="1484"/>
      <c r="B23" s="1494"/>
      <c r="C23" s="1486"/>
      <c r="D23" s="1487"/>
      <c r="E23" s="1488"/>
      <c r="F23" s="1489"/>
      <c r="G23" s="1489"/>
    </row>
    <row r="24" spans="1:17" ht="15.75">
      <c r="A24" s="1484"/>
      <c r="B24" s="1485"/>
      <c r="C24" s="1495"/>
      <c r="D24" s="1496"/>
      <c r="E24" s="1482"/>
      <c r="F24" s="1483"/>
      <c r="G24" s="1483"/>
    </row>
    <row r="25" spans="1:17" ht="15.75">
      <c r="A25" s="1497"/>
      <c r="B25" s="1498"/>
      <c r="C25" s="1499"/>
      <c r="D25" s="1500"/>
      <c r="E25" s="1501"/>
      <c r="F25" s="1502"/>
      <c r="G25" s="1502"/>
    </row>
    <row r="26" spans="1:17" ht="15.75">
      <c r="A26" s="1503"/>
      <c r="B26" s="1485"/>
      <c r="C26" s="1495"/>
      <c r="D26" s="1496"/>
      <c r="E26" s="1504"/>
      <c r="F26" s="1505"/>
      <c r="G26" s="1505"/>
    </row>
    <row r="27" spans="1:17" ht="15.75">
      <c r="A27" s="1503"/>
      <c r="B27" s="1485"/>
      <c r="C27" s="1495"/>
      <c r="D27" s="1496"/>
      <c r="E27" s="1504"/>
      <c r="F27" s="1505"/>
      <c r="G27" s="1505"/>
    </row>
    <row r="28" spans="1:17" ht="15.75">
      <c r="A28" s="1497"/>
      <c r="B28" s="1498"/>
      <c r="C28" s="1499"/>
      <c r="D28" s="1500"/>
      <c r="E28" s="1504"/>
      <c r="F28" s="1505"/>
      <c r="G28" s="1505"/>
    </row>
    <row r="29" spans="1:17" ht="15.75">
      <c r="A29" s="1503"/>
      <c r="B29" s="1485"/>
      <c r="C29" s="1495"/>
      <c r="D29" s="1496"/>
      <c r="E29" s="1504"/>
      <c r="F29" s="1505"/>
      <c r="G29" s="1505"/>
    </row>
    <row r="30" spans="1:17" ht="15.75">
      <c r="A30" s="1497"/>
      <c r="B30" s="1498"/>
      <c r="C30" s="1499"/>
      <c r="D30" s="1500"/>
      <c r="E30" s="1504"/>
      <c r="F30" s="1505"/>
      <c r="G30" s="1505"/>
    </row>
    <row r="31" spans="1:17" ht="16.5" thickBot="1">
      <c r="A31" s="1503"/>
      <c r="B31" s="1506"/>
      <c r="C31" s="1507"/>
      <c r="D31" s="1508"/>
      <c r="E31" s="1504"/>
      <c r="F31" s="1505"/>
      <c r="G31" s="1505"/>
    </row>
    <row r="32" spans="1:17" ht="16.5" thickBot="1">
      <c r="A32" s="1509" t="s">
        <v>1133</v>
      </c>
      <c r="B32" s="1510">
        <f>SUM(B30+B25+B15+B13+B11+B9+B7+B28)</f>
        <v>14382509</v>
      </c>
      <c r="C32" s="1511">
        <f>SUM(C30+C25+C15+C13+C11+C9+C7+C28)</f>
        <v>0</v>
      </c>
      <c r="D32" s="1512">
        <f>SUM(D7:D31)</f>
        <v>68016699</v>
      </c>
      <c r="E32" s="1513" t="e">
        <v>#REF!</v>
      </c>
      <c r="F32" s="1514" t="e">
        <v>#REF!</v>
      </c>
      <c r="G32" s="1514" t="e">
        <v>#REF!</v>
      </c>
    </row>
    <row r="33" spans="1:4" ht="30" customHeight="1">
      <c r="A33" s="1879"/>
      <c r="B33" s="1879"/>
      <c r="C33" s="1879"/>
      <c r="D33" s="1879"/>
    </row>
  </sheetData>
  <sheetProtection selectLockedCells="1" selectUnlockedCells="1"/>
  <mergeCells count="7">
    <mergeCell ref="M8:Q21"/>
    <mergeCell ref="A33:D33"/>
    <mergeCell ref="A1:G1"/>
    <mergeCell ref="A2:G2"/>
    <mergeCell ref="C4:D4"/>
    <mergeCell ref="A5:A6"/>
    <mergeCell ref="C5:D5"/>
  </mergeCells>
  <pageMargins left="0.7" right="0.7" top="0.75" bottom="0.75" header="0.3" footer="0.3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H68"/>
  <sheetViews>
    <sheetView view="pageBreakPreview" topLeftCell="A2" zoomScaleNormal="100" zoomScaleSheetLayoutView="100" workbookViewId="0">
      <selection activeCell="Q16" sqref="Q16"/>
    </sheetView>
  </sheetViews>
  <sheetFormatPr defaultRowHeight="12.75"/>
  <cols>
    <col min="1" max="1" width="4.7109375" style="1548" customWidth="1"/>
    <col min="2" max="2" width="28.42578125" style="1548" customWidth="1"/>
    <col min="3" max="3" width="10.5703125" style="1548" customWidth="1"/>
    <col min="4" max="4" width="9.85546875" style="1548" customWidth="1"/>
    <col min="5" max="5" width="9.7109375" style="1548" customWidth="1"/>
    <col min="6" max="6" width="9.42578125" style="1548" customWidth="1"/>
    <col min="7" max="7" width="12.28515625" style="1548" customWidth="1"/>
    <col min="8" max="8" width="9.140625" style="1548"/>
    <col min="9" max="256" width="9.140625" style="1523"/>
    <col min="257" max="257" width="4.7109375" style="1523" customWidth="1"/>
    <col min="258" max="258" width="28.42578125" style="1523" customWidth="1"/>
    <col min="259" max="259" width="10.5703125" style="1523" customWidth="1"/>
    <col min="260" max="260" width="9.85546875" style="1523" customWidth="1"/>
    <col min="261" max="261" width="9.7109375" style="1523" customWidth="1"/>
    <col min="262" max="262" width="9.42578125" style="1523" customWidth="1"/>
    <col min="263" max="263" width="12.28515625" style="1523" customWidth="1"/>
    <col min="264" max="512" width="9.140625" style="1523"/>
    <col min="513" max="513" width="4.7109375" style="1523" customWidth="1"/>
    <col min="514" max="514" width="28.42578125" style="1523" customWidth="1"/>
    <col min="515" max="515" width="10.5703125" style="1523" customWidth="1"/>
    <col min="516" max="516" width="9.85546875" style="1523" customWidth="1"/>
    <col min="517" max="517" width="9.7109375" style="1523" customWidth="1"/>
    <col min="518" max="518" width="9.42578125" style="1523" customWidth="1"/>
    <col min="519" max="519" width="12.28515625" style="1523" customWidth="1"/>
    <col min="520" max="768" width="9.140625" style="1523"/>
    <col min="769" max="769" width="4.7109375" style="1523" customWidth="1"/>
    <col min="770" max="770" width="28.42578125" style="1523" customWidth="1"/>
    <col min="771" max="771" width="10.5703125" style="1523" customWidth="1"/>
    <col min="772" max="772" width="9.85546875" style="1523" customWidth="1"/>
    <col min="773" max="773" width="9.7109375" style="1523" customWidth="1"/>
    <col min="774" max="774" width="9.42578125" style="1523" customWidth="1"/>
    <col min="775" max="775" width="12.28515625" style="1523" customWidth="1"/>
    <col min="776" max="1024" width="9.140625" style="1523"/>
    <col min="1025" max="1025" width="4.7109375" style="1523" customWidth="1"/>
    <col min="1026" max="1026" width="28.42578125" style="1523" customWidth="1"/>
    <col min="1027" max="1027" width="10.5703125" style="1523" customWidth="1"/>
    <col min="1028" max="1028" width="9.85546875" style="1523" customWidth="1"/>
    <col min="1029" max="1029" width="9.7109375" style="1523" customWidth="1"/>
    <col min="1030" max="1030" width="9.42578125" style="1523" customWidth="1"/>
    <col min="1031" max="1031" width="12.28515625" style="1523" customWidth="1"/>
    <col min="1032" max="1280" width="9.140625" style="1523"/>
    <col min="1281" max="1281" width="4.7109375" style="1523" customWidth="1"/>
    <col min="1282" max="1282" width="28.42578125" style="1523" customWidth="1"/>
    <col min="1283" max="1283" width="10.5703125" style="1523" customWidth="1"/>
    <col min="1284" max="1284" width="9.85546875" style="1523" customWidth="1"/>
    <col min="1285" max="1285" width="9.7109375" style="1523" customWidth="1"/>
    <col min="1286" max="1286" width="9.42578125" style="1523" customWidth="1"/>
    <col min="1287" max="1287" width="12.28515625" style="1523" customWidth="1"/>
    <col min="1288" max="1536" width="9.140625" style="1523"/>
    <col min="1537" max="1537" width="4.7109375" style="1523" customWidth="1"/>
    <col min="1538" max="1538" width="28.42578125" style="1523" customWidth="1"/>
    <col min="1539" max="1539" width="10.5703125" style="1523" customWidth="1"/>
    <col min="1540" max="1540" width="9.85546875" style="1523" customWidth="1"/>
    <col min="1541" max="1541" width="9.7109375" style="1523" customWidth="1"/>
    <col min="1542" max="1542" width="9.42578125" style="1523" customWidth="1"/>
    <col min="1543" max="1543" width="12.28515625" style="1523" customWidth="1"/>
    <col min="1544" max="1792" width="9.140625" style="1523"/>
    <col min="1793" max="1793" width="4.7109375" style="1523" customWidth="1"/>
    <col min="1794" max="1794" width="28.42578125" style="1523" customWidth="1"/>
    <col min="1795" max="1795" width="10.5703125" style="1523" customWidth="1"/>
    <col min="1796" max="1796" width="9.85546875" style="1523" customWidth="1"/>
    <col min="1797" max="1797" width="9.7109375" style="1523" customWidth="1"/>
    <col min="1798" max="1798" width="9.42578125" style="1523" customWidth="1"/>
    <col min="1799" max="1799" width="12.28515625" style="1523" customWidth="1"/>
    <col min="1800" max="2048" width="9.140625" style="1523"/>
    <col min="2049" max="2049" width="4.7109375" style="1523" customWidth="1"/>
    <col min="2050" max="2050" width="28.42578125" style="1523" customWidth="1"/>
    <col min="2051" max="2051" width="10.5703125" style="1523" customWidth="1"/>
    <col min="2052" max="2052" width="9.85546875" style="1523" customWidth="1"/>
    <col min="2053" max="2053" width="9.7109375" style="1523" customWidth="1"/>
    <col min="2054" max="2054" width="9.42578125" style="1523" customWidth="1"/>
    <col min="2055" max="2055" width="12.28515625" style="1523" customWidth="1"/>
    <col min="2056" max="2304" width="9.140625" style="1523"/>
    <col min="2305" max="2305" width="4.7109375" style="1523" customWidth="1"/>
    <col min="2306" max="2306" width="28.42578125" style="1523" customWidth="1"/>
    <col min="2307" max="2307" width="10.5703125" style="1523" customWidth="1"/>
    <col min="2308" max="2308" width="9.85546875" style="1523" customWidth="1"/>
    <col min="2309" max="2309" width="9.7109375" style="1523" customWidth="1"/>
    <col min="2310" max="2310" width="9.42578125" style="1523" customWidth="1"/>
    <col min="2311" max="2311" width="12.28515625" style="1523" customWidth="1"/>
    <col min="2312" max="2560" width="9.140625" style="1523"/>
    <col min="2561" max="2561" width="4.7109375" style="1523" customWidth="1"/>
    <col min="2562" max="2562" width="28.42578125" style="1523" customWidth="1"/>
    <col min="2563" max="2563" width="10.5703125" style="1523" customWidth="1"/>
    <col min="2564" max="2564" width="9.85546875" style="1523" customWidth="1"/>
    <col min="2565" max="2565" width="9.7109375" style="1523" customWidth="1"/>
    <col min="2566" max="2566" width="9.42578125" style="1523" customWidth="1"/>
    <col min="2567" max="2567" width="12.28515625" style="1523" customWidth="1"/>
    <col min="2568" max="2816" width="9.140625" style="1523"/>
    <col min="2817" max="2817" width="4.7109375" style="1523" customWidth="1"/>
    <col min="2818" max="2818" width="28.42578125" style="1523" customWidth="1"/>
    <col min="2819" max="2819" width="10.5703125" style="1523" customWidth="1"/>
    <col min="2820" max="2820" width="9.85546875" style="1523" customWidth="1"/>
    <col min="2821" max="2821" width="9.7109375" style="1523" customWidth="1"/>
    <col min="2822" max="2822" width="9.42578125" style="1523" customWidth="1"/>
    <col min="2823" max="2823" width="12.28515625" style="1523" customWidth="1"/>
    <col min="2824" max="3072" width="9.140625" style="1523"/>
    <col min="3073" max="3073" width="4.7109375" style="1523" customWidth="1"/>
    <col min="3074" max="3074" width="28.42578125" style="1523" customWidth="1"/>
    <col min="3075" max="3075" width="10.5703125" style="1523" customWidth="1"/>
    <col min="3076" max="3076" width="9.85546875" style="1523" customWidth="1"/>
    <col min="3077" max="3077" width="9.7109375" style="1523" customWidth="1"/>
    <col min="3078" max="3078" width="9.42578125" style="1523" customWidth="1"/>
    <col min="3079" max="3079" width="12.28515625" style="1523" customWidth="1"/>
    <col min="3080" max="3328" width="9.140625" style="1523"/>
    <col min="3329" max="3329" width="4.7109375" style="1523" customWidth="1"/>
    <col min="3330" max="3330" width="28.42578125" style="1523" customWidth="1"/>
    <col min="3331" max="3331" width="10.5703125" style="1523" customWidth="1"/>
    <col min="3332" max="3332" width="9.85546875" style="1523" customWidth="1"/>
    <col min="3333" max="3333" width="9.7109375" style="1523" customWidth="1"/>
    <col min="3334" max="3334" width="9.42578125" style="1523" customWidth="1"/>
    <col min="3335" max="3335" width="12.28515625" style="1523" customWidth="1"/>
    <col min="3336" max="3584" width="9.140625" style="1523"/>
    <col min="3585" max="3585" width="4.7109375" style="1523" customWidth="1"/>
    <col min="3586" max="3586" width="28.42578125" style="1523" customWidth="1"/>
    <col min="3587" max="3587" width="10.5703125" style="1523" customWidth="1"/>
    <col min="3588" max="3588" width="9.85546875" style="1523" customWidth="1"/>
    <col min="3589" max="3589" width="9.7109375" style="1523" customWidth="1"/>
    <col min="3590" max="3590" width="9.42578125" style="1523" customWidth="1"/>
    <col min="3591" max="3591" width="12.28515625" style="1523" customWidth="1"/>
    <col min="3592" max="3840" width="9.140625" style="1523"/>
    <col min="3841" max="3841" width="4.7109375" style="1523" customWidth="1"/>
    <col min="3842" max="3842" width="28.42578125" style="1523" customWidth="1"/>
    <col min="3843" max="3843" width="10.5703125" style="1523" customWidth="1"/>
    <col min="3844" max="3844" width="9.85546875" style="1523" customWidth="1"/>
    <col min="3845" max="3845" width="9.7109375" style="1523" customWidth="1"/>
    <col min="3846" max="3846" width="9.42578125" style="1523" customWidth="1"/>
    <col min="3847" max="3847" width="12.28515625" style="1523" customWidth="1"/>
    <col min="3848" max="4096" width="9.140625" style="1523"/>
    <col min="4097" max="4097" width="4.7109375" style="1523" customWidth="1"/>
    <col min="4098" max="4098" width="28.42578125" style="1523" customWidth="1"/>
    <col min="4099" max="4099" width="10.5703125" style="1523" customWidth="1"/>
    <col min="4100" max="4100" width="9.85546875" style="1523" customWidth="1"/>
    <col min="4101" max="4101" width="9.7109375" style="1523" customWidth="1"/>
    <col min="4102" max="4102" width="9.42578125" style="1523" customWidth="1"/>
    <col min="4103" max="4103" width="12.28515625" style="1523" customWidth="1"/>
    <col min="4104" max="4352" width="9.140625" style="1523"/>
    <col min="4353" max="4353" width="4.7109375" style="1523" customWidth="1"/>
    <col min="4354" max="4354" width="28.42578125" style="1523" customWidth="1"/>
    <col min="4355" max="4355" width="10.5703125" style="1523" customWidth="1"/>
    <col min="4356" max="4356" width="9.85546875" style="1523" customWidth="1"/>
    <col min="4357" max="4357" width="9.7109375" style="1523" customWidth="1"/>
    <col min="4358" max="4358" width="9.42578125" style="1523" customWidth="1"/>
    <col min="4359" max="4359" width="12.28515625" style="1523" customWidth="1"/>
    <col min="4360" max="4608" width="9.140625" style="1523"/>
    <col min="4609" max="4609" width="4.7109375" style="1523" customWidth="1"/>
    <col min="4610" max="4610" width="28.42578125" style="1523" customWidth="1"/>
    <col min="4611" max="4611" width="10.5703125" style="1523" customWidth="1"/>
    <col min="4612" max="4612" width="9.85546875" style="1523" customWidth="1"/>
    <col min="4613" max="4613" width="9.7109375" style="1523" customWidth="1"/>
    <col min="4614" max="4614" width="9.42578125" style="1523" customWidth="1"/>
    <col min="4615" max="4615" width="12.28515625" style="1523" customWidth="1"/>
    <col min="4616" max="4864" width="9.140625" style="1523"/>
    <col min="4865" max="4865" width="4.7109375" style="1523" customWidth="1"/>
    <col min="4866" max="4866" width="28.42578125" style="1523" customWidth="1"/>
    <col min="4867" max="4867" width="10.5703125" style="1523" customWidth="1"/>
    <col min="4868" max="4868" width="9.85546875" style="1523" customWidth="1"/>
    <col min="4869" max="4869" width="9.7109375" style="1523" customWidth="1"/>
    <col min="4870" max="4870" width="9.42578125" style="1523" customWidth="1"/>
    <col min="4871" max="4871" width="12.28515625" style="1523" customWidth="1"/>
    <col min="4872" max="5120" width="9.140625" style="1523"/>
    <col min="5121" max="5121" width="4.7109375" style="1523" customWidth="1"/>
    <col min="5122" max="5122" width="28.42578125" style="1523" customWidth="1"/>
    <col min="5123" max="5123" width="10.5703125" style="1523" customWidth="1"/>
    <col min="5124" max="5124" width="9.85546875" style="1523" customWidth="1"/>
    <col min="5125" max="5125" width="9.7109375" style="1523" customWidth="1"/>
    <col min="5126" max="5126" width="9.42578125" style="1523" customWidth="1"/>
    <col min="5127" max="5127" width="12.28515625" style="1523" customWidth="1"/>
    <col min="5128" max="5376" width="9.140625" style="1523"/>
    <col min="5377" max="5377" width="4.7109375" style="1523" customWidth="1"/>
    <col min="5378" max="5378" width="28.42578125" style="1523" customWidth="1"/>
    <col min="5379" max="5379" width="10.5703125" style="1523" customWidth="1"/>
    <col min="5380" max="5380" width="9.85546875" style="1523" customWidth="1"/>
    <col min="5381" max="5381" width="9.7109375" style="1523" customWidth="1"/>
    <col min="5382" max="5382" width="9.42578125" style="1523" customWidth="1"/>
    <col min="5383" max="5383" width="12.28515625" style="1523" customWidth="1"/>
    <col min="5384" max="5632" width="9.140625" style="1523"/>
    <col min="5633" max="5633" width="4.7109375" style="1523" customWidth="1"/>
    <col min="5634" max="5634" width="28.42578125" style="1523" customWidth="1"/>
    <col min="5635" max="5635" width="10.5703125" style="1523" customWidth="1"/>
    <col min="5636" max="5636" width="9.85546875" style="1523" customWidth="1"/>
    <col min="5637" max="5637" width="9.7109375" style="1523" customWidth="1"/>
    <col min="5638" max="5638" width="9.42578125" style="1523" customWidth="1"/>
    <col min="5639" max="5639" width="12.28515625" style="1523" customWidth="1"/>
    <col min="5640" max="5888" width="9.140625" style="1523"/>
    <col min="5889" max="5889" width="4.7109375" style="1523" customWidth="1"/>
    <col min="5890" max="5890" width="28.42578125" style="1523" customWidth="1"/>
    <col min="5891" max="5891" width="10.5703125" style="1523" customWidth="1"/>
    <col min="5892" max="5892" width="9.85546875" style="1523" customWidth="1"/>
    <col min="5893" max="5893" width="9.7109375" style="1523" customWidth="1"/>
    <col min="5894" max="5894" width="9.42578125" style="1523" customWidth="1"/>
    <col min="5895" max="5895" width="12.28515625" style="1523" customWidth="1"/>
    <col min="5896" max="6144" width="9.140625" style="1523"/>
    <col min="6145" max="6145" width="4.7109375" style="1523" customWidth="1"/>
    <col min="6146" max="6146" width="28.42578125" style="1523" customWidth="1"/>
    <col min="6147" max="6147" width="10.5703125" style="1523" customWidth="1"/>
    <col min="6148" max="6148" width="9.85546875" style="1523" customWidth="1"/>
    <col min="6149" max="6149" width="9.7109375" style="1523" customWidth="1"/>
    <col min="6150" max="6150" width="9.42578125" style="1523" customWidth="1"/>
    <col min="6151" max="6151" width="12.28515625" style="1523" customWidth="1"/>
    <col min="6152" max="6400" width="9.140625" style="1523"/>
    <col min="6401" max="6401" width="4.7109375" style="1523" customWidth="1"/>
    <col min="6402" max="6402" width="28.42578125" style="1523" customWidth="1"/>
    <col min="6403" max="6403" width="10.5703125" style="1523" customWidth="1"/>
    <col min="6404" max="6404" width="9.85546875" style="1523" customWidth="1"/>
    <col min="6405" max="6405" width="9.7109375" style="1523" customWidth="1"/>
    <col min="6406" max="6406" width="9.42578125" style="1523" customWidth="1"/>
    <col min="6407" max="6407" width="12.28515625" style="1523" customWidth="1"/>
    <col min="6408" max="6656" width="9.140625" style="1523"/>
    <col min="6657" max="6657" width="4.7109375" style="1523" customWidth="1"/>
    <col min="6658" max="6658" width="28.42578125" style="1523" customWidth="1"/>
    <col min="6659" max="6659" width="10.5703125" style="1523" customWidth="1"/>
    <col min="6660" max="6660" width="9.85546875" style="1523" customWidth="1"/>
    <col min="6661" max="6661" width="9.7109375" style="1523" customWidth="1"/>
    <col min="6662" max="6662" width="9.42578125" style="1523" customWidth="1"/>
    <col min="6663" max="6663" width="12.28515625" style="1523" customWidth="1"/>
    <col min="6664" max="6912" width="9.140625" style="1523"/>
    <col min="6913" max="6913" width="4.7109375" style="1523" customWidth="1"/>
    <col min="6914" max="6914" width="28.42578125" style="1523" customWidth="1"/>
    <col min="6915" max="6915" width="10.5703125" style="1523" customWidth="1"/>
    <col min="6916" max="6916" width="9.85546875" style="1523" customWidth="1"/>
    <col min="6917" max="6917" width="9.7109375" style="1523" customWidth="1"/>
    <col min="6918" max="6918" width="9.42578125" style="1523" customWidth="1"/>
    <col min="6919" max="6919" width="12.28515625" style="1523" customWidth="1"/>
    <col min="6920" max="7168" width="9.140625" style="1523"/>
    <col min="7169" max="7169" width="4.7109375" style="1523" customWidth="1"/>
    <col min="7170" max="7170" width="28.42578125" style="1523" customWidth="1"/>
    <col min="7171" max="7171" width="10.5703125" style="1523" customWidth="1"/>
    <col min="7172" max="7172" width="9.85546875" style="1523" customWidth="1"/>
    <col min="7173" max="7173" width="9.7109375" style="1523" customWidth="1"/>
    <col min="7174" max="7174" width="9.42578125" style="1523" customWidth="1"/>
    <col min="7175" max="7175" width="12.28515625" style="1523" customWidth="1"/>
    <col min="7176" max="7424" width="9.140625" style="1523"/>
    <col min="7425" max="7425" width="4.7109375" style="1523" customWidth="1"/>
    <col min="7426" max="7426" width="28.42578125" style="1523" customWidth="1"/>
    <col min="7427" max="7427" width="10.5703125" style="1523" customWidth="1"/>
    <col min="7428" max="7428" width="9.85546875" style="1523" customWidth="1"/>
    <col min="7429" max="7429" width="9.7109375" style="1523" customWidth="1"/>
    <col min="7430" max="7430" width="9.42578125" style="1523" customWidth="1"/>
    <col min="7431" max="7431" width="12.28515625" style="1523" customWidth="1"/>
    <col min="7432" max="7680" width="9.140625" style="1523"/>
    <col min="7681" max="7681" width="4.7109375" style="1523" customWidth="1"/>
    <col min="7682" max="7682" width="28.42578125" style="1523" customWidth="1"/>
    <col min="7683" max="7683" width="10.5703125" style="1523" customWidth="1"/>
    <col min="7684" max="7684" width="9.85546875" style="1523" customWidth="1"/>
    <col min="7685" max="7685" width="9.7109375" style="1523" customWidth="1"/>
    <col min="7686" max="7686" width="9.42578125" style="1523" customWidth="1"/>
    <col min="7687" max="7687" width="12.28515625" style="1523" customWidth="1"/>
    <col min="7688" max="7936" width="9.140625" style="1523"/>
    <col min="7937" max="7937" width="4.7109375" style="1523" customWidth="1"/>
    <col min="7938" max="7938" width="28.42578125" style="1523" customWidth="1"/>
    <col min="7939" max="7939" width="10.5703125" style="1523" customWidth="1"/>
    <col min="7940" max="7940" width="9.85546875" style="1523" customWidth="1"/>
    <col min="7941" max="7941" width="9.7109375" style="1523" customWidth="1"/>
    <col min="7942" max="7942" width="9.42578125" style="1523" customWidth="1"/>
    <col min="7943" max="7943" width="12.28515625" style="1523" customWidth="1"/>
    <col min="7944" max="8192" width="9.140625" style="1523"/>
    <col min="8193" max="8193" width="4.7109375" style="1523" customWidth="1"/>
    <col min="8194" max="8194" width="28.42578125" style="1523" customWidth="1"/>
    <col min="8195" max="8195" width="10.5703125" style="1523" customWidth="1"/>
    <col min="8196" max="8196" width="9.85546875" style="1523" customWidth="1"/>
    <col min="8197" max="8197" width="9.7109375" style="1523" customWidth="1"/>
    <col min="8198" max="8198" width="9.42578125" style="1523" customWidth="1"/>
    <col min="8199" max="8199" width="12.28515625" style="1523" customWidth="1"/>
    <col min="8200" max="8448" width="9.140625" style="1523"/>
    <col min="8449" max="8449" width="4.7109375" style="1523" customWidth="1"/>
    <col min="8450" max="8450" width="28.42578125" style="1523" customWidth="1"/>
    <col min="8451" max="8451" width="10.5703125" style="1523" customWidth="1"/>
    <col min="8452" max="8452" width="9.85546875" style="1523" customWidth="1"/>
    <col min="8453" max="8453" width="9.7109375" style="1523" customWidth="1"/>
    <col min="8454" max="8454" width="9.42578125" style="1523" customWidth="1"/>
    <col min="8455" max="8455" width="12.28515625" style="1523" customWidth="1"/>
    <col min="8456" max="8704" width="9.140625" style="1523"/>
    <col min="8705" max="8705" width="4.7109375" style="1523" customWidth="1"/>
    <col min="8706" max="8706" width="28.42578125" style="1523" customWidth="1"/>
    <col min="8707" max="8707" width="10.5703125" style="1523" customWidth="1"/>
    <col min="8708" max="8708" width="9.85546875" style="1523" customWidth="1"/>
    <col min="8709" max="8709" width="9.7109375" style="1523" customWidth="1"/>
    <col min="8710" max="8710" width="9.42578125" style="1523" customWidth="1"/>
    <col min="8711" max="8711" width="12.28515625" style="1523" customWidth="1"/>
    <col min="8712" max="8960" width="9.140625" style="1523"/>
    <col min="8961" max="8961" width="4.7109375" style="1523" customWidth="1"/>
    <col min="8962" max="8962" width="28.42578125" style="1523" customWidth="1"/>
    <col min="8963" max="8963" width="10.5703125" style="1523" customWidth="1"/>
    <col min="8964" max="8964" width="9.85546875" style="1523" customWidth="1"/>
    <col min="8965" max="8965" width="9.7109375" style="1523" customWidth="1"/>
    <col min="8966" max="8966" width="9.42578125" style="1523" customWidth="1"/>
    <col min="8967" max="8967" width="12.28515625" style="1523" customWidth="1"/>
    <col min="8968" max="9216" width="9.140625" style="1523"/>
    <col min="9217" max="9217" width="4.7109375" style="1523" customWidth="1"/>
    <col min="9218" max="9218" width="28.42578125" style="1523" customWidth="1"/>
    <col min="9219" max="9219" width="10.5703125" style="1523" customWidth="1"/>
    <col min="9220" max="9220" width="9.85546875" style="1523" customWidth="1"/>
    <col min="9221" max="9221" width="9.7109375" style="1523" customWidth="1"/>
    <col min="9222" max="9222" width="9.42578125" style="1523" customWidth="1"/>
    <col min="9223" max="9223" width="12.28515625" style="1523" customWidth="1"/>
    <col min="9224" max="9472" width="9.140625" style="1523"/>
    <col min="9473" max="9473" width="4.7109375" style="1523" customWidth="1"/>
    <col min="9474" max="9474" width="28.42578125" style="1523" customWidth="1"/>
    <col min="9475" max="9475" width="10.5703125" style="1523" customWidth="1"/>
    <col min="9476" max="9476" width="9.85546875" style="1523" customWidth="1"/>
    <col min="9477" max="9477" width="9.7109375" style="1523" customWidth="1"/>
    <col min="9478" max="9478" width="9.42578125" style="1523" customWidth="1"/>
    <col min="9479" max="9479" width="12.28515625" style="1523" customWidth="1"/>
    <col min="9480" max="9728" width="9.140625" style="1523"/>
    <col min="9729" max="9729" width="4.7109375" style="1523" customWidth="1"/>
    <col min="9730" max="9730" width="28.42578125" style="1523" customWidth="1"/>
    <col min="9731" max="9731" width="10.5703125" style="1523" customWidth="1"/>
    <col min="9732" max="9732" width="9.85546875" style="1523" customWidth="1"/>
    <col min="9733" max="9733" width="9.7109375" style="1523" customWidth="1"/>
    <col min="9734" max="9734" width="9.42578125" style="1523" customWidth="1"/>
    <col min="9735" max="9735" width="12.28515625" style="1523" customWidth="1"/>
    <col min="9736" max="9984" width="9.140625" style="1523"/>
    <col min="9985" max="9985" width="4.7109375" style="1523" customWidth="1"/>
    <col min="9986" max="9986" width="28.42578125" style="1523" customWidth="1"/>
    <col min="9987" max="9987" width="10.5703125" style="1523" customWidth="1"/>
    <col min="9988" max="9988" width="9.85546875" style="1523" customWidth="1"/>
    <col min="9989" max="9989" width="9.7109375" style="1523" customWidth="1"/>
    <col min="9990" max="9990" width="9.42578125" style="1523" customWidth="1"/>
    <col min="9991" max="9991" width="12.28515625" style="1523" customWidth="1"/>
    <col min="9992" max="10240" width="9.140625" style="1523"/>
    <col min="10241" max="10241" width="4.7109375" style="1523" customWidth="1"/>
    <col min="10242" max="10242" width="28.42578125" style="1523" customWidth="1"/>
    <col min="10243" max="10243" width="10.5703125" style="1523" customWidth="1"/>
    <col min="10244" max="10244" width="9.85546875" style="1523" customWidth="1"/>
    <col min="10245" max="10245" width="9.7109375" style="1523" customWidth="1"/>
    <col min="10246" max="10246" width="9.42578125" style="1523" customWidth="1"/>
    <col min="10247" max="10247" width="12.28515625" style="1523" customWidth="1"/>
    <col min="10248" max="10496" width="9.140625" style="1523"/>
    <col min="10497" max="10497" width="4.7109375" style="1523" customWidth="1"/>
    <col min="10498" max="10498" width="28.42578125" style="1523" customWidth="1"/>
    <col min="10499" max="10499" width="10.5703125" style="1523" customWidth="1"/>
    <col min="10500" max="10500" width="9.85546875" style="1523" customWidth="1"/>
    <col min="10501" max="10501" width="9.7109375" style="1523" customWidth="1"/>
    <col min="10502" max="10502" width="9.42578125" style="1523" customWidth="1"/>
    <col min="10503" max="10503" width="12.28515625" style="1523" customWidth="1"/>
    <col min="10504" max="10752" width="9.140625" style="1523"/>
    <col min="10753" max="10753" width="4.7109375" style="1523" customWidth="1"/>
    <col min="10754" max="10754" width="28.42578125" style="1523" customWidth="1"/>
    <col min="10755" max="10755" width="10.5703125" style="1523" customWidth="1"/>
    <col min="10756" max="10756" width="9.85546875" style="1523" customWidth="1"/>
    <col min="10757" max="10757" width="9.7109375" style="1523" customWidth="1"/>
    <col min="10758" max="10758" width="9.42578125" style="1523" customWidth="1"/>
    <col min="10759" max="10759" width="12.28515625" style="1523" customWidth="1"/>
    <col min="10760" max="11008" width="9.140625" style="1523"/>
    <col min="11009" max="11009" width="4.7109375" style="1523" customWidth="1"/>
    <col min="11010" max="11010" width="28.42578125" style="1523" customWidth="1"/>
    <col min="11011" max="11011" width="10.5703125" style="1523" customWidth="1"/>
    <col min="11012" max="11012" width="9.85546875" style="1523" customWidth="1"/>
    <col min="11013" max="11013" width="9.7109375" style="1523" customWidth="1"/>
    <col min="11014" max="11014" width="9.42578125" style="1523" customWidth="1"/>
    <col min="11015" max="11015" width="12.28515625" style="1523" customWidth="1"/>
    <col min="11016" max="11264" width="9.140625" style="1523"/>
    <col min="11265" max="11265" width="4.7109375" style="1523" customWidth="1"/>
    <col min="11266" max="11266" width="28.42578125" style="1523" customWidth="1"/>
    <col min="11267" max="11267" width="10.5703125" style="1523" customWidth="1"/>
    <col min="11268" max="11268" width="9.85546875" style="1523" customWidth="1"/>
    <col min="11269" max="11269" width="9.7109375" style="1523" customWidth="1"/>
    <col min="11270" max="11270" width="9.42578125" style="1523" customWidth="1"/>
    <col min="11271" max="11271" width="12.28515625" style="1523" customWidth="1"/>
    <col min="11272" max="11520" width="9.140625" style="1523"/>
    <col min="11521" max="11521" width="4.7109375" style="1523" customWidth="1"/>
    <col min="11522" max="11522" width="28.42578125" style="1523" customWidth="1"/>
    <col min="11523" max="11523" width="10.5703125" style="1523" customWidth="1"/>
    <col min="11524" max="11524" width="9.85546875" style="1523" customWidth="1"/>
    <col min="11525" max="11525" width="9.7109375" style="1523" customWidth="1"/>
    <col min="11526" max="11526" width="9.42578125" style="1523" customWidth="1"/>
    <col min="11527" max="11527" width="12.28515625" style="1523" customWidth="1"/>
    <col min="11528" max="11776" width="9.140625" style="1523"/>
    <col min="11777" max="11777" width="4.7109375" style="1523" customWidth="1"/>
    <col min="11778" max="11778" width="28.42578125" style="1523" customWidth="1"/>
    <col min="11779" max="11779" width="10.5703125" style="1523" customWidth="1"/>
    <col min="11780" max="11780" width="9.85546875" style="1523" customWidth="1"/>
    <col min="11781" max="11781" width="9.7109375" style="1523" customWidth="1"/>
    <col min="11782" max="11782" width="9.42578125" style="1523" customWidth="1"/>
    <col min="11783" max="11783" width="12.28515625" style="1523" customWidth="1"/>
    <col min="11784" max="12032" width="9.140625" style="1523"/>
    <col min="12033" max="12033" width="4.7109375" style="1523" customWidth="1"/>
    <col min="12034" max="12034" width="28.42578125" style="1523" customWidth="1"/>
    <col min="12035" max="12035" width="10.5703125" style="1523" customWidth="1"/>
    <col min="12036" max="12036" width="9.85546875" style="1523" customWidth="1"/>
    <col min="12037" max="12037" width="9.7109375" style="1523" customWidth="1"/>
    <col min="12038" max="12038" width="9.42578125" style="1523" customWidth="1"/>
    <col min="12039" max="12039" width="12.28515625" style="1523" customWidth="1"/>
    <col min="12040" max="12288" width="9.140625" style="1523"/>
    <col min="12289" max="12289" width="4.7109375" style="1523" customWidth="1"/>
    <col min="12290" max="12290" width="28.42578125" style="1523" customWidth="1"/>
    <col min="12291" max="12291" width="10.5703125" style="1523" customWidth="1"/>
    <col min="12292" max="12292" width="9.85546875" style="1523" customWidth="1"/>
    <col min="12293" max="12293" width="9.7109375" style="1523" customWidth="1"/>
    <col min="12294" max="12294" width="9.42578125" style="1523" customWidth="1"/>
    <col min="12295" max="12295" width="12.28515625" style="1523" customWidth="1"/>
    <col min="12296" max="12544" width="9.140625" style="1523"/>
    <col min="12545" max="12545" width="4.7109375" style="1523" customWidth="1"/>
    <col min="12546" max="12546" width="28.42578125" style="1523" customWidth="1"/>
    <col min="12547" max="12547" width="10.5703125" style="1523" customWidth="1"/>
    <col min="12548" max="12548" width="9.85546875" style="1523" customWidth="1"/>
    <col min="12549" max="12549" width="9.7109375" style="1523" customWidth="1"/>
    <col min="12550" max="12550" width="9.42578125" style="1523" customWidth="1"/>
    <col min="12551" max="12551" width="12.28515625" style="1523" customWidth="1"/>
    <col min="12552" max="12800" width="9.140625" style="1523"/>
    <col min="12801" max="12801" width="4.7109375" style="1523" customWidth="1"/>
    <col min="12802" max="12802" width="28.42578125" style="1523" customWidth="1"/>
    <col min="12803" max="12803" width="10.5703125" style="1523" customWidth="1"/>
    <col min="12804" max="12804" width="9.85546875" style="1523" customWidth="1"/>
    <col min="12805" max="12805" width="9.7109375" style="1523" customWidth="1"/>
    <col min="12806" max="12806" width="9.42578125" style="1523" customWidth="1"/>
    <col min="12807" max="12807" width="12.28515625" style="1523" customWidth="1"/>
    <col min="12808" max="13056" width="9.140625" style="1523"/>
    <col min="13057" max="13057" width="4.7109375" style="1523" customWidth="1"/>
    <col min="13058" max="13058" width="28.42578125" style="1523" customWidth="1"/>
    <col min="13059" max="13059" width="10.5703125" style="1523" customWidth="1"/>
    <col min="13060" max="13060" width="9.85546875" style="1523" customWidth="1"/>
    <col min="13061" max="13061" width="9.7109375" style="1523" customWidth="1"/>
    <col min="13062" max="13062" width="9.42578125" style="1523" customWidth="1"/>
    <col min="13063" max="13063" width="12.28515625" style="1523" customWidth="1"/>
    <col min="13064" max="13312" width="9.140625" style="1523"/>
    <col min="13313" max="13313" width="4.7109375" style="1523" customWidth="1"/>
    <col min="13314" max="13314" width="28.42578125" style="1523" customWidth="1"/>
    <col min="13315" max="13315" width="10.5703125" style="1523" customWidth="1"/>
    <col min="13316" max="13316" width="9.85546875" style="1523" customWidth="1"/>
    <col min="13317" max="13317" width="9.7109375" style="1523" customWidth="1"/>
    <col min="13318" max="13318" width="9.42578125" style="1523" customWidth="1"/>
    <col min="13319" max="13319" width="12.28515625" style="1523" customWidth="1"/>
    <col min="13320" max="13568" width="9.140625" style="1523"/>
    <col min="13569" max="13569" width="4.7109375" style="1523" customWidth="1"/>
    <col min="13570" max="13570" width="28.42578125" style="1523" customWidth="1"/>
    <col min="13571" max="13571" width="10.5703125" style="1523" customWidth="1"/>
    <col min="13572" max="13572" width="9.85546875" style="1523" customWidth="1"/>
    <col min="13573" max="13573" width="9.7109375" style="1523" customWidth="1"/>
    <col min="13574" max="13574" width="9.42578125" style="1523" customWidth="1"/>
    <col min="13575" max="13575" width="12.28515625" style="1523" customWidth="1"/>
    <col min="13576" max="13824" width="9.140625" style="1523"/>
    <col min="13825" max="13825" width="4.7109375" style="1523" customWidth="1"/>
    <col min="13826" max="13826" width="28.42578125" style="1523" customWidth="1"/>
    <col min="13827" max="13827" width="10.5703125" style="1523" customWidth="1"/>
    <col min="13828" max="13828" width="9.85546875" style="1523" customWidth="1"/>
    <col min="13829" max="13829" width="9.7109375" style="1523" customWidth="1"/>
    <col min="13830" max="13830" width="9.42578125" style="1523" customWidth="1"/>
    <col min="13831" max="13831" width="12.28515625" style="1523" customWidth="1"/>
    <col min="13832" max="14080" width="9.140625" style="1523"/>
    <col min="14081" max="14081" width="4.7109375" style="1523" customWidth="1"/>
    <col min="14082" max="14082" width="28.42578125" style="1523" customWidth="1"/>
    <col min="14083" max="14083" width="10.5703125" style="1523" customWidth="1"/>
    <col min="14084" max="14084" width="9.85546875" style="1523" customWidth="1"/>
    <col min="14085" max="14085" width="9.7109375" style="1523" customWidth="1"/>
    <col min="14086" max="14086" width="9.42578125" style="1523" customWidth="1"/>
    <col min="14087" max="14087" width="12.28515625" style="1523" customWidth="1"/>
    <col min="14088" max="14336" width="9.140625" style="1523"/>
    <col min="14337" max="14337" width="4.7109375" style="1523" customWidth="1"/>
    <col min="14338" max="14338" width="28.42578125" style="1523" customWidth="1"/>
    <col min="14339" max="14339" width="10.5703125" style="1523" customWidth="1"/>
    <col min="14340" max="14340" width="9.85546875" style="1523" customWidth="1"/>
    <col min="14341" max="14341" width="9.7109375" style="1523" customWidth="1"/>
    <col min="14342" max="14342" width="9.42578125" style="1523" customWidth="1"/>
    <col min="14343" max="14343" width="12.28515625" style="1523" customWidth="1"/>
    <col min="14344" max="14592" width="9.140625" style="1523"/>
    <col min="14593" max="14593" width="4.7109375" style="1523" customWidth="1"/>
    <col min="14594" max="14594" width="28.42578125" style="1523" customWidth="1"/>
    <col min="14595" max="14595" width="10.5703125" style="1523" customWidth="1"/>
    <col min="14596" max="14596" width="9.85546875" style="1523" customWidth="1"/>
    <col min="14597" max="14597" width="9.7109375" style="1523" customWidth="1"/>
    <col min="14598" max="14598" width="9.42578125" style="1523" customWidth="1"/>
    <col min="14599" max="14599" width="12.28515625" style="1523" customWidth="1"/>
    <col min="14600" max="14848" width="9.140625" style="1523"/>
    <col min="14849" max="14849" width="4.7109375" style="1523" customWidth="1"/>
    <col min="14850" max="14850" width="28.42578125" style="1523" customWidth="1"/>
    <col min="14851" max="14851" width="10.5703125" style="1523" customWidth="1"/>
    <col min="14852" max="14852" width="9.85546875" style="1523" customWidth="1"/>
    <col min="14853" max="14853" width="9.7109375" style="1523" customWidth="1"/>
    <col min="14854" max="14854" width="9.42578125" style="1523" customWidth="1"/>
    <col min="14855" max="14855" width="12.28515625" style="1523" customWidth="1"/>
    <col min="14856" max="15104" width="9.140625" style="1523"/>
    <col min="15105" max="15105" width="4.7109375" style="1523" customWidth="1"/>
    <col min="15106" max="15106" width="28.42578125" style="1523" customWidth="1"/>
    <col min="15107" max="15107" width="10.5703125" style="1523" customWidth="1"/>
    <col min="15108" max="15108" width="9.85546875" style="1523" customWidth="1"/>
    <col min="15109" max="15109" width="9.7109375" style="1523" customWidth="1"/>
    <col min="15110" max="15110" width="9.42578125" style="1523" customWidth="1"/>
    <col min="15111" max="15111" width="12.28515625" style="1523" customWidth="1"/>
    <col min="15112" max="15360" width="9.140625" style="1523"/>
    <col min="15361" max="15361" width="4.7109375" style="1523" customWidth="1"/>
    <col min="15362" max="15362" width="28.42578125" style="1523" customWidth="1"/>
    <col min="15363" max="15363" width="10.5703125" style="1523" customWidth="1"/>
    <col min="15364" max="15364" width="9.85546875" style="1523" customWidth="1"/>
    <col min="15365" max="15365" width="9.7109375" style="1523" customWidth="1"/>
    <col min="15366" max="15366" width="9.42578125" style="1523" customWidth="1"/>
    <col min="15367" max="15367" width="12.28515625" style="1523" customWidth="1"/>
    <col min="15368" max="15616" width="9.140625" style="1523"/>
    <col min="15617" max="15617" width="4.7109375" style="1523" customWidth="1"/>
    <col min="15618" max="15618" width="28.42578125" style="1523" customWidth="1"/>
    <col min="15619" max="15619" width="10.5703125" style="1523" customWidth="1"/>
    <col min="15620" max="15620" width="9.85546875" style="1523" customWidth="1"/>
    <col min="15621" max="15621" width="9.7109375" style="1523" customWidth="1"/>
    <col min="15622" max="15622" width="9.42578125" style="1523" customWidth="1"/>
    <col min="15623" max="15623" width="12.28515625" style="1523" customWidth="1"/>
    <col min="15624" max="15872" width="9.140625" style="1523"/>
    <col min="15873" max="15873" width="4.7109375" style="1523" customWidth="1"/>
    <col min="15874" max="15874" width="28.42578125" style="1523" customWidth="1"/>
    <col min="15875" max="15875" width="10.5703125" style="1523" customWidth="1"/>
    <col min="15876" max="15876" width="9.85546875" style="1523" customWidth="1"/>
    <col min="15877" max="15877" width="9.7109375" style="1523" customWidth="1"/>
    <col min="15878" max="15878" width="9.42578125" style="1523" customWidth="1"/>
    <col min="15879" max="15879" width="12.28515625" style="1523" customWidth="1"/>
    <col min="15880" max="16128" width="9.140625" style="1523"/>
    <col min="16129" max="16129" width="4.7109375" style="1523" customWidth="1"/>
    <col min="16130" max="16130" width="28.42578125" style="1523" customWidth="1"/>
    <col min="16131" max="16131" width="10.5703125" style="1523" customWidth="1"/>
    <col min="16132" max="16132" width="9.85546875" style="1523" customWidth="1"/>
    <col min="16133" max="16133" width="9.7109375" style="1523" customWidth="1"/>
    <col min="16134" max="16134" width="9.42578125" style="1523" customWidth="1"/>
    <col min="16135" max="16135" width="12.28515625" style="1523" customWidth="1"/>
    <col min="16136" max="16384" width="9.140625" style="1523"/>
  </cols>
  <sheetData>
    <row r="1" spans="1:8" ht="43.5" customHeight="1">
      <c r="A1" s="1889" t="s">
        <v>1145</v>
      </c>
      <c r="B1" s="1889"/>
      <c r="C1" s="1889"/>
      <c r="D1" s="1889"/>
      <c r="E1" s="1889"/>
      <c r="F1" s="1889"/>
      <c r="G1" s="1889"/>
    </row>
    <row r="3" spans="1:8" s="1524" customFormat="1" ht="27" customHeight="1">
      <c r="A3" s="1549" t="s">
        <v>1146</v>
      </c>
      <c r="B3" s="1550"/>
      <c r="C3" s="1890" t="s">
        <v>0</v>
      </c>
      <c r="D3" s="1890"/>
      <c r="E3" s="1890"/>
      <c r="F3" s="1890"/>
      <c r="G3" s="1890"/>
      <c r="H3" s="1551"/>
    </row>
    <row r="4" spans="1:8" s="1524" customFormat="1" ht="15.75">
      <c r="A4" s="1550"/>
      <c r="B4" s="1550"/>
      <c r="C4" s="1550"/>
      <c r="D4" s="1550"/>
      <c r="E4" s="1550"/>
      <c r="F4" s="1550"/>
      <c r="G4" s="1550"/>
      <c r="H4" s="1551"/>
    </row>
    <row r="5" spans="1:8" s="1525" customFormat="1">
      <c r="A5" s="1552"/>
      <c r="B5" s="1552"/>
      <c r="C5" s="1552"/>
      <c r="D5" s="1552"/>
      <c r="E5" s="1552"/>
      <c r="F5" s="1552"/>
      <c r="G5" s="1552"/>
      <c r="H5" s="1553"/>
    </row>
    <row r="6" spans="1:8" s="1526" customFormat="1" ht="15" customHeight="1">
      <c r="A6" s="1554" t="s">
        <v>1147</v>
      </c>
      <c r="B6" s="1554"/>
      <c r="C6" s="1893">
        <f>'4.1.(7.1) Önkormányzat'!C146</f>
        <v>370768584</v>
      </c>
      <c r="D6" s="1893"/>
      <c r="E6" s="1555"/>
      <c r="F6" s="1555"/>
      <c r="G6" s="1555"/>
      <c r="H6" s="1556"/>
    </row>
    <row r="7" spans="1:8" s="1526" customFormat="1" ht="33" customHeight="1" thickBot="1">
      <c r="A7" s="1891" t="s">
        <v>1148</v>
      </c>
      <c r="B7" s="1891"/>
      <c r="C7" s="1559">
        <v>0</v>
      </c>
      <c r="D7" s="1555"/>
      <c r="E7" s="1555"/>
      <c r="F7" s="1555"/>
      <c r="G7" s="1555"/>
      <c r="H7" s="1556"/>
    </row>
    <row r="8" spans="1:8" s="1530" customFormat="1" ht="42" customHeight="1" thickBot="1">
      <c r="A8" s="1527" t="s">
        <v>1090</v>
      </c>
      <c r="B8" s="1528" t="s">
        <v>1149</v>
      </c>
      <c r="C8" s="1528" t="s">
        <v>1150</v>
      </c>
      <c r="D8" s="1528" t="s">
        <v>1151</v>
      </c>
      <c r="E8" s="1528" t="s">
        <v>1152</v>
      </c>
      <c r="F8" s="1528" t="s">
        <v>1153</v>
      </c>
      <c r="G8" s="1529" t="s">
        <v>1154</v>
      </c>
    </row>
    <row r="9" spans="1:8" ht="24" customHeight="1">
      <c r="A9" s="1531" t="s">
        <v>693</v>
      </c>
      <c r="B9" s="1532" t="s">
        <v>1155</v>
      </c>
      <c r="C9" s="1533"/>
      <c r="D9" s="1533"/>
      <c r="E9" s="1533"/>
      <c r="F9" s="1533"/>
      <c r="G9" s="1534">
        <f>SUM(C9:F9)</f>
        <v>0</v>
      </c>
    </row>
    <row r="10" spans="1:8" ht="24" customHeight="1">
      <c r="A10" s="1535" t="s">
        <v>707</v>
      </c>
      <c r="B10" s="1536" t="s">
        <v>1156</v>
      </c>
      <c r="C10" s="1537"/>
      <c r="D10" s="1537"/>
      <c r="E10" s="1537"/>
      <c r="F10" s="1537"/>
      <c r="G10" s="1538">
        <f>SUM(C10:F10)</f>
        <v>0</v>
      </c>
    </row>
    <row r="11" spans="1:8" ht="24" customHeight="1">
      <c r="A11" s="1535" t="s">
        <v>721</v>
      </c>
      <c r="B11" s="1536" t="s">
        <v>1157</v>
      </c>
      <c r="C11" s="1537"/>
      <c r="D11" s="1537"/>
      <c r="E11" s="1537"/>
      <c r="F11" s="1537"/>
      <c r="G11" s="1538">
        <f>SUM(C11:F11)</f>
        <v>0</v>
      </c>
    </row>
    <row r="12" spans="1:8" ht="24" customHeight="1">
      <c r="A12" s="1535" t="s">
        <v>897</v>
      </c>
      <c r="B12" s="1536" t="s">
        <v>1158</v>
      </c>
      <c r="C12" s="1537"/>
      <c r="D12" s="1537"/>
      <c r="E12" s="1537"/>
      <c r="F12" s="1537"/>
      <c r="G12" s="1538">
        <f>SUM(C12:F12)</f>
        <v>0</v>
      </c>
    </row>
    <row r="13" spans="1:8" ht="24" customHeight="1">
      <c r="A13" s="1535" t="s">
        <v>750</v>
      </c>
      <c r="B13" s="1536" t="s">
        <v>1159</v>
      </c>
      <c r="C13" s="1537"/>
      <c r="D13" s="1537"/>
      <c r="E13" s="1537"/>
      <c r="F13" s="1537"/>
      <c r="G13" s="1538">
        <f>SUM(C13:F13)</f>
        <v>0</v>
      </c>
    </row>
    <row r="14" spans="1:8" ht="24" customHeight="1" thickBot="1">
      <c r="A14" s="1539" t="s">
        <v>772</v>
      </c>
      <c r="B14" s="1540" t="s">
        <v>1165</v>
      </c>
      <c r="C14" s="1541">
        <v>1320088</v>
      </c>
      <c r="D14" s="1541"/>
      <c r="E14" s="1541"/>
      <c r="F14" s="1541"/>
      <c r="G14" s="1542">
        <f>C14</f>
        <v>1320088</v>
      </c>
    </row>
    <row r="15" spans="1:8" s="1547" customFormat="1" ht="24" customHeight="1" thickBot="1">
      <c r="A15" s="1543" t="s">
        <v>908</v>
      </c>
      <c r="B15" s="1544" t="s">
        <v>1154</v>
      </c>
      <c r="C15" s="1545">
        <f>SUM(C9:C14)</f>
        <v>1320088</v>
      </c>
      <c r="D15" s="1545">
        <f>SUM(D9:D14)</f>
        <v>0</v>
      </c>
      <c r="E15" s="1545">
        <f>SUM(E9:E14)</f>
        <v>0</v>
      </c>
      <c r="F15" s="1545">
        <f>SUM(F9:F14)</f>
        <v>0</v>
      </c>
      <c r="G15" s="1546">
        <f>SUM(C15:F15)</f>
        <v>1320088</v>
      </c>
      <c r="H15" s="1088"/>
    </row>
    <row r="16" spans="1:8" s="1525" customFormat="1">
      <c r="A16" s="1552"/>
      <c r="B16" s="1552"/>
      <c r="C16" s="1552"/>
      <c r="D16" s="1552"/>
      <c r="E16" s="1552"/>
      <c r="F16" s="1552"/>
      <c r="G16" s="1552"/>
      <c r="H16" s="1553"/>
    </row>
    <row r="17" spans="1:8" s="1525" customFormat="1">
      <c r="A17" s="1552"/>
      <c r="B17" s="1552"/>
      <c r="C17" s="1552"/>
      <c r="D17" s="1552"/>
      <c r="E17" s="1552"/>
      <c r="F17" s="1552"/>
      <c r="G17" s="1552"/>
      <c r="H17" s="1553"/>
    </row>
    <row r="18" spans="1:8" s="1525" customFormat="1">
      <c r="A18" s="1552"/>
      <c r="B18" s="1552"/>
      <c r="C18" s="1552"/>
      <c r="D18" s="1552"/>
      <c r="E18" s="1552"/>
      <c r="F18" s="1552"/>
      <c r="G18" s="1552"/>
      <c r="H18" s="1553"/>
    </row>
    <row r="19" spans="1:8" s="1525" customFormat="1" ht="15.75">
      <c r="A19" s="1890" t="s">
        <v>1163</v>
      </c>
      <c r="B19" s="1890"/>
      <c r="C19" s="1552"/>
      <c r="D19" s="1552"/>
      <c r="E19" s="1552"/>
      <c r="F19" s="1552"/>
      <c r="G19" s="1552"/>
      <c r="H19" s="1553"/>
    </row>
    <row r="20" spans="1:8" s="1525" customFormat="1">
      <c r="A20" s="1552"/>
      <c r="B20" s="1552"/>
      <c r="C20" s="1552"/>
      <c r="D20" s="1552"/>
      <c r="E20" s="1552"/>
      <c r="F20" s="1552"/>
      <c r="G20" s="1552"/>
      <c r="H20" s="1553"/>
    </row>
    <row r="21" spans="1:8">
      <c r="A21" s="1552"/>
      <c r="B21" s="1552"/>
      <c r="C21" s="1552"/>
      <c r="D21" s="1552"/>
      <c r="E21" s="1552"/>
      <c r="F21" s="1552"/>
      <c r="G21" s="1552"/>
    </row>
    <row r="22" spans="1:8">
      <c r="A22" s="1552"/>
      <c r="B22" s="1552"/>
      <c r="C22" s="1892" t="s">
        <v>1160</v>
      </c>
      <c r="D22" s="1892"/>
      <c r="E22" s="1892"/>
      <c r="F22" s="1892"/>
      <c r="G22" s="1552"/>
    </row>
    <row r="23" spans="1:8" ht="15" customHeight="1">
      <c r="A23" s="1552"/>
      <c r="B23" s="1552"/>
      <c r="C23" s="1894" t="s">
        <v>1161</v>
      </c>
      <c r="D23" s="1894"/>
      <c r="E23" s="1894"/>
      <c r="F23" s="1894"/>
      <c r="G23" s="1552"/>
    </row>
    <row r="24" spans="1:8" ht="13.5">
      <c r="C24" s="1557"/>
      <c r="D24" s="1558"/>
      <c r="E24" s="1558"/>
      <c r="F24" s="1557"/>
    </row>
    <row r="25" spans="1:8" ht="57" customHeight="1">
      <c r="A25" s="1889" t="s">
        <v>1145</v>
      </c>
      <c r="B25" s="1889"/>
      <c r="C25" s="1889"/>
      <c r="D25" s="1889"/>
      <c r="E25" s="1889"/>
      <c r="F25" s="1889"/>
      <c r="G25" s="1889"/>
    </row>
    <row r="27" spans="1:8" ht="15.75">
      <c r="A27" s="1549" t="s">
        <v>1146</v>
      </c>
      <c r="B27" s="1550"/>
      <c r="C27" s="1890" t="s">
        <v>285</v>
      </c>
      <c r="D27" s="1890"/>
      <c r="E27" s="1890"/>
      <c r="F27" s="1890"/>
      <c r="G27" s="1890"/>
    </row>
    <row r="28" spans="1:8" ht="15.75">
      <c r="A28" s="1550"/>
      <c r="B28" s="1550"/>
      <c r="C28" s="1550"/>
      <c r="D28" s="1550"/>
      <c r="E28" s="1550"/>
      <c r="F28" s="1550"/>
      <c r="G28" s="1550"/>
    </row>
    <row r="29" spans="1:8">
      <c r="A29" s="1552"/>
      <c r="B29" s="1552"/>
      <c r="C29" s="1552"/>
      <c r="D29" s="1552"/>
      <c r="E29" s="1552"/>
      <c r="F29" s="1552"/>
      <c r="G29" s="1552"/>
    </row>
    <row r="30" spans="1:8" ht="15">
      <c r="A30" s="1554" t="s">
        <v>1147</v>
      </c>
      <c r="B30" s="1554"/>
      <c r="C30" s="1893">
        <f>'4.2.(7.2) Hivatal'!C55</f>
        <v>85876545</v>
      </c>
      <c r="D30" s="1893"/>
      <c r="E30" s="1555"/>
      <c r="F30" s="1555"/>
      <c r="G30" s="1555"/>
    </row>
    <row r="31" spans="1:8" ht="41.25" customHeight="1" thickBot="1">
      <c r="A31" s="1891" t="s">
        <v>1148</v>
      </c>
      <c r="B31" s="1891"/>
      <c r="C31" s="1559">
        <v>0</v>
      </c>
      <c r="D31" s="1555"/>
      <c r="E31" s="1555"/>
      <c r="F31" s="1555"/>
      <c r="G31" s="1555"/>
    </row>
    <row r="32" spans="1:8" ht="36.75" thickBot="1">
      <c r="A32" s="1527" t="s">
        <v>1090</v>
      </c>
      <c r="B32" s="1528" t="s">
        <v>1149</v>
      </c>
      <c r="C32" s="1528" t="s">
        <v>1150</v>
      </c>
      <c r="D32" s="1528" t="s">
        <v>1151</v>
      </c>
      <c r="E32" s="1528" t="s">
        <v>1152</v>
      </c>
      <c r="F32" s="1528" t="s">
        <v>1153</v>
      </c>
      <c r="G32" s="1529" t="s">
        <v>1154</v>
      </c>
    </row>
    <row r="33" spans="1:7">
      <c r="A33" s="1531" t="s">
        <v>693</v>
      </c>
      <c r="B33" s="1532" t="s">
        <v>1155</v>
      </c>
      <c r="C33" s="1533"/>
      <c r="D33" s="1533"/>
      <c r="E33" s="1533"/>
      <c r="F33" s="1533"/>
      <c r="G33" s="1534">
        <f>SUM(C33:F33)</f>
        <v>0</v>
      </c>
    </row>
    <row r="34" spans="1:7" ht="22.5">
      <c r="A34" s="1535" t="s">
        <v>707</v>
      </c>
      <c r="B34" s="1536" t="s">
        <v>1156</v>
      </c>
      <c r="C34" s="1537"/>
      <c r="D34" s="1537"/>
      <c r="E34" s="1537"/>
      <c r="F34" s="1537"/>
      <c r="G34" s="1538">
        <f>SUM(C34:F34)</f>
        <v>0</v>
      </c>
    </row>
    <row r="35" spans="1:7" ht="22.5">
      <c r="A35" s="1535" t="s">
        <v>721</v>
      </c>
      <c r="B35" s="1536" t="s">
        <v>1157</v>
      </c>
      <c r="C35" s="1537"/>
      <c r="D35" s="1537"/>
      <c r="E35" s="1537"/>
      <c r="F35" s="1537"/>
      <c r="G35" s="1538">
        <f>SUM(C35:F35)</f>
        <v>0</v>
      </c>
    </row>
    <row r="36" spans="1:7">
      <c r="A36" s="1535" t="s">
        <v>897</v>
      </c>
      <c r="B36" s="1536" t="s">
        <v>1158</v>
      </c>
      <c r="C36" s="1537"/>
      <c r="D36" s="1537"/>
      <c r="E36" s="1537"/>
      <c r="F36" s="1537"/>
      <c r="G36" s="1538">
        <f>SUM(C36:F36)</f>
        <v>0</v>
      </c>
    </row>
    <row r="37" spans="1:7" ht="22.5">
      <c r="A37" s="1535" t="s">
        <v>750</v>
      </c>
      <c r="B37" s="1536" t="s">
        <v>1159</v>
      </c>
      <c r="C37" s="1537"/>
      <c r="D37" s="1537"/>
      <c r="E37" s="1537"/>
      <c r="F37" s="1537"/>
      <c r="G37" s="1538">
        <f>SUM(C37:F37)</f>
        <v>0</v>
      </c>
    </row>
    <row r="38" spans="1:7" ht="23.25" thickBot="1">
      <c r="A38" s="1539" t="s">
        <v>772</v>
      </c>
      <c r="B38" s="1540" t="s">
        <v>1166</v>
      </c>
      <c r="C38" s="1541">
        <v>51286</v>
      </c>
      <c r="D38" s="1541"/>
      <c r="E38" s="1541"/>
      <c r="F38" s="1541"/>
      <c r="G38" s="1542"/>
    </row>
    <row r="39" spans="1:7" ht="13.5" thickBot="1">
      <c r="A39" s="1543" t="s">
        <v>908</v>
      </c>
      <c r="B39" s="1544" t="s">
        <v>1154</v>
      </c>
      <c r="C39" s="1545">
        <f>SUM(C33:C38)</f>
        <v>51286</v>
      </c>
      <c r="D39" s="1545">
        <f>SUM(D33:D38)</f>
        <v>0</v>
      </c>
      <c r="E39" s="1545">
        <f>SUM(E33:E38)</f>
        <v>0</v>
      </c>
      <c r="F39" s="1545">
        <f>SUM(F33:F38)</f>
        <v>0</v>
      </c>
      <c r="G39" s="1546">
        <f>SUM(C39:F39)</f>
        <v>51286</v>
      </c>
    </row>
    <row r="40" spans="1:7">
      <c r="A40" s="1552"/>
      <c r="B40" s="1552"/>
      <c r="C40" s="1552"/>
      <c r="D40" s="1552"/>
      <c r="E40" s="1552"/>
      <c r="F40" s="1552"/>
      <c r="G40" s="1552"/>
    </row>
    <row r="41" spans="1:7">
      <c r="A41" s="1552"/>
      <c r="B41" s="1552"/>
      <c r="C41" s="1552"/>
      <c r="D41" s="1552"/>
      <c r="E41" s="1552"/>
      <c r="F41" s="1552"/>
      <c r="G41" s="1552"/>
    </row>
    <row r="42" spans="1:7">
      <c r="A42" s="1552"/>
      <c r="B42" s="1552"/>
      <c r="C42" s="1552"/>
      <c r="D42" s="1552"/>
      <c r="E42" s="1552"/>
      <c r="F42" s="1552"/>
      <c r="G42" s="1552"/>
    </row>
    <row r="43" spans="1:7" ht="15.75">
      <c r="A43" s="1890" t="s">
        <v>1163</v>
      </c>
      <c r="B43" s="1890"/>
      <c r="C43" s="1552"/>
      <c r="D43" s="1552"/>
      <c r="E43" s="1552"/>
      <c r="F43" s="1552"/>
      <c r="G43" s="1552"/>
    </row>
    <row r="44" spans="1:7">
      <c r="A44" s="1552"/>
      <c r="B44" s="1552"/>
      <c r="C44" s="1552"/>
      <c r="D44" s="1552"/>
      <c r="E44" s="1552"/>
      <c r="F44" s="1552"/>
      <c r="G44" s="1552"/>
    </row>
    <row r="45" spans="1:7">
      <c r="A45" s="1552"/>
      <c r="B45" s="1552"/>
      <c r="C45" s="1552"/>
      <c r="D45" s="1552"/>
      <c r="E45" s="1552"/>
      <c r="F45" s="1552"/>
      <c r="G45" s="1552"/>
    </row>
    <row r="46" spans="1:7">
      <c r="A46" s="1552"/>
      <c r="B46" s="1552"/>
      <c r="C46" s="1892" t="s">
        <v>1162</v>
      </c>
      <c r="D46" s="1892"/>
      <c r="E46" s="1892"/>
      <c r="F46" s="1892"/>
      <c r="G46" s="1552"/>
    </row>
    <row r="47" spans="1:7" ht="13.5">
      <c r="A47" s="1552"/>
      <c r="B47" s="1552"/>
      <c r="C47" s="1894" t="s">
        <v>1161</v>
      </c>
      <c r="D47" s="1894"/>
      <c r="E47" s="1894"/>
      <c r="F47" s="1894"/>
      <c r="G47" s="1552"/>
    </row>
    <row r="48" spans="1:7" ht="62.25" customHeight="1">
      <c r="A48" s="1889" t="s">
        <v>1145</v>
      </c>
      <c r="B48" s="1889"/>
      <c r="C48" s="1889"/>
      <c r="D48" s="1889"/>
      <c r="E48" s="1889"/>
      <c r="F48" s="1889"/>
      <c r="G48" s="1889"/>
    </row>
    <row r="50" spans="1:7" ht="36" customHeight="1">
      <c r="A50" s="1549" t="s">
        <v>1146</v>
      </c>
      <c r="B50" s="1550"/>
      <c r="C50" s="1895" t="s">
        <v>1113</v>
      </c>
      <c r="D50" s="1895"/>
      <c r="E50" s="1895"/>
      <c r="F50" s="1895"/>
      <c r="G50" s="1895"/>
    </row>
    <row r="51" spans="1:7" ht="15.75">
      <c r="A51" s="1550"/>
      <c r="B51" s="1550"/>
      <c r="C51" s="1550"/>
      <c r="D51" s="1550"/>
      <c r="E51" s="1550"/>
      <c r="F51" s="1550"/>
      <c r="G51" s="1550"/>
    </row>
    <row r="52" spans="1:7">
      <c r="A52" s="1552"/>
      <c r="B52" s="1552"/>
      <c r="C52" s="1552"/>
      <c r="D52" s="1552"/>
      <c r="E52" s="1552"/>
      <c r="F52" s="1552"/>
      <c r="G52" s="1552"/>
    </row>
    <row r="53" spans="1:7" ht="15">
      <c r="A53" s="1554" t="s">
        <v>1147</v>
      </c>
      <c r="B53" s="1554"/>
      <c r="C53" s="1893">
        <f>'4.3.(7.3) Óvoda'!C55</f>
        <v>100735283</v>
      </c>
      <c r="D53" s="1893"/>
      <c r="E53" s="1555"/>
      <c r="F53" s="1555"/>
      <c r="G53" s="1555"/>
    </row>
    <row r="54" spans="1:7" ht="38.25" customHeight="1" thickBot="1">
      <c r="A54" s="1891" t="s">
        <v>1148</v>
      </c>
      <c r="B54" s="1891"/>
      <c r="C54" s="1559">
        <v>0</v>
      </c>
      <c r="D54" s="1555"/>
      <c r="E54" s="1555"/>
      <c r="F54" s="1555"/>
      <c r="G54" s="1555"/>
    </row>
    <row r="55" spans="1:7" ht="36.75" thickBot="1">
      <c r="A55" s="1527" t="s">
        <v>1090</v>
      </c>
      <c r="B55" s="1528" t="s">
        <v>1149</v>
      </c>
      <c r="C55" s="1528" t="s">
        <v>1150</v>
      </c>
      <c r="D55" s="1528" t="s">
        <v>1151</v>
      </c>
      <c r="E55" s="1528" t="s">
        <v>1152</v>
      </c>
      <c r="F55" s="1528" t="s">
        <v>1153</v>
      </c>
      <c r="G55" s="1529" t="s">
        <v>1154</v>
      </c>
    </row>
    <row r="56" spans="1:7">
      <c r="A56" s="1531" t="s">
        <v>693</v>
      </c>
      <c r="B56" s="1532" t="s">
        <v>1155</v>
      </c>
      <c r="C56" s="1533"/>
      <c r="D56" s="1533"/>
      <c r="E56" s="1533"/>
      <c r="F56" s="1533"/>
      <c r="G56" s="1534">
        <f>SUM(C56:F56)</f>
        <v>0</v>
      </c>
    </row>
    <row r="57" spans="1:7" ht="22.5">
      <c r="A57" s="1535" t="s">
        <v>707</v>
      </c>
      <c r="B57" s="1536" t="s">
        <v>1156</v>
      </c>
      <c r="C57" s="1537"/>
      <c r="D57" s="1537"/>
      <c r="E57" s="1537"/>
      <c r="F57" s="1537"/>
      <c r="G57" s="1538">
        <f>SUM(C57:F57)</f>
        <v>0</v>
      </c>
    </row>
    <row r="58" spans="1:7" ht="22.5">
      <c r="A58" s="1535" t="s">
        <v>721</v>
      </c>
      <c r="B58" s="1536" t="s">
        <v>1157</v>
      </c>
      <c r="C58" s="1537"/>
      <c r="D58" s="1537"/>
      <c r="E58" s="1537"/>
      <c r="F58" s="1537"/>
      <c r="G58" s="1538">
        <f>SUM(C58:F58)</f>
        <v>0</v>
      </c>
    </row>
    <row r="59" spans="1:7">
      <c r="A59" s="1535" t="s">
        <v>897</v>
      </c>
      <c r="B59" s="1536" t="s">
        <v>1158</v>
      </c>
      <c r="C59" s="1537"/>
      <c r="D59" s="1537"/>
      <c r="E59" s="1537"/>
      <c r="F59" s="1537"/>
      <c r="G59" s="1538">
        <f>SUM(C59:F59)</f>
        <v>0</v>
      </c>
    </row>
    <row r="60" spans="1:7" ht="22.5">
      <c r="A60" s="1535" t="s">
        <v>750</v>
      </c>
      <c r="B60" s="1536" t="s">
        <v>1159</v>
      </c>
      <c r="C60" s="1537"/>
      <c r="D60" s="1537"/>
      <c r="E60" s="1537"/>
      <c r="F60" s="1537"/>
      <c r="G60" s="1538">
        <f>SUM(C60:F60)</f>
        <v>0</v>
      </c>
    </row>
    <row r="61" spans="1:7" ht="23.25" thickBot="1">
      <c r="A61" s="1539" t="s">
        <v>772</v>
      </c>
      <c r="B61" s="1540" t="s">
        <v>1167</v>
      </c>
      <c r="C61" s="1541">
        <v>3</v>
      </c>
      <c r="D61" s="1541"/>
      <c r="E61" s="1541"/>
      <c r="F61" s="1541"/>
      <c r="G61" s="1542">
        <v>3</v>
      </c>
    </row>
    <row r="62" spans="1:7" ht="13.5" thickBot="1">
      <c r="A62" s="1543" t="s">
        <v>908</v>
      </c>
      <c r="B62" s="1544" t="s">
        <v>1154</v>
      </c>
      <c r="C62" s="1545">
        <f>SUM(C56:C61)</f>
        <v>3</v>
      </c>
      <c r="D62" s="1545">
        <f>SUM(D56:D61)</f>
        <v>0</v>
      </c>
      <c r="E62" s="1545">
        <f>SUM(E56:E61)</f>
        <v>0</v>
      </c>
      <c r="F62" s="1545">
        <f>SUM(F56:F61)</f>
        <v>0</v>
      </c>
      <c r="G62" s="1546">
        <f>SUM(C62:F62)</f>
        <v>3</v>
      </c>
    </row>
    <row r="63" spans="1:7">
      <c r="A63" s="1552"/>
      <c r="B63" s="1552"/>
      <c r="C63" s="1552"/>
      <c r="D63" s="1552"/>
      <c r="E63" s="1552"/>
      <c r="F63" s="1552"/>
      <c r="G63" s="1552"/>
    </row>
    <row r="64" spans="1:7" ht="15.75">
      <c r="A64" s="1890" t="s">
        <v>1163</v>
      </c>
      <c r="B64" s="1890"/>
      <c r="C64" s="1552"/>
      <c r="D64" s="1552"/>
      <c r="E64" s="1552"/>
      <c r="F64" s="1552"/>
      <c r="G64" s="1552"/>
    </row>
    <row r="65" spans="1:7">
      <c r="A65" s="1552"/>
      <c r="B65" s="1552"/>
      <c r="C65" s="1552"/>
      <c r="D65" s="1552"/>
      <c r="E65" s="1552"/>
      <c r="F65" s="1552"/>
      <c r="G65" s="1552"/>
    </row>
    <row r="66" spans="1:7">
      <c r="A66" s="1552"/>
      <c r="B66" s="1552"/>
      <c r="C66" s="1552"/>
      <c r="D66" s="1552"/>
      <c r="E66" s="1552"/>
      <c r="F66" s="1552"/>
      <c r="G66" s="1552"/>
    </row>
    <row r="67" spans="1:7">
      <c r="A67" s="1552"/>
      <c r="B67" s="1552"/>
      <c r="C67" s="1892" t="s">
        <v>1164</v>
      </c>
      <c r="D67" s="1892"/>
      <c r="E67" s="1892"/>
      <c r="F67" s="1892"/>
      <c r="G67" s="1552"/>
    </row>
    <row r="68" spans="1:7" ht="13.5">
      <c r="A68" s="1552"/>
      <c r="B68" s="1552"/>
      <c r="C68" s="1894" t="s">
        <v>1161</v>
      </c>
      <c r="D68" s="1894"/>
      <c r="E68" s="1894"/>
      <c r="F68" s="1894"/>
      <c r="G68" s="1552"/>
    </row>
  </sheetData>
  <sheetProtection password="DCF7" sheet="1" objects="1" scenarios="1" selectLockedCells="1" selectUnlockedCells="1"/>
  <mergeCells count="21">
    <mergeCell ref="A64:B64"/>
    <mergeCell ref="C67:F67"/>
    <mergeCell ref="C68:F68"/>
    <mergeCell ref="C53:D53"/>
    <mergeCell ref="C30:D30"/>
    <mergeCell ref="A54:B54"/>
    <mergeCell ref="C46:F46"/>
    <mergeCell ref="C47:F47"/>
    <mergeCell ref="A48:G48"/>
    <mergeCell ref="C50:G50"/>
    <mergeCell ref="C23:F23"/>
    <mergeCell ref="A25:G25"/>
    <mergeCell ref="C27:G27"/>
    <mergeCell ref="A31:B31"/>
    <mergeCell ref="A43:B43"/>
    <mergeCell ref="A1:G1"/>
    <mergeCell ref="C3:G3"/>
    <mergeCell ref="A7:B7"/>
    <mergeCell ref="A19:B19"/>
    <mergeCell ref="C22:F22"/>
    <mergeCell ref="C6:D6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&amp;C&amp;"Times New Roman CE,Félkövér"&amp;12
&amp;R&amp;"Times New Roman CE,Félkövér dőlt" 9. melléklet a 3/2019. (II.25.) önkormányzati rendelethez</oddHeader>
  </headerFooter>
  <rowBreaks count="2" manualBreakCount="2">
    <brk id="24" max="16383" man="1"/>
    <brk id="4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S82"/>
  <sheetViews>
    <sheetView view="pageBreakPreview" zoomScaleNormal="100" zoomScaleSheetLayoutView="100" workbookViewId="0">
      <selection activeCell="Q16" sqref="Q16"/>
    </sheetView>
  </sheetViews>
  <sheetFormatPr defaultRowHeight="15.75"/>
  <cols>
    <col min="1" max="1" width="4.140625" style="1649" customWidth="1"/>
    <col min="2" max="2" width="26.7109375" style="1648" customWidth="1"/>
    <col min="3" max="3" width="8.7109375" style="1648" bestFit="1" customWidth="1"/>
    <col min="4" max="4" width="10.42578125" style="1648" customWidth="1"/>
    <col min="5" max="14" width="8.7109375" style="1648" bestFit="1" customWidth="1"/>
    <col min="15" max="15" width="10.85546875" style="1649" customWidth="1"/>
    <col min="16" max="16" width="12.42578125" style="1694" hidden="1" customWidth="1"/>
    <col min="17" max="17" width="12.42578125" style="1695" hidden="1" customWidth="1"/>
    <col min="18" max="18" width="9.140625" style="1695" hidden="1" customWidth="1"/>
    <col min="19" max="19" width="9.140625" style="1695"/>
    <col min="20" max="256" width="9.140625" style="1648"/>
    <col min="257" max="257" width="4.140625" style="1648" customWidth="1"/>
    <col min="258" max="258" width="26.7109375" style="1648" customWidth="1"/>
    <col min="259" max="260" width="7.7109375" style="1648" customWidth="1"/>
    <col min="261" max="261" width="8.140625" style="1648" customWidth="1"/>
    <col min="262" max="262" width="7.5703125" style="1648" customWidth="1"/>
    <col min="263" max="263" width="7.42578125" style="1648" customWidth="1"/>
    <col min="264" max="264" width="7.5703125" style="1648" customWidth="1"/>
    <col min="265" max="265" width="7" style="1648" customWidth="1"/>
    <col min="266" max="270" width="8.140625" style="1648" customWidth="1"/>
    <col min="271" max="271" width="10.85546875" style="1648" customWidth="1"/>
    <col min="272" max="512" width="9.140625" style="1648"/>
    <col min="513" max="513" width="4.140625" style="1648" customWidth="1"/>
    <col min="514" max="514" width="26.7109375" style="1648" customWidth="1"/>
    <col min="515" max="516" width="7.7109375" style="1648" customWidth="1"/>
    <col min="517" max="517" width="8.140625" style="1648" customWidth="1"/>
    <col min="518" max="518" width="7.5703125" style="1648" customWidth="1"/>
    <col min="519" max="519" width="7.42578125" style="1648" customWidth="1"/>
    <col min="520" max="520" width="7.5703125" style="1648" customWidth="1"/>
    <col min="521" max="521" width="7" style="1648" customWidth="1"/>
    <col min="522" max="526" width="8.140625" style="1648" customWidth="1"/>
    <col min="527" max="527" width="10.85546875" style="1648" customWidth="1"/>
    <col min="528" max="768" width="9.140625" style="1648"/>
    <col min="769" max="769" width="4.140625" style="1648" customWidth="1"/>
    <col min="770" max="770" width="26.7109375" style="1648" customWidth="1"/>
    <col min="771" max="772" width="7.7109375" style="1648" customWidth="1"/>
    <col min="773" max="773" width="8.140625" style="1648" customWidth="1"/>
    <col min="774" max="774" width="7.5703125" style="1648" customWidth="1"/>
    <col min="775" max="775" width="7.42578125" style="1648" customWidth="1"/>
    <col min="776" max="776" width="7.5703125" style="1648" customWidth="1"/>
    <col min="777" max="777" width="7" style="1648" customWidth="1"/>
    <col min="778" max="782" width="8.140625" style="1648" customWidth="1"/>
    <col min="783" max="783" width="10.85546875" style="1648" customWidth="1"/>
    <col min="784" max="1024" width="9.140625" style="1648"/>
    <col min="1025" max="1025" width="4.140625" style="1648" customWidth="1"/>
    <col min="1026" max="1026" width="26.7109375" style="1648" customWidth="1"/>
    <col min="1027" max="1028" width="7.7109375" style="1648" customWidth="1"/>
    <col min="1029" max="1029" width="8.140625" style="1648" customWidth="1"/>
    <col min="1030" max="1030" width="7.5703125" style="1648" customWidth="1"/>
    <col min="1031" max="1031" width="7.42578125" style="1648" customWidth="1"/>
    <col min="1032" max="1032" width="7.5703125" style="1648" customWidth="1"/>
    <col min="1033" max="1033" width="7" style="1648" customWidth="1"/>
    <col min="1034" max="1038" width="8.140625" style="1648" customWidth="1"/>
    <col min="1039" max="1039" width="10.85546875" style="1648" customWidth="1"/>
    <col min="1040" max="1280" width="9.140625" style="1648"/>
    <col min="1281" max="1281" width="4.140625" style="1648" customWidth="1"/>
    <col min="1282" max="1282" width="26.7109375" style="1648" customWidth="1"/>
    <col min="1283" max="1284" width="7.7109375" style="1648" customWidth="1"/>
    <col min="1285" max="1285" width="8.140625" style="1648" customWidth="1"/>
    <col min="1286" max="1286" width="7.5703125" style="1648" customWidth="1"/>
    <col min="1287" max="1287" width="7.42578125" style="1648" customWidth="1"/>
    <col min="1288" max="1288" width="7.5703125" style="1648" customWidth="1"/>
    <col min="1289" max="1289" width="7" style="1648" customWidth="1"/>
    <col min="1290" max="1294" width="8.140625" style="1648" customWidth="1"/>
    <col min="1295" max="1295" width="10.85546875" style="1648" customWidth="1"/>
    <col min="1296" max="1536" width="9.140625" style="1648"/>
    <col min="1537" max="1537" width="4.140625" style="1648" customWidth="1"/>
    <col min="1538" max="1538" width="26.7109375" style="1648" customWidth="1"/>
    <col min="1539" max="1540" width="7.7109375" style="1648" customWidth="1"/>
    <col min="1541" max="1541" width="8.140625" style="1648" customWidth="1"/>
    <col min="1542" max="1542" width="7.5703125" style="1648" customWidth="1"/>
    <col min="1543" max="1543" width="7.42578125" style="1648" customWidth="1"/>
    <col min="1544" max="1544" width="7.5703125" style="1648" customWidth="1"/>
    <col min="1545" max="1545" width="7" style="1648" customWidth="1"/>
    <col min="1546" max="1550" width="8.140625" style="1648" customWidth="1"/>
    <col min="1551" max="1551" width="10.85546875" style="1648" customWidth="1"/>
    <col min="1552" max="1792" width="9.140625" style="1648"/>
    <col min="1793" max="1793" width="4.140625" style="1648" customWidth="1"/>
    <col min="1794" max="1794" width="26.7109375" style="1648" customWidth="1"/>
    <col min="1795" max="1796" width="7.7109375" style="1648" customWidth="1"/>
    <col min="1797" max="1797" width="8.140625" style="1648" customWidth="1"/>
    <col min="1798" max="1798" width="7.5703125" style="1648" customWidth="1"/>
    <col min="1799" max="1799" width="7.42578125" style="1648" customWidth="1"/>
    <col min="1800" max="1800" width="7.5703125" style="1648" customWidth="1"/>
    <col min="1801" max="1801" width="7" style="1648" customWidth="1"/>
    <col min="1802" max="1806" width="8.140625" style="1648" customWidth="1"/>
    <col min="1807" max="1807" width="10.85546875" style="1648" customWidth="1"/>
    <col min="1808" max="2048" width="9.140625" style="1648"/>
    <col min="2049" max="2049" width="4.140625" style="1648" customWidth="1"/>
    <col min="2050" max="2050" width="26.7109375" style="1648" customWidth="1"/>
    <col min="2051" max="2052" width="7.7109375" style="1648" customWidth="1"/>
    <col min="2053" max="2053" width="8.140625" style="1648" customWidth="1"/>
    <col min="2054" max="2054" width="7.5703125" style="1648" customWidth="1"/>
    <col min="2055" max="2055" width="7.42578125" style="1648" customWidth="1"/>
    <col min="2056" max="2056" width="7.5703125" style="1648" customWidth="1"/>
    <col min="2057" max="2057" width="7" style="1648" customWidth="1"/>
    <col min="2058" max="2062" width="8.140625" style="1648" customWidth="1"/>
    <col min="2063" max="2063" width="10.85546875" style="1648" customWidth="1"/>
    <col min="2064" max="2304" width="9.140625" style="1648"/>
    <col min="2305" max="2305" width="4.140625" style="1648" customWidth="1"/>
    <col min="2306" max="2306" width="26.7109375" style="1648" customWidth="1"/>
    <col min="2307" max="2308" width="7.7109375" style="1648" customWidth="1"/>
    <col min="2309" max="2309" width="8.140625" style="1648" customWidth="1"/>
    <col min="2310" max="2310" width="7.5703125" style="1648" customWidth="1"/>
    <col min="2311" max="2311" width="7.42578125" style="1648" customWidth="1"/>
    <col min="2312" max="2312" width="7.5703125" style="1648" customWidth="1"/>
    <col min="2313" max="2313" width="7" style="1648" customWidth="1"/>
    <col min="2314" max="2318" width="8.140625" style="1648" customWidth="1"/>
    <col min="2319" max="2319" width="10.85546875" style="1648" customWidth="1"/>
    <col min="2320" max="2560" width="9.140625" style="1648"/>
    <col min="2561" max="2561" width="4.140625" style="1648" customWidth="1"/>
    <col min="2562" max="2562" width="26.7109375" style="1648" customWidth="1"/>
    <col min="2563" max="2564" width="7.7109375" style="1648" customWidth="1"/>
    <col min="2565" max="2565" width="8.140625" style="1648" customWidth="1"/>
    <col min="2566" max="2566" width="7.5703125" style="1648" customWidth="1"/>
    <col min="2567" max="2567" width="7.42578125" style="1648" customWidth="1"/>
    <col min="2568" max="2568" width="7.5703125" style="1648" customWidth="1"/>
    <col min="2569" max="2569" width="7" style="1648" customWidth="1"/>
    <col min="2570" max="2574" width="8.140625" style="1648" customWidth="1"/>
    <col min="2575" max="2575" width="10.85546875" style="1648" customWidth="1"/>
    <col min="2576" max="2816" width="9.140625" style="1648"/>
    <col min="2817" max="2817" width="4.140625" style="1648" customWidth="1"/>
    <col min="2818" max="2818" width="26.7109375" style="1648" customWidth="1"/>
    <col min="2819" max="2820" width="7.7109375" style="1648" customWidth="1"/>
    <col min="2821" max="2821" width="8.140625" style="1648" customWidth="1"/>
    <col min="2822" max="2822" width="7.5703125" style="1648" customWidth="1"/>
    <col min="2823" max="2823" width="7.42578125" style="1648" customWidth="1"/>
    <col min="2824" max="2824" width="7.5703125" style="1648" customWidth="1"/>
    <col min="2825" max="2825" width="7" style="1648" customWidth="1"/>
    <col min="2826" max="2830" width="8.140625" style="1648" customWidth="1"/>
    <col min="2831" max="2831" width="10.85546875" style="1648" customWidth="1"/>
    <col min="2832" max="3072" width="9.140625" style="1648"/>
    <col min="3073" max="3073" width="4.140625" style="1648" customWidth="1"/>
    <col min="3074" max="3074" width="26.7109375" style="1648" customWidth="1"/>
    <col min="3075" max="3076" width="7.7109375" style="1648" customWidth="1"/>
    <col min="3077" max="3077" width="8.140625" style="1648" customWidth="1"/>
    <col min="3078" max="3078" width="7.5703125" style="1648" customWidth="1"/>
    <col min="3079" max="3079" width="7.42578125" style="1648" customWidth="1"/>
    <col min="3080" max="3080" width="7.5703125" style="1648" customWidth="1"/>
    <col min="3081" max="3081" width="7" style="1648" customWidth="1"/>
    <col min="3082" max="3086" width="8.140625" style="1648" customWidth="1"/>
    <col min="3087" max="3087" width="10.85546875" style="1648" customWidth="1"/>
    <col min="3088" max="3328" width="9.140625" style="1648"/>
    <col min="3329" max="3329" width="4.140625" style="1648" customWidth="1"/>
    <col min="3330" max="3330" width="26.7109375" style="1648" customWidth="1"/>
    <col min="3331" max="3332" width="7.7109375" style="1648" customWidth="1"/>
    <col min="3333" max="3333" width="8.140625" style="1648" customWidth="1"/>
    <col min="3334" max="3334" width="7.5703125" style="1648" customWidth="1"/>
    <col min="3335" max="3335" width="7.42578125" style="1648" customWidth="1"/>
    <col min="3336" max="3336" width="7.5703125" style="1648" customWidth="1"/>
    <col min="3337" max="3337" width="7" style="1648" customWidth="1"/>
    <col min="3338" max="3342" width="8.140625" style="1648" customWidth="1"/>
    <col min="3343" max="3343" width="10.85546875" style="1648" customWidth="1"/>
    <col min="3344" max="3584" width="9.140625" style="1648"/>
    <col min="3585" max="3585" width="4.140625" style="1648" customWidth="1"/>
    <col min="3586" max="3586" width="26.7109375" style="1648" customWidth="1"/>
    <col min="3587" max="3588" width="7.7109375" style="1648" customWidth="1"/>
    <col min="3589" max="3589" width="8.140625" style="1648" customWidth="1"/>
    <col min="3590" max="3590" width="7.5703125" style="1648" customWidth="1"/>
    <col min="3591" max="3591" width="7.42578125" style="1648" customWidth="1"/>
    <col min="3592" max="3592" width="7.5703125" style="1648" customWidth="1"/>
    <col min="3593" max="3593" width="7" style="1648" customWidth="1"/>
    <col min="3594" max="3598" width="8.140625" style="1648" customWidth="1"/>
    <col min="3599" max="3599" width="10.85546875" style="1648" customWidth="1"/>
    <col min="3600" max="3840" width="9.140625" style="1648"/>
    <col min="3841" max="3841" width="4.140625" style="1648" customWidth="1"/>
    <col min="3842" max="3842" width="26.7109375" style="1648" customWidth="1"/>
    <col min="3843" max="3844" width="7.7109375" style="1648" customWidth="1"/>
    <col min="3845" max="3845" width="8.140625" style="1648" customWidth="1"/>
    <col min="3846" max="3846" width="7.5703125" style="1648" customWidth="1"/>
    <col min="3847" max="3847" width="7.42578125" style="1648" customWidth="1"/>
    <col min="3848" max="3848" width="7.5703125" style="1648" customWidth="1"/>
    <col min="3849" max="3849" width="7" style="1648" customWidth="1"/>
    <col min="3850" max="3854" width="8.140625" style="1648" customWidth="1"/>
    <col min="3855" max="3855" width="10.85546875" style="1648" customWidth="1"/>
    <col min="3856" max="4096" width="9.140625" style="1648"/>
    <col min="4097" max="4097" width="4.140625" style="1648" customWidth="1"/>
    <col min="4098" max="4098" width="26.7109375" style="1648" customWidth="1"/>
    <col min="4099" max="4100" width="7.7109375" style="1648" customWidth="1"/>
    <col min="4101" max="4101" width="8.140625" style="1648" customWidth="1"/>
    <col min="4102" max="4102" width="7.5703125" style="1648" customWidth="1"/>
    <col min="4103" max="4103" width="7.42578125" style="1648" customWidth="1"/>
    <col min="4104" max="4104" width="7.5703125" style="1648" customWidth="1"/>
    <col min="4105" max="4105" width="7" style="1648" customWidth="1"/>
    <col min="4106" max="4110" width="8.140625" style="1648" customWidth="1"/>
    <col min="4111" max="4111" width="10.85546875" style="1648" customWidth="1"/>
    <col min="4112" max="4352" width="9.140625" style="1648"/>
    <col min="4353" max="4353" width="4.140625" style="1648" customWidth="1"/>
    <col min="4354" max="4354" width="26.7109375" style="1648" customWidth="1"/>
    <col min="4355" max="4356" width="7.7109375" style="1648" customWidth="1"/>
    <col min="4357" max="4357" width="8.140625" style="1648" customWidth="1"/>
    <col min="4358" max="4358" width="7.5703125" style="1648" customWidth="1"/>
    <col min="4359" max="4359" width="7.42578125" style="1648" customWidth="1"/>
    <col min="4360" max="4360" width="7.5703125" style="1648" customWidth="1"/>
    <col min="4361" max="4361" width="7" style="1648" customWidth="1"/>
    <col min="4362" max="4366" width="8.140625" style="1648" customWidth="1"/>
    <col min="4367" max="4367" width="10.85546875" style="1648" customWidth="1"/>
    <col min="4368" max="4608" width="9.140625" style="1648"/>
    <col min="4609" max="4609" width="4.140625" style="1648" customWidth="1"/>
    <col min="4610" max="4610" width="26.7109375" style="1648" customWidth="1"/>
    <col min="4611" max="4612" width="7.7109375" style="1648" customWidth="1"/>
    <col min="4613" max="4613" width="8.140625" style="1648" customWidth="1"/>
    <col min="4614" max="4614" width="7.5703125" style="1648" customWidth="1"/>
    <col min="4615" max="4615" width="7.42578125" style="1648" customWidth="1"/>
    <col min="4616" max="4616" width="7.5703125" style="1648" customWidth="1"/>
    <col min="4617" max="4617" width="7" style="1648" customWidth="1"/>
    <col min="4618" max="4622" width="8.140625" style="1648" customWidth="1"/>
    <col min="4623" max="4623" width="10.85546875" style="1648" customWidth="1"/>
    <col min="4624" max="4864" width="9.140625" style="1648"/>
    <col min="4865" max="4865" width="4.140625" style="1648" customWidth="1"/>
    <col min="4866" max="4866" width="26.7109375" style="1648" customWidth="1"/>
    <col min="4867" max="4868" width="7.7109375" style="1648" customWidth="1"/>
    <col min="4869" max="4869" width="8.140625" style="1648" customWidth="1"/>
    <col min="4870" max="4870" width="7.5703125" style="1648" customWidth="1"/>
    <col min="4871" max="4871" width="7.42578125" style="1648" customWidth="1"/>
    <col min="4872" max="4872" width="7.5703125" style="1648" customWidth="1"/>
    <col min="4873" max="4873" width="7" style="1648" customWidth="1"/>
    <col min="4874" max="4878" width="8.140625" style="1648" customWidth="1"/>
    <col min="4879" max="4879" width="10.85546875" style="1648" customWidth="1"/>
    <col min="4880" max="5120" width="9.140625" style="1648"/>
    <col min="5121" max="5121" width="4.140625" style="1648" customWidth="1"/>
    <col min="5122" max="5122" width="26.7109375" style="1648" customWidth="1"/>
    <col min="5123" max="5124" width="7.7109375" style="1648" customWidth="1"/>
    <col min="5125" max="5125" width="8.140625" style="1648" customWidth="1"/>
    <col min="5126" max="5126" width="7.5703125" style="1648" customWidth="1"/>
    <col min="5127" max="5127" width="7.42578125" style="1648" customWidth="1"/>
    <col min="5128" max="5128" width="7.5703125" style="1648" customWidth="1"/>
    <col min="5129" max="5129" width="7" style="1648" customWidth="1"/>
    <col min="5130" max="5134" width="8.140625" style="1648" customWidth="1"/>
    <col min="5135" max="5135" width="10.85546875" style="1648" customWidth="1"/>
    <col min="5136" max="5376" width="9.140625" style="1648"/>
    <col min="5377" max="5377" width="4.140625" style="1648" customWidth="1"/>
    <col min="5378" max="5378" width="26.7109375" style="1648" customWidth="1"/>
    <col min="5379" max="5380" width="7.7109375" style="1648" customWidth="1"/>
    <col min="5381" max="5381" width="8.140625" style="1648" customWidth="1"/>
    <col min="5382" max="5382" width="7.5703125" style="1648" customWidth="1"/>
    <col min="5383" max="5383" width="7.42578125" style="1648" customWidth="1"/>
    <col min="5384" max="5384" width="7.5703125" style="1648" customWidth="1"/>
    <col min="5385" max="5385" width="7" style="1648" customWidth="1"/>
    <col min="5386" max="5390" width="8.140625" style="1648" customWidth="1"/>
    <col min="5391" max="5391" width="10.85546875" style="1648" customWidth="1"/>
    <col min="5392" max="5632" width="9.140625" style="1648"/>
    <col min="5633" max="5633" width="4.140625" style="1648" customWidth="1"/>
    <col min="5634" max="5634" width="26.7109375" style="1648" customWidth="1"/>
    <col min="5635" max="5636" width="7.7109375" style="1648" customWidth="1"/>
    <col min="5637" max="5637" width="8.140625" style="1648" customWidth="1"/>
    <col min="5638" max="5638" width="7.5703125" style="1648" customWidth="1"/>
    <col min="5639" max="5639" width="7.42578125" style="1648" customWidth="1"/>
    <col min="5640" max="5640" width="7.5703125" style="1648" customWidth="1"/>
    <col min="5641" max="5641" width="7" style="1648" customWidth="1"/>
    <col min="5642" max="5646" width="8.140625" style="1648" customWidth="1"/>
    <col min="5647" max="5647" width="10.85546875" style="1648" customWidth="1"/>
    <col min="5648" max="5888" width="9.140625" style="1648"/>
    <col min="5889" max="5889" width="4.140625" style="1648" customWidth="1"/>
    <col min="5890" max="5890" width="26.7109375" style="1648" customWidth="1"/>
    <col min="5891" max="5892" width="7.7109375" style="1648" customWidth="1"/>
    <col min="5893" max="5893" width="8.140625" style="1648" customWidth="1"/>
    <col min="5894" max="5894" width="7.5703125" style="1648" customWidth="1"/>
    <col min="5895" max="5895" width="7.42578125" style="1648" customWidth="1"/>
    <col min="5896" max="5896" width="7.5703125" style="1648" customWidth="1"/>
    <col min="5897" max="5897" width="7" style="1648" customWidth="1"/>
    <col min="5898" max="5902" width="8.140625" style="1648" customWidth="1"/>
    <col min="5903" max="5903" width="10.85546875" style="1648" customWidth="1"/>
    <col min="5904" max="6144" width="9.140625" style="1648"/>
    <col min="6145" max="6145" width="4.140625" style="1648" customWidth="1"/>
    <col min="6146" max="6146" width="26.7109375" style="1648" customWidth="1"/>
    <col min="6147" max="6148" width="7.7109375" style="1648" customWidth="1"/>
    <col min="6149" max="6149" width="8.140625" style="1648" customWidth="1"/>
    <col min="6150" max="6150" width="7.5703125" style="1648" customWidth="1"/>
    <col min="6151" max="6151" width="7.42578125" style="1648" customWidth="1"/>
    <col min="6152" max="6152" width="7.5703125" style="1648" customWidth="1"/>
    <col min="6153" max="6153" width="7" style="1648" customWidth="1"/>
    <col min="6154" max="6158" width="8.140625" style="1648" customWidth="1"/>
    <col min="6159" max="6159" width="10.85546875" style="1648" customWidth="1"/>
    <col min="6160" max="6400" width="9.140625" style="1648"/>
    <col min="6401" max="6401" width="4.140625" style="1648" customWidth="1"/>
    <col min="6402" max="6402" width="26.7109375" style="1648" customWidth="1"/>
    <col min="6403" max="6404" width="7.7109375" style="1648" customWidth="1"/>
    <col min="6405" max="6405" width="8.140625" style="1648" customWidth="1"/>
    <col min="6406" max="6406" width="7.5703125" style="1648" customWidth="1"/>
    <col min="6407" max="6407" width="7.42578125" style="1648" customWidth="1"/>
    <col min="6408" max="6408" width="7.5703125" style="1648" customWidth="1"/>
    <col min="6409" max="6409" width="7" style="1648" customWidth="1"/>
    <col min="6410" max="6414" width="8.140625" style="1648" customWidth="1"/>
    <col min="6415" max="6415" width="10.85546875" style="1648" customWidth="1"/>
    <col min="6416" max="6656" width="9.140625" style="1648"/>
    <col min="6657" max="6657" width="4.140625" style="1648" customWidth="1"/>
    <col min="6658" max="6658" width="26.7109375" style="1648" customWidth="1"/>
    <col min="6659" max="6660" width="7.7109375" style="1648" customWidth="1"/>
    <col min="6661" max="6661" width="8.140625" style="1648" customWidth="1"/>
    <col min="6662" max="6662" width="7.5703125" style="1648" customWidth="1"/>
    <col min="6663" max="6663" width="7.42578125" style="1648" customWidth="1"/>
    <col min="6664" max="6664" width="7.5703125" style="1648" customWidth="1"/>
    <col min="6665" max="6665" width="7" style="1648" customWidth="1"/>
    <col min="6666" max="6670" width="8.140625" style="1648" customWidth="1"/>
    <col min="6671" max="6671" width="10.85546875" style="1648" customWidth="1"/>
    <col min="6672" max="6912" width="9.140625" style="1648"/>
    <col min="6913" max="6913" width="4.140625" style="1648" customWidth="1"/>
    <col min="6914" max="6914" width="26.7109375" style="1648" customWidth="1"/>
    <col min="6915" max="6916" width="7.7109375" style="1648" customWidth="1"/>
    <col min="6917" max="6917" width="8.140625" style="1648" customWidth="1"/>
    <col min="6918" max="6918" width="7.5703125" style="1648" customWidth="1"/>
    <col min="6919" max="6919" width="7.42578125" style="1648" customWidth="1"/>
    <col min="6920" max="6920" width="7.5703125" style="1648" customWidth="1"/>
    <col min="6921" max="6921" width="7" style="1648" customWidth="1"/>
    <col min="6922" max="6926" width="8.140625" style="1648" customWidth="1"/>
    <col min="6927" max="6927" width="10.85546875" style="1648" customWidth="1"/>
    <col min="6928" max="7168" width="9.140625" style="1648"/>
    <col min="7169" max="7169" width="4.140625" style="1648" customWidth="1"/>
    <col min="7170" max="7170" width="26.7109375" style="1648" customWidth="1"/>
    <col min="7171" max="7172" width="7.7109375" style="1648" customWidth="1"/>
    <col min="7173" max="7173" width="8.140625" style="1648" customWidth="1"/>
    <col min="7174" max="7174" width="7.5703125" style="1648" customWidth="1"/>
    <col min="7175" max="7175" width="7.42578125" style="1648" customWidth="1"/>
    <col min="7176" max="7176" width="7.5703125" style="1648" customWidth="1"/>
    <col min="7177" max="7177" width="7" style="1648" customWidth="1"/>
    <col min="7178" max="7182" width="8.140625" style="1648" customWidth="1"/>
    <col min="7183" max="7183" width="10.85546875" style="1648" customWidth="1"/>
    <col min="7184" max="7424" width="9.140625" style="1648"/>
    <col min="7425" max="7425" width="4.140625" style="1648" customWidth="1"/>
    <col min="7426" max="7426" width="26.7109375" style="1648" customWidth="1"/>
    <col min="7427" max="7428" width="7.7109375" style="1648" customWidth="1"/>
    <col min="7429" max="7429" width="8.140625" style="1648" customWidth="1"/>
    <col min="7430" max="7430" width="7.5703125" style="1648" customWidth="1"/>
    <col min="7431" max="7431" width="7.42578125" style="1648" customWidth="1"/>
    <col min="7432" max="7432" width="7.5703125" style="1648" customWidth="1"/>
    <col min="7433" max="7433" width="7" style="1648" customWidth="1"/>
    <col min="7434" max="7438" width="8.140625" style="1648" customWidth="1"/>
    <col min="7439" max="7439" width="10.85546875" style="1648" customWidth="1"/>
    <col min="7440" max="7680" width="9.140625" style="1648"/>
    <col min="7681" max="7681" width="4.140625" style="1648" customWidth="1"/>
    <col min="7682" max="7682" width="26.7109375" style="1648" customWidth="1"/>
    <col min="7683" max="7684" width="7.7109375" style="1648" customWidth="1"/>
    <col min="7685" max="7685" width="8.140625" style="1648" customWidth="1"/>
    <col min="7686" max="7686" width="7.5703125" style="1648" customWidth="1"/>
    <col min="7687" max="7687" width="7.42578125" style="1648" customWidth="1"/>
    <col min="7688" max="7688" width="7.5703125" style="1648" customWidth="1"/>
    <col min="7689" max="7689" width="7" style="1648" customWidth="1"/>
    <col min="7690" max="7694" width="8.140625" style="1648" customWidth="1"/>
    <col min="7695" max="7695" width="10.85546875" style="1648" customWidth="1"/>
    <col min="7696" max="7936" width="9.140625" style="1648"/>
    <col min="7937" max="7937" width="4.140625" style="1648" customWidth="1"/>
    <col min="7938" max="7938" width="26.7109375" style="1648" customWidth="1"/>
    <col min="7939" max="7940" width="7.7109375" style="1648" customWidth="1"/>
    <col min="7941" max="7941" width="8.140625" style="1648" customWidth="1"/>
    <col min="7942" max="7942" width="7.5703125" style="1648" customWidth="1"/>
    <col min="7943" max="7943" width="7.42578125" style="1648" customWidth="1"/>
    <col min="7944" max="7944" width="7.5703125" style="1648" customWidth="1"/>
    <col min="7945" max="7945" width="7" style="1648" customWidth="1"/>
    <col min="7946" max="7950" width="8.140625" style="1648" customWidth="1"/>
    <col min="7951" max="7951" width="10.85546875" style="1648" customWidth="1"/>
    <col min="7952" max="8192" width="9.140625" style="1648"/>
    <col min="8193" max="8193" width="4.140625" style="1648" customWidth="1"/>
    <col min="8194" max="8194" width="26.7109375" style="1648" customWidth="1"/>
    <col min="8195" max="8196" width="7.7109375" style="1648" customWidth="1"/>
    <col min="8197" max="8197" width="8.140625" style="1648" customWidth="1"/>
    <col min="8198" max="8198" width="7.5703125" style="1648" customWidth="1"/>
    <col min="8199" max="8199" width="7.42578125" style="1648" customWidth="1"/>
    <col min="8200" max="8200" width="7.5703125" style="1648" customWidth="1"/>
    <col min="8201" max="8201" width="7" style="1648" customWidth="1"/>
    <col min="8202" max="8206" width="8.140625" style="1648" customWidth="1"/>
    <col min="8207" max="8207" width="10.85546875" style="1648" customWidth="1"/>
    <col min="8208" max="8448" width="9.140625" style="1648"/>
    <col min="8449" max="8449" width="4.140625" style="1648" customWidth="1"/>
    <col min="8450" max="8450" width="26.7109375" style="1648" customWidth="1"/>
    <col min="8451" max="8452" width="7.7109375" style="1648" customWidth="1"/>
    <col min="8453" max="8453" width="8.140625" style="1648" customWidth="1"/>
    <col min="8454" max="8454" width="7.5703125" style="1648" customWidth="1"/>
    <col min="8455" max="8455" width="7.42578125" style="1648" customWidth="1"/>
    <col min="8456" max="8456" width="7.5703125" style="1648" customWidth="1"/>
    <col min="8457" max="8457" width="7" style="1648" customWidth="1"/>
    <col min="8458" max="8462" width="8.140625" style="1648" customWidth="1"/>
    <col min="8463" max="8463" width="10.85546875" style="1648" customWidth="1"/>
    <col min="8464" max="8704" width="9.140625" style="1648"/>
    <col min="8705" max="8705" width="4.140625" style="1648" customWidth="1"/>
    <col min="8706" max="8706" width="26.7109375" style="1648" customWidth="1"/>
    <col min="8707" max="8708" width="7.7109375" style="1648" customWidth="1"/>
    <col min="8709" max="8709" width="8.140625" style="1648" customWidth="1"/>
    <col min="8710" max="8710" width="7.5703125" style="1648" customWidth="1"/>
    <col min="8711" max="8711" width="7.42578125" style="1648" customWidth="1"/>
    <col min="8712" max="8712" width="7.5703125" style="1648" customWidth="1"/>
    <col min="8713" max="8713" width="7" style="1648" customWidth="1"/>
    <col min="8714" max="8718" width="8.140625" style="1648" customWidth="1"/>
    <col min="8719" max="8719" width="10.85546875" style="1648" customWidth="1"/>
    <col min="8720" max="8960" width="9.140625" style="1648"/>
    <col min="8961" max="8961" width="4.140625" style="1648" customWidth="1"/>
    <col min="8962" max="8962" width="26.7109375" style="1648" customWidth="1"/>
    <col min="8963" max="8964" width="7.7109375" style="1648" customWidth="1"/>
    <col min="8965" max="8965" width="8.140625" style="1648" customWidth="1"/>
    <col min="8966" max="8966" width="7.5703125" style="1648" customWidth="1"/>
    <col min="8967" max="8967" width="7.42578125" style="1648" customWidth="1"/>
    <col min="8968" max="8968" width="7.5703125" style="1648" customWidth="1"/>
    <col min="8969" max="8969" width="7" style="1648" customWidth="1"/>
    <col min="8970" max="8974" width="8.140625" style="1648" customWidth="1"/>
    <col min="8975" max="8975" width="10.85546875" style="1648" customWidth="1"/>
    <col min="8976" max="9216" width="9.140625" style="1648"/>
    <col min="9217" max="9217" width="4.140625" style="1648" customWidth="1"/>
    <col min="9218" max="9218" width="26.7109375" style="1648" customWidth="1"/>
    <col min="9219" max="9220" width="7.7109375" style="1648" customWidth="1"/>
    <col min="9221" max="9221" width="8.140625" style="1648" customWidth="1"/>
    <col min="9222" max="9222" width="7.5703125" style="1648" customWidth="1"/>
    <col min="9223" max="9223" width="7.42578125" style="1648" customWidth="1"/>
    <col min="9224" max="9224" width="7.5703125" style="1648" customWidth="1"/>
    <col min="9225" max="9225" width="7" style="1648" customWidth="1"/>
    <col min="9226" max="9230" width="8.140625" style="1648" customWidth="1"/>
    <col min="9231" max="9231" width="10.85546875" style="1648" customWidth="1"/>
    <col min="9232" max="9472" width="9.140625" style="1648"/>
    <col min="9473" max="9473" width="4.140625" style="1648" customWidth="1"/>
    <col min="9474" max="9474" width="26.7109375" style="1648" customWidth="1"/>
    <col min="9475" max="9476" width="7.7109375" style="1648" customWidth="1"/>
    <col min="9477" max="9477" width="8.140625" style="1648" customWidth="1"/>
    <col min="9478" max="9478" width="7.5703125" style="1648" customWidth="1"/>
    <col min="9479" max="9479" width="7.42578125" style="1648" customWidth="1"/>
    <col min="9480" max="9480" width="7.5703125" style="1648" customWidth="1"/>
    <col min="9481" max="9481" width="7" style="1648" customWidth="1"/>
    <col min="9482" max="9486" width="8.140625" style="1648" customWidth="1"/>
    <col min="9487" max="9487" width="10.85546875" style="1648" customWidth="1"/>
    <col min="9488" max="9728" width="9.140625" style="1648"/>
    <col min="9729" max="9729" width="4.140625" style="1648" customWidth="1"/>
    <col min="9730" max="9730" width="26.7109375" style="1648" customWidth="1"/>
    <col min="9731" max="9732" width="7.7109375" style="1648" customWidth="1"/>
    <col min="9733" max="9733" width="8.140625" style="1648" customWidth="1"/>
    <col min="9734" max="9734" width="7.5703125" style="1648" customWidth="1"/>
    <col min="9735" max="9735" width="7.42578125" style="1648" customWidth="1"/>
    <col min="9736" max="9736" width="7.5703125" style="1648" customWidth="1"/>
    <col min="9737" max="9737" width="7" style="1648" customWidth="1"/>
    <col min="9738" max="9742" width="8.140625" style="1648" customWidth="1"/>
    <col min="9743" max="9743" width="10.85546875" style="1648" customWidth="1"/>
    <col min="9744" max="9984" width="9.140625" style="1648"/>
    <col min="9985" max="9985" width="4.140625" style="1648" customWidth="1"/>
    <col min="9986" max="9986" width="26.7109375" style="1648" customWidth="1"/>
    <col min="9987" max="9988" width="7.7109375" style="1648" customWidth="1"/>
    <col min="9989" max="9989" width="8.140625" style="1648" customWidth="1"/>
    <col min="9990" max="9990" width="7.5703125" style="1648" customWidth="1"/>
    <col min="9991" max="9991" width="7.42578125" style="1648" customWidth="1"/>
    <col min="9992" max="9992" width="7.5703125" style="1648" customWidth="1"/>
    <col min="9993" max="9993" width="7" style="1648" customWidth="1"/>
    <col min="9994" max="9998" width="8.140625" style="1648" customWidth="1"/>
    <col min="9999" max="9999" width="10.85546875" style="1648" customWidth="1"/>
    <col min="10000" max="10240" width="9.140625" style="1648"/>
    <col min="10241" max="10241" width="4.140625" style="1648" customWidth="1"/>
    <col min="10242" max="10242" width="26.7109375" style="1648" customWidth="1"/>
    <col min="10243" max="10244" width="7.7109375" style="1648" customWidth="1"/>
    <col min="10245" max="10245" width="8.140625" style="1648" customWidth="1"/>
    <col min="10246" max="10246" width="7.5703125" style="1648" customWidth="1"/>
    <col min="10247" max="10247" width="7.42578125" style="1648" customWidth="1"/>
    <col min="10248" max="10248" width="7.5703125" style="1648" customWidth="1"/>
    <col min="10249" max="10249" width="7" style="1648" customWidth="1"/>
    <col min="10250" max="10254" width="8.140625" style="1648" customWidth="1"/>
    <col min="10255" max="10255" width="10.85546875" style="1648" customWidth="1"/>
    <col min="10256" max="10496" width="9.140625" style="1648"/>
    <col min="10497" max="10497" width="4.140625" style="1648" customWidth="1"/>
    <col min="10498" max="10498" width="26.7109375" style="1648" customWidth="1"/>
    <col min="10499" max="10500" width="7.7109375" style="1648" customWidth="1"/>
    <col min="10501" max="10501" width="8.140625" style="1648" customWidth="1"/>
    <col min="10502" max="10502" width="7.5703125" style="1648" customWidth="1"/>
    <col min="10503" max="10503" width="7.42578125" style="1648" customWidth="1"/>
    <col min="10504" max="10504" width="7.5703125" style="1648" customWidth="1"/>
    <col min="10505" max="10505" width="7" style="1648" customWidth="1"/>
    <col min="10506" max="10510" width="8.140625" style="1648" customWidth="1"/>
    <col min="10511" max="10511" width="10.85546875" style="1648" customWidth="1"/>
    <col min="10512" max="10752" width="9.140625" style="1648"/>
    <col min="10753" max="10753" width="4.140625" style="1648" customWidth="1"/>
    <col min="10754" max="10754" width="26.7109375" style="1648" customWidth="1"/>
    <col min="10755" max="10756" width="7.7109375" style="1648" customWidth="1"/>
    <col min="10757" max="10757" width="8.140625" style="1648" customWidth="1"/>
    <col min="10758" max="10758" width="7.5703125" style="1648" customWidth="1"/>
    <col min="10759" max="10759" width="7.42578125" style="1648" customWidth="1"/>
    <col min="10760" max="10760" width="7.5703125" style="1648" customWidth="1"/>
    <col min="10761" max="10761" width="7" style="1648" customWidth="1"/>
    <col min="10762" max="10766" width="8.140625" style="1648" customWidth="1"/>
    <col min="10767" max="10767" width="10.85546875" style="1648" customWidth="1"/>
    <col min="10768" max="11008" width="9.140625" style="1648"/>
    <col min="11009" max="11009" width="4.140625" style="1648" customWidth="1"/>
    <col min="11010" max="11010" width="26.7109375" style="1648" customWidth="1"/>
    <col min="11011" max="11012" width="7.7109375" style="1648" customWidth="1"/>
    <col min="11013" max="11013" width="8.140625" style="1648" customWidth="1"/>
    <col min="11014" max="11014" width="7.5703125" style="1648" customWidth="1"/>
    <col min="11015" max="11015" width="7.42578125" style="1648" customWidth="1"/>
    <col min="11016" max="11016" width="7.5703125" style="1648" customWidth="1"/>
    <col min="11017" max="11017" width="7" style="1648" customWidth="1"/>
    <col min="11018" max="11022" width="8.140625" style="1648" customWidth="1"/>
    <col min="11023" max="11023" width="10.85546875" style="1648" customWidth="1"/>
    <col min="11024" max="11264" width="9.140625" style="1648"/>
    <col min="11265" max="11265" width="4.140625" style="1648" customWidth="1"/>
    <col min="11266" max="11266" width="26.7109375" style="1648" customWidth="1"/>
    <col min="11267" max="11268" width="7.7109375" style="1648" customWidth="1"/>
    <col min="11269" max="11269" width="8.140625" style="1648" customWidth="1"/>
    <col min="11270" max="11270" width="7.5703125" style="1648" customWidth="1"/>
    <col min="11271" max="11271" width="7.42578125" style="1648" customWidth="1"/>
    <col min="11272" max="11272" width="7.5703125" style="1648" customWidth="1"/>
    <col min="11273" max="11273" width="7" style="1648" customWidth="1"/>
    <col min="11274" max="11278" width="8.140625" style="1648" customWidth="1"/>
    <col min="11279" max="11279" width="10.85546875" style="1648" customWidth="1"/>
    <col min="11280" max="11520" width="9.140625" style="1648"/>
    <col min="11521" max="11521" width="4.140625" style="1648" customWidth="1"/>
    <col min="11522" max="11522" width="26.7109375" style="1648" customWidth="1"/>
    <col min="11523" max="11524" width="7.7109375" style="1648" customWidth="1"/>
    <col min="11525" max="11525" width="8.140625" style="1648" customWidth="1"/>
    <col min="11526" max="11526" width="7.5703125" style="1648" customWidth="1"/>
    <col min="11527" max="11527" width="7.42578125" style="1648" customWidth="1"/>
    <col min="11528" max="11528" width="7.5703125" style="1648" customWidth="1"/>
    <col min="11529" max="11529" width="7" style="1648" customWidth="1"/>
    <col min="11530" max="11534" width="8.140625" style="1648" customWidth="1"/>
    <col min="11535" max="11535" width="10.85546875" style="1648" customWidth="1"/>
    <col min="11536" max="11776" width="9.140625" style="1648"/>
    <col min="11777" max="11777" width="4.140625" style="1648" customWidth="1"/>
    <col min="11778" max="11778" width="26.7109375" style="1648" customWidth="1"/>
    <col min="11779" max="11780" width="7.7109375" style="1648" customWidth="1"/>
    <col min="11781" max="11781" width="8.140625" style="1648" customWidth="1"/>
    <col min="11782" max="11782" width="7.5703125" style="1648" customWidth="1"/>
    <col min="11783" max="11783" width="7.42578125" style="1648" customWidth="1"/>
    <col min="11784" max="11784" width="7.5703125" style="1648" customWidth="1"/>
    <col min="11785" max="11785" width="7" style="1648" customWidth="1"/>
    <col min="11786" max="11790" width="8.140625" style="1648" customWidth="1"/>
    <col min="11791" max="11791" width="10.85546875" style="1648" customWidth="1"/>
    <col min="11792" max="12032" width="9.140625" style="1648"/>
    <col min="12033" max="12033" width="4.140625" style="1648" customWidth="1"/>
    <col min="12034" max="12034" width="26.7109375" style="1648" customWidth="1"/>
    <col min="12035" max="12036" width="7.7109375" style="1648" customWidth="1"/>
    <col min="12037" max="12037" width="8.140625" style="1648" customWidth="1"/>
    <col min="12038" max="12038" width="7.5703125" style="1648" customWidth="1"/>
    <col min="12039" max="12039" width="7.42578125" style="1648" customWidth="1"/>
    <col min="12040" max="12040" width="7.5703125" style="1648" customWidth="1"/>
    <col min="12041" max="12041" width="7" style="1648" customWidth="1"/>
    <col min="12042" max="12046" width="8.140625" style="1648" customWidth="1"/>
    <col min="12047" max="12047" width="10.85546875" style="1648" customWidth="1"/>
    <col min="12048" max="12288" width="9.140625" style="1648"/>
    <col min="12289" max="12289" width="4.140625" style="1648" customWidth="1"/>
    <col min="12290" max="12290" width="26.7109375" style="1648" customWidth="1"/>
    <col min="12291" max="12292" width="7.7109375" style="1648" customWidth="1"/>
    <col min="12293" max="12293" width="8.140625" style="1648" customWidth="1"/>
    <col min="12294" max="12294" width="7.5703125" style="1648" customWidth="1"/>
    <col min="12295" max="12295" width="7.42578125" style="1648" customWidth="1"/>
    <col min="12296" max="12296" width="7.5703125" style="1648" customWidth="1"/>
    <col min="12297" max="12297" width="7" style="1648" customWidth="1"/>
    <col min="12298" max="12302" width="8.140625" style="1648" customWidth="1"/>
    <col min="12303" max="12303" width="10.85546875" style="1648" customWidth="1"/>
    <col min="12304" max="12544" width="9.140625" style="1648"/>
    <col min="12545" max="12545" width="4.140625" style="1648" customWidth="1"/>
    <col min="12546" max="12546" width="26.7109375" style="1648" customWidth="1"/>
    <col min="12547" max="12548" width="7.7109375" style="1648" customWidth="1"/>
    <col min="12549" max="12549" width="8.140625" style="1648" customWidth="1"/>
    <col min="12550" max="12550" width="7.5703125" style="1648" customWidth="1"/>
    <col min="12551" max="12551" width="7.42578125" style="1648" customWidth="1"/>
    <col min="12552" max="12552" width="7.5703125" style="1648" customWidth="1"/>
    <col min="12553" max="12553" width="7" style="1648" customWidth="1"/>
    <col min="12554" max="12558" width="8.140625" style="1648" customWidth="1"/>
    <col min="12559" max="12559" width="10.85546875" style="1648" customWidth="1"/>
    <col min="12560" max="12800" width="9.140625" style="1648"/>
    <col min="12801" max="12801" width="4.140625" style="1648" customWidth="1"/>
    <col min="12802" max="12802" width="26.7109375" style="1648" customWidth="1"/>
    <col min="12803" max="12804" width="7.7109375" style="1648" customWidth="1"/>
    <col min="12805" max="12805" width="8.140625" style="1648" customWidth="1"/>
    <col min="12806" max="12806" width="7.5703125" style="1648" customWidth="1"/>
    <col min="12807" max="12807" width="7.42578125" style="1648" customWidth="1"/>
    <col min="12808" max="12808" width="7.5703125" style="1648" customWidth="1"/>
    <col min="12809" max="12809" width="7" style="1648" customWidth="1"/>
    <col min="12810" max="12814" width="8.140625" style="1648" customWidth="1"/>
    <col min="12815" max="12815" width="10.85546875" style="1648" customWidth="1"/>
    <col min="12816" max="13056" width="9.140625" style="1648"/>
    <col min="13057" max="13057" width="4.140625" style="1648" customWidth="1"/>
    <col min="13058" max="13058" width="26.7109375" style="1648" customWidth="1"/>
    <col min="13059" max="13060" width="7.7109375" style="1648" customWidth="1"/>
    <col min="13061" max="13061" width="8.140625" style="1648" customWidth="1"/>
    <col min="13062" max="13062" width="7.5703125" style="1648" customWidth="1"/>
    <col min="13063" max="13063" width="7.42578125" style="1648" customWidth="1"/>
    <col min="13064" max="13064" width="7.5703125" style="1648" customWidth="1"/>
    <col min="13065" max="13065" width="7" style="1648" customWidth="1"/>
    <col min="13066" max="13070" width="8.140625" style="1648" customWidth="1"/>
    <col min="13071" max="13071" width="10.85546875" style="1648" customWidth="1"/>
    <col min="13072" max="13312" width="9.140625" style="1648"/>
    <col min="13313" max="13313" width="4.140625" style="1648" customWidth="1"/>
    <col min="13314" max="13314" width="26.7109375" style="1648" customWidth="1"/>
    <col min="13315" max="13316" width="7.7109375" style="1648" customWidth="1"/>
    <col min="13317" max="13317" width="8.140625" style="1648" customWidth="1"/>
    <col min="13318" max="13318" width="7.5703125" style="1648" customWidth="1"/>
    <col min="13319" max="13319" width="7.42578125" style="1648" customWidth="1"/>
    <col min="13320" max="13320" width="7.5703125" style="1648" customWidth="1"/>
    <col min="13321" max="13321" width="7" style="1648" customWidth="1"/>
    <col min="13322" max="13326" width="8.140625" style="1648" customWidth="1"/>
    <col min="13327" max="13327" width="10.85546875" style="1648" customWidth="1"/>
    <col min="13328" max="13568" width="9.140625" style="1648"/>
    <col min="13569" max="13569" width="4.140625" style="1648" customWidth="1"/>
    <col min="13570" max="13570" width="26.7109375" style="1648" customWidth="1"/>
    <col min="13571" max="13572" width="7.7109375" style="1648" customWidth="1"/>
    <col min="13573" max="13573" width="8.140625" style="1648" customWidth="1"/>
    <col min="13574" max="13574" width="7.5703125" style="1648" customWidth="1"/>
    <col min="13575" max="13575" width="7.42578125" style="1648" customWidth="1"/>
    <col min="13576" max="13576" width="7.5703125" style="1648" customWidth="1"/>
    <col min="13577" max="13577" width="7" style="1648" customWidth="1"/>
    <col min="13578" max="13582" width="8.140625" style="1648" customWidth="1"/>
    <col min="13583" max="13583" width="10.85546875" style="1648" customWidth="1"/>
    <col min="13584" max="13824" width="9.140625" style="1648"/>
    <col min="13825" max="13825" width="4.140625" style="1648" customWidth="1"/>
    <col min="13826" max="13826" width="26.7109375" style="1648" customWidth="1"/>
    <col min="13827" max="13828" width="7.7109375" style="1648" customWidth="1"/>
    <col min="13829" max="13829" width="8.140625" style="1648" customWidth="1"/>
    <col min="13830" max="13830" width="7.5703125" style="1648" customWidth="1"/>
    <col min="13831" max="13831" width="7.42578125" style="1648" customWidth="1"/>
    <col min="13832" max="13832" width="7.5703125" style="1648" customWidth="1"/>
    <col min="13833" max="13833" width="7" style="1648" customWidth="1"/>
    <col min="13834" max="13838" width="8.140625" style="1648" customWidth="1"/>
    <col min="13839" max="13839" width="10.85546875" style="1648" customWidth="1"/>
    <col min="13840" max="14080" width="9.140625" style="1648"/>
    <col min="14081" max="14081" width="4.140625" style="1648" customWidth="1"/>
    <col min="14082" max="14082" width="26.7109375" style="1648" customWidth="1"/>
    <col min="14083" max="14084" width="7.7109375" style="1648" customWidth="1"/>
    <col min="14085" max="14085" width="8.140625" style="1648" customWidth="1"/>
    <col min="14086" max="14086" width="7.5703125" style="1648" customWidth="1"/>
    <col min="14087" max="14087" width="7.42578125" style="1648" customWidth="1"/>
    <col min="14088" max="14088" width="7.5703125" style="1648" customWidth="1"/>
    <col min="14089" max="14089" width="7" style="1648" customWidth="1"/>
    <col min="14090" max="14094" width="8.140625" style="1648" customWidth="1"/>
    <col min="14095" max="14095" width="10.85546875" style="1648" customWidth="1"/>
    <col min="14096" max="14336" width="9.140625" style="1648"/>
    <col min="14337" max="14337" width="4.140625" style="1648" customWidth="1"/>
    <col min="14338" max="14338" width="26.7109375" style="1648" customWidth="1"/>
    <col min="14339" max="14340" width="7.7109375" style="1648" customWidth="1"/>
    <col min="14341" max="14341" width="8.140625" style="1648" customWidth="1"/>
    <col min="14342" max="14342" width="7.5703125" style="1648" customWidth="1"/>
    <col min="14343" max="14343" width="7.42578125" style="1648" customWidth="1"/>
    <col min="14344" max="14344" width="7.5703125" style="1648" customWidth="1"/>
    <col min="14345" max="14345" width="7" style="1648" customWidth="1"/>
    <col min="14346" max="14350" width="8.140625" style="1648" customWidth="1"/>
    <col min="14351" max="14351" width="10.85546875" style="1648" customWidth="1"/>
    <col min="14352" max="14592" width="9.140625" style="1648"/>
    <col min="14593" max="14593" width="4.140625" style="1648" customWidth="1"/>
    <col min="14594" max="14594" width="26.7109375" style="1648" customWidth="1"/>
    <col min="14595" max="14596" width="7.7109375" style="1648" customWidth="1"/>
    <col min="14597" max="14597" width="8.140625" style="1648" customWidth="1"/>
    <col min="14598" max="14598" width="7.5703125" style="1648" customWidth="1"/>
    <col min="14599" max="14599" width="7.42578125" style="1648" customWidth="1"/>
    <col min="14600" max="14600" width="7.5703125" style="1648" customWidth="1"/>
    <col min="14601" max="14601" width="7" style="1648" customWidth="1"/>
    <col min="14602" max="14606" width="8.140625" style="1648" customWidth="1"/>
    <col min="14607" max="14607" width="10.85546875" style="1648" customWidth="1"/>
    <col min="14608" max="14848" width="9.140625" style="1648"/>
    <col min="14849" max="14849" width="4.140625" style="1648" customWidth="1"/>
    <col min="14850" max="14850" width="26.7109375" style="1648" customWidth="1"/>
    <col min="14851" max="14852" width="7.7109375" style="1648" customWidth="1"/>
    <col min="14853" max="14853" width="8.140625" style="1648" customWidth="1"/>
    <col min="14854" max="14854" width="7.5703125" style="1648" customWidth="1"/>
    <col min="14855" max="14855" width="7.42578125" style="1648" customWidth="1"/>
    <col min="14856" max="14856" width="7.5703125" style="1648" customWidth="1"/>
    <col min="14857" max="14857" width="7" style="1648" customWidth="1"/>
    <col min="14858" max="14862" width="8.140625" style="1648" customWidth="1"/>
    <col min="14863" max="14863" width="10.85546875" style="1648" customWidth="1"/>
    <col min="14864" max="15104" width="9.140625" style="1648"/>
    <col min="15105" max="15105" width="4.140625" style="1648" customWidth="1"/>
    <col min="15106" max="15106" width="26.7109375" style="1648" customWidth="1"/>
    <col min="15107" max="15108" width="7.7109375" style="1648" customWidth="1"/>
    <col min="15109" max="15109" width="8.140625" style="1648" customWidth="1"/>
    <col min="15110" max="15110" width="7.5703125" style="1648" customWidth="1"/>
    <col min="15111" max="15111" width="7.42578125" style="1648" customWidth="1"/>
    <col min="15112" max="15112" width="7.5703125" style="1648" customWidth="1"/>
    <col min="15113" max="15113" width="7" style="1648" customWidth="1"/>
    <col min="15114" max="15118" width="8.140625" style="1648" customWidth="1"/>
    <col min="15119" max="15119" width="10.85546875" style="1648" customWidth="1"/>
    <col min="15120" max="15360" width="9.140625" style="1648"/>
    <col min="15361" max="15361" width="4.140625" style="1648" customWidth="1"/>
    <col min="15362" max="15362" width="26.7109375" style="1648" customWidth="1"/>
    <col min="15363" max="15364" width="7.7109375" style="1648" customWidth="1"/>
    <col min="15365" max="15365" width="8.140625" style="1648" customWidth="1"/>
    <col min="15366" max="15366" width="7.5703125" style="1648" customWidth="1"/>
    <col min="15367" max="15367" width="7.42578125" style="1648" customWidth="1"/>
    <col min="15368" max="15368" width="7.5703125" style="1648" customWidth="1"/>
    <col min="15369" max="15369" width="7" style="1648" customWidth="1"/>
    <col min="15370" max="15374" width="8.140625" style="1648" customWidth="1"/>
    <col min="15375" max="15375" width="10.85546875" style="1648" customWidth="1"/>
    <col min="15376" max="15616" width="9.140625" style="1648"/>
    <col min="15617" max="15617" width="4.140625" style="1648" customWidth="1"/>
    <col min="15618" max="15618" width="26.7109375" style="1648" customWidth="1"/>
    <col min="15619" max="15620" width="7.7109375" style="1648" customWidth="1"/>
    <col min="15621" max="15621" width="8.140625" style="1648" customWidth="1"/>
    <col min="15622" max="15622" width="7.5703125" style="1648" customWidth="1"/>
    <col min="15623" max="15623" width="7.42578125" style="1648" customWidth="1"/>
    <col min="15624" max="15624" width="7.5703125" style="1648" customWidth="1"/>
    <col min="15625" max="15625" width="7" style="1648" customWidth="1"/>
    <col min="15626" max="15630" width="8.140625" style="1648" customWidth="1"/>
    <col min="15631" max="15631" width="10.85546875" style="1648" customWidth="1"/>
    <col min="15632" max="15872" width="9.140625" style="1648"/>
    <col min="15873" max="15873" width="4.140625" style="1648" customWidth="1"/>
    <col min="15874" max="15874" width="26.7109375" style="1648" customWidth="1"/>
    <col min="15875" max="15876" width="7.7109375" style="1648" customWidth="1"/>
    <col min="15877" max="15877" width="8.140625" style="1648" customWidth="1"/>
    <col min="15878" max="15878" width="7.5703125" style="1648" customWidth="1"/>
    <col min="15879" max="15879" width="7.42578125" style="1648" customWidth="1"/>
    <col min="15880" max="15880" width="7.5703125" style="1648" customWidth="1"/>
    <col min="15881" max="15881" width="7" style="1648" customWidth="1"/>
    <col min="15882" max="15886" width="8.140625" style="1648" customWidth="1"/>
    <col min="15887" max="15887" width="10.85546875" style="1648" customWidth="1"/>
    <col min="15888" max="16128" width="9.140625" style="1648"/>
    <col min="16129" max="16129" width="4.140625" style="1648" customWidth="1"/>
    <col min="16130" max="16130" width="26.7109375" style="1648" customWidth="1"/>
    <col min="16131" max="16132" width="7.7109375" style="1648" customWidth="1"/>
    <col min="16133" max="16133" width="8.140625" style="1648" customWidth="1"/>
    <col min="16134" max="16134" width="7.5703125" style="1648" customWidth="1"/>
    <col min="16135" max="16135" width="7.42578125" style="1648" customWidth="1"/>
    <col min="16136" max="16136" width="7.5703125" style="1648" customWidth="1"/>
    <col min="16137" max="16137" width="7" style="1648" customWidth="1"/>
    <col min="16138" max="16142" width="8.140625" style="1648" customWidth="1"/>
    <col min="16143" max="16143" width="10.85546875" style="1648" customWidth="1"/>
    <col min="16144" max="16384" width="9.140625" style="1648"/>
  </cols>
  <sheetData>
    <row r="1" spans="1:19" ht="31.5" customHeight="1">
      <c r="A1" s="1896" t="s">
        <v>1240</v>
      </c>
      <c r="B1" s="1897"/>
      <c r="C1" s="1897"/>
      <c r="D1" s="1897"/>
      <c r="E1" s="1897"/>
      <c r="F1" s="1897"/>
      <c r="G1" s="1897"/>
      <c r="H1" s="1897"/>
      <c r="I1" s="1897"/>
      <c r="J1" s="1897"/>
      <c r="K1" s="1897"/>
      <c r="L1" s="1897"/>
      <c r="M1" s="1897"/>
      <c r="N1" s="1897"/>
      <c r="O1" s="1897"/>
    </row>
    <row r="2" spans="1:19" ht="16.5" thickBot="1">
      <c r="O2" s="1682" t="s">
        <v>687</v>
      </c>
    </row>
    <row r="3" spans="1:19" s="1649" customFormat="1" ht="26.1" customHeight="1" thickBot="1">
      <c r="A3" s="1651" t="s">
        <v>1233</v>
      </c>
      <c r="B3" s="1652" t="s">
        <v>682</v>
      </c>
      <c r="C3" s="1652" t="s">
        <v>1211</v>
      </c>
      <c r="D3" s="1652" t="s">
        <v>1212</v>
      </c>
      <c r="E3" s="1652" t="s">
        <v>1213</v>
      </c>
      <c r="F3" s="1652" t="s">
        <v>1214</v>
      </c>
      <c r="G3" s="1652" t="s">
        <v>1215</v>
      </c>
      <c r="H3" s="1652" t="s">
        <v>1216</v>
      </c>
      <c r="I3" s="1652" t="s">
        <v>1217</v>
      </c>
      <c r="J3" s="1652" t="s">
        <v>1218</v>
      </c>
      <c r="K3" s="1652" t="s">
        <v>1219</v>
      </c>
      <c r="L3" s="1652" t="s">
        <v>1220</v>
      </c>
      <c r="M3" s="1652" t="s">
        <v>1221</v>
      </c>
      <c r="N3" s="1652" t="s">
        <v>1222</v>
      </c>
      <c r="O3" s="1653" t="s">
        <v>1154</v>
      </c>
      <c r="P3" s="1696"/>
      <c r="Q3" s="1697"/>
      <c r="R3" s="1697"/>
      <c r="S3" s="1697"/>
    </row>
    <row r="4" spans="1:19" s="1654" customFormat="1" ht="15" customHeight="1" thickBot="1">
      <c r="A4" s="1655" t="s">
        <v>693</v>
      </c>
      <c r="B4" s="1898" t="s">
        <v>692</v>
      </c>
      <c r="C4" s="1899"/>
      <c r="D4" s="1899"/>
      <c r="E4" s="1899"/>
      <c r="F4" s="1899"/>
      <c r="G4" s="1899"/>
      <c r="H4" s="1899"/>
      <c r="I4" s="1899"/>
      <c r="J4" s="1899"/>
      <c r="K4" s="1899"/>
      <c r="L4" s="1899"/>
      <c r="M4" s="1899"/>
      <c r="N4" s="1899"/>
      <c r="O4" s="1900"/>
      <c r="P4" s="1698"/>
      <c r="Q4" s="1699"/>
      <c r="R4" s="1699"/>
      <c r="S4" s="1699"/>
    </row>
    <row r="5" spans="1:19" s="1654" customFormat="1" ht="22.5">
      <c r="A5" s="1656" t="s">
        <v>707</v>
      </c>
      <c r="B5" s="1657" t="s">
        <v>1008</v>
      </c>
      <c r="C5" s="1683">
        <f>$P$5/12</f>
        <v>13672456.916666666</v>
      </c>
      <c r="D5" s="1683">
        <f t="shared" ref="D5:M5" si="0">$P$5/12</f>
        <v>13672456.916666666</v>
      </c>
      <c r="E5" s="1683">
        <f t="shared" si="0"/>
        <v>13672456.916666666</v>
      </c>
      <c r="F5" s="1683">
        <f t="shared" si="0"/>
        <v>13672456.916666666</v>
      </c>
      <c r="G5" s="1683">
        <f t="shared" si="0"/>
        <v>13672456.916666666</v>
      </c>
      <c r="H5" s="1683">
        <f t="shared" si="0"/>
        <v>13672456.916666666</v>
      </c>
      <c r="I5" s="1683">
        <f t="shared" si="0"/>
        <v>13672456.916666666</v>
      </c>
      <c r="J5" s="1683">
        <f t="shared" si="0"/>
        <v>13672456.916666666</v>
      </c>
      <c r="K5" s="1683">
        <f t="shared" si="0"/>
        <v>13672456.916666666</v>
      </c>
      <c r="L5" s="1683">
        <f t="shared" si="0"/>
        <v>13672456.916666666</v>
      </c>
      <c r="M5" s="1683">
        <f t="shared" si="0"/>
        <v>13672456.916666666</v>
      </c>
      <c r="N5" s="1683">
        <f>$P$5/12</f>
        <v>13672456.916666666</v>
      </c>
      <c r="O5" s="1684">
        <f t="shared" ref="O5:O14" si="1">SUM(C5:N5)</f>
        <v>164069483</v>
      </c>
      <c r="P5" s="1698">
        <f>'1.1 Összesítő'!C8</f>
        <v>164069483</v>
      </c>
      <c r="Q5" s="1699"/>
      <c r="R5" s="1699"/>
      <c r="S5" s="1699"/>
    </row>
    <row r="6" spans="1:19" s="1661" customFormat="1" ht="22.5">
      <c r="A6" s="1662" t="s">
        <v>721</v>
      </c>
      <c r="B6" s="1663" t="s">
        <v>1225</v>
      </c>
      <c r="C6" s="1685">
        <f>$P$6/12</f>
        <v>519583.33333333331</v>
      </c>
      <c r="D6" s="1685">
        <f t="shared" ref="D6:N6" si="2">$P$6/12</f>
        <v>519583.33333333331</v>
      </c>
      <c r="E6" s="1685">
        <f t="shared" si="2"/>
        <v>519583.33333333331</v>
      </c>
      <c r="F6" s="1685">
        <f t="shared" si="2"/>
        <v>519583.33333333331</v>
      </c>
      <c r="G6" s="1685">
        <f t="shared" si="2"/>
        <v>519583.33333333331</v>
      </c>
      <c r="H6" s="1685">
        <f t="shared" si="2"/>
        <v>519583.33333333331</v>
      </c>
      <c r="I6" s="1685">
        <f t="shared" si="2"/>
        <v>519583.33333333331</v>
      </c>
      <c r="J6" s="1685">
        <f t="shared" si="2"/>
        <v>519583.33333333331</v>
      </c>
      <c r="K6" s="1685">
        <f t="shared" si="2"/>
        <v>519583.33333333331</v>
      </c>
      <c r="L6" s="1685">
        <f t="shared" si="2"/>
        <v>519583.33333333331</v>
      </c>
      <c r="M6" s="1685">
        <f t="shared" si="2"/>
        <v>519583.33333333331</v>
      </c>
      <c r="N6" s="1685">
        <f t="shared" si="2"/>
        <v>519583.33333333331</v>
      </c>
      <c r="O6" s="1686">
        <f t="shared" si="1"/>
        <v>6234999.9999999991</v>
      </c>
      <c r="P6" s="1700">
        <f>'1.1 Összesítő'!C15</f>
        <v>6235000</v>
      </c>
      <c r="Q6" s="1701"/>
      <c r="R6" s="1701"/>
      <c r="S6" s="1701"/>
    </row>
    <row r="7" spans="1:19" s="1661" customFormat="1" ht="22.5">
      <c r="A7" s="1662" t="s">
        <v>897</v>
      </c>
      <c r="B7" s="1666" t="s">
        <v>1226</v>
      </c>
      <c r="C7" s="1687"/>
      <c r="D7" s="1687"/>
      <c r="E7" s="1687"/>
      <c r="F7" s="1687"/>
      <c r="G7" s="1687"/>
      <c r="H7" s="1687"/>
      <c r="I7" s="1687"/>
      <c r="J7" s="1687"/>
      <c r="K7" s="1687"/>
      <c r="L7" s="1687"/>
      <c r="M7" s="1687"/>
      <c r="N7" s="1687"/>
      <c r="O7" s="1688">
        <f t="shared" si="1"/>
        <v>0</v>
      </c>
      <c r="P7" s="1700">
        <f>'1.1 Összesítő'!C22</f>
        <v>0</v>
      </c>
      <c r="Q7" s="1701"/>
      <c r="R7" s="1701"/>
      <c r="S7" s="1701"/>
    </row>
    <row r="8" spans="1:19" s="1661" customFormat="1" ht="14.1" customHeight="1">
      <c r="A8" s="1662" t="s">
        <v>750</v>
      </c>
      <c r="B8" s="1668" t="s">
        <v>282</v>
      </c>
      <c r="C8" s="1685"/>
      <c r="D8" s="1685"/>
      <c r="E8" s="1685">
        <f>$P$8/3</f>
        <v>24281666.666666668</v>
      </c>
      <c r="F8" s="1685"/>
      <c r="G8" s="1685">
        <f>$P$8/3</f>
        <v>24281666.666666668</v>
      </c>
      <c r="H8" s="1685"/>
      <c r="I8" s="1685"/>
      <c r="J8" s="1685"/>
      <c r="K8" s="1685">
        <f>$P$8/3</f>
        <v>24281666.666666668</v>
      </c>
      <c r="L8" s="1685"/>
      <c r="M8" s="1685"/>
      <c r="N8" s="1685"/>
      <c r="O8" s="1686">
        <f t="shared" si="1"/>
        <v>72845000</v>
      </c>
      <c r="P8" s="1700">
        <f>'1.1 Összesítő'!C29</f>
        <v>72845000</v>
      </c>
      <c r="Q8" s="1701"/>
      <c r="R8" s="1701"/>
      <c r="S8" s="1701"/>
    </row>
    <row r="9" spans="1:19" s="1661" customFormat="1" ht="14.1" customHeight="1">
      <c r="A9" s="1662" t="s">
        <v>772</v>
      </c>
      <c r="B9" s="1668" t="s">
        <v>89</v>
      </c>
      <c r="C9" s="1685">
        <f>$P$9/12</f>
        <v>7398450</v>
      </c>
      <c r="D9" s="1685">
        <f t="shared" ref="D9:N9" si="3">$P$9/12</f>
        <v>7398450</v>
      </c>
      <c r="E9" s="1685">
        <f t="shared" si="3"/>
        <v>7398450</v>
      </c>
      <c r="F9" s="1685">
        <f t="shared" si="3"/>
        <v>7398450</v>
      </c>
      <c r="G9" s="1685">
        <f t="shared" si="3"/>
        <v>7398450</v>
      </c>
      <c r="H9" s="1685">
        <f t="shared" si="3"/>
        <v>7398450</v>
      </c>
      <c r="I9" s="1685">
        <f t="shared" si="3"/>
        <v>7398450</v>
      </c>
      <c r="J9" s="1685">
        <f t="shared" si="3"/>
        <v>7398450</v>
      </c>
      <c r="K9" s="1685">
        <f t="shared" si="3"/>
        <v>7398450</v>
      </c>
      <c r="L9" s="1685">
        <f t="shared" si="3"/>
        <v>7398450</v>
      </c>
      <c r="M9" s="1685">
        <f t="shared" si="3"/>
        <v>7398450</v>
      </c>
      <c r="N9" s="1685">
        <f t="shared" si="3"/>
        <v>7398450</v>
      </c>
      <c r="O9" s="1686">
        <f t="shared" si="1"/>
        <v>88781400</v>
      </c>
      <c r="P9" s="1700">
        <f>'1.1 Összesítő'!C37</f>
        <v>88781400</v>
      </c>
      <c r="Q9" s="1701"/>
      <c r="R9" s="1701"/>
      <c r="S9" s="1701"/>
    </row>
    <row r="10" spans="1:19" s="1661" customFormat="1" ht="14.1" customHeight="1">
      <c r="A10" s="1662" t="s">
        <v>908</v>
      </c>
      <c r="B10" s="1668" t="s">
        <v>168</v>
      </c>
      <c r="C10" s="1685"/>
      <c r="D10" s="1685"/>
      <c r="E10" s="1685"/>
      <c r="F10" s="1685">
        <f>P10</f>
        <v>35000000</v>
      </c>
      <c r="G10" s="1685"/>
      <c r="H10" s="1685"/>
      <c r="I10" s="1685"/>
      <c r="J10" s="1685"/>
      <c r="K10" s="1685"/>
      <c r="L10" s="1685"/>
      <c r="M10" s="1685"/>
      <c r="N10" s="1685"/>
      <c r="O10" s="1686">
        <f t="shared" si="1"/>
        <v>35000000</v>
      </c>
      <c r="P10" s="1700">
        <f>'1.1 Összesítő'!C48</f>
        <v>35000000</v>
      </c>
      <c r="Q10" s="1701"/>
      <c r="R10" s="1701"/>
      <c r="S10" s="1701"/>
    </row>
    <row r="11" spans="1:19" s="1661" customFormat="1" ht="14.1" customHeight="1">
      <c r="A11" s="1662" t="s">
        <v>793</v>
      </c>
      <c r="B11" s="1668" t="s">
        <v>983</v>
      </c>
      <c r="C11" s="1685"/>
      <c r="D11" s="1685"/>
      <c r="E11" s="1685"/>
      <c r="F11" s="1685"/>
      <c r="G11" s="1685"/>
      <c r="H11" s="1685"/>
      <c r="I11" s="1685"/>
      <c r="J11" s="1685"/>
      <c r="K11" s="1685"/>
      <c r="L11" s="1685"/>
      <c r="M11" s="1685"/>
      <c r="N11" s="1685"/>
      <c r="O11" s="1686">
        <f t="shared" si="1"/>
        <v>0</v>
      </c>
      <c r="P11" s="1700">
        <f>'1.1 Összesítő'!C54</f>
        <v>0</v>
      </c>
      <c r="Q11" s="1701"/>
      <c r="R11" s="1701"/>
      <c r="S11" s="1701"/>
    </row>
    <row r="12" spans="1:19" s="1661" customFormat="1" ht="22.5">
      <c r="A12" s="1662" t="s">
        <v>803</v>
      </c>
      <c r="B12" s="1663" t="s">
        <v>984</v>
      </c>
      <c r="C12" s="1685"/>
      <c r="D12" s="1685"/>
      <c r="E12" s="1685"/>
      <c r="F12" s="1685"/>
      <c r="G12" s="1685"/>
      <c r="H12" s="1685"/>
      <c r="I12" s="1685"/>
      <c r="J12" s="1685"/>
      <c r="K12" s="1685"/>
      <c r="L12" s="1685"/>
      <c r="M12" s="1685"/>
      <c r="N12" s="1685"/>
      <c r="O12" s="1686">
        <f t="shared" si="1"/>
        <v>0</v>
      </c>
      <c r="P12" s="1700">
        <f>'1.1 Összesítő'!C59</f>
        <v>0</v>
      </c>
      <c r="Q12" s="1701"/>
      <c r="R12" s="1701"/>
      <c r="S12" s="1701"/>
    </row>
    <row r="13" spans="1:19" s="1661" customFormat="1" ht="14.1" customHeight="1" thickBot="1">
      <c r="A13" s="1662" t="s">
        <v>920</v>
      </c>
      <c r="B13" s="1668" t="s">
        <v>151</v>
      </c>
      <c r="C13" s="1685">
        <f>P13</f>
        <v>23805101</v>
      </c>
      <c r="D13" s="1685"/>
      <c r="E13" s="1685"/>
      <c r="F13" s="1685"/>
      <c r="G13" s="1685"/>
      <c r="H13" s="1685"/>
      <c r="I13" s="1685"/>
      <c r="J13" s="1685"/>
      <c r="K13" s="1685"/>
      <c r="L13" s="1685"/>
      <c r="M13" s="1685"/>
      <c r="N13" s="1685"/>
      <c r="O13" s="1686">
        <f t="shared" si="1"/>
        <v>23805101</v>
      </c>
      <c r="P13" s="1700">
        <f>'1.1 Összesítő'!C87</f>
        <v>23805101</v>
      </c>
      <c r="Q13" s="1701"/>
      <c r="R13" s="1701"/>
      <c r="S13" s="1701"/>
    </row>
    <row r="14" spans="1:19" s="1654" customFormat="1" ht="15.95" customHeight="1" thickBot="1">
      <c r="A14" s="1655" t="s">
        <v>1014</v>
      </c>
      <c r="B14" s="1669" t="s">
        <v>1227</v>
      </c>
      <c r="C14" s="1689">
        <f t="shared" ref="C14:N14" si="4">SUM(C5:C13)</f>
        <v>45395591.25</v>
      </c>
      <c r="D14" s="1689">
        <f t="shared" si="4"/>
        <v>21590490.25</v>
      </c>
      <c r="E14" s="1689">
        <f t="shared" si="4"/>
        <v>45872156.916666672</v>
      </c>
      <c r="F14" s="1689">
        <f t="shared" si="4"/>
        <v>56590490.25</v>
      </c>
      <c r="G14" s="1689">
        <f t="shared" si="4"/>
        <v>45872156.916666672</v>
      </c>
      <c r="H14" s="1689">
        <f t="shared" si="4"/>
        <v>21590490.25</v>
      </c>
      <c r="I14" s="1689">
        <f t="shared" si="4"/>
        <v>21590490.25</v>
      </c>
      <c r="J14" s="1689">
        <f t="shared" si="4"/>
        <v>21590490.25</v>
      </c>
      <c r="K14" s="1689">
        <f t="shared" si="4"/>
        <v>45872156.916666672</v>
      </c>
      <c r="L14" s="1689">
        <f t="shared" si="4"/>
        <v>21590490.25</v>
      </c>
      <c r="M14" s="1689">
        <f t="shared" si="4"/>
        <v>21590490.25</v>
      </c>
      <c r="N14" s="1689">
        <f t="shared" si="4"/>
        <v>21590490.25</v>
      </c>
      <c r="O14" s="1690">
        <f t="shared" si="1"/>
        <v>390735984.00000006</v>
      </c>
      <c r="P14" s="1698"/>
      <c r="Q14" s="1698">
        <f>SUM(P5:P13)</f>
        <v>390735984</v>
      </c>
      <c r="R14" s="1699"/>
      <c r="S14" s="1699"/>
    </row>
    <row r="15" spans="1:19" s="1654" customFormat="1" ht="15" customHeight="1" thickBot="1">
      <c r="A15" s="1655" t="s">
        <v>1015</v>
      </c>
      <c r="B15" s="1898" t="s">
        <v>853</v>
      </c>
      <c r="C15" s="1899"/>
      <c r="D15" s="1899"/>
      <c r="E15" s="1899"/>
      <c r="F15" s="1899"/>
      <c r="G15" s="1899"/>
      <c r="H15" s="1899"/>
      <c r="I15" s="1899"/>
      <c r="J15" s="1899"/>
      <c r="K15" s="1899"/>
      <c r="L15" s="1899"/>
      <c r="M15" s="1899"/>
      <c r="N15" s="1899"/>
      <c r="O15" s="1900"/>
      <c r="P15" s="1698"/>
      <c r="Q15" s="1699"/>
      <c r="R15" s="1699"/>
      <c r="S15" s="1699"/>
    </row>
    <row r="16" spans="1:19" s="1661" customFormat="1" ht="14.1" customHeight="1">
      <c r="A16" s="1672" t="s">
        <v>1016</v>
      </c>
      <c r="B16" s="1673" t="s">
        <v>23</v>
      </c>
      <c r="C16" s="1687">
        <f>$P$16/12</f>
        <v>12348728.333333334</v>
      </c>
      <c r="D16" s="1687">
        <f t="shared" ref="D16:N16" si="5">$P$16/12</f>
        <v>12348728.333333334</v>
      </c>
      <c r="E16" s="1687">
        <f t="shared" si="5"/>
        <v>12348728.333333334</v>
      </c>
      <c r="F16" s="1687">
        <f t="shared" si="5"/>
        <v>12348728.333333334</v>
      </c>
      <c r="G16" s="1687">
        <f t="shared" si="5"/>
        <v>12348728.333333334</v>
      </c>
      <c r="H16" s="1687">
        <f t="shared" si="5"/>
        <v>12348728.333333334</v>
      </c>
      <c r="I16" s="1687">
        <f t="shared" si="5"/>
        <v>12348728.333333334</v>
      </c>
      <c r="J16" s="1687">
        <f t="shared" si="5"/>
        <v>12348728.333333334</v>
      </c>
      <c r="K16" s="1687">
        <f t="shared" si="5"/>
        <v>12348728.333333334</v>
      </c>
      <c r="L16" s="1687">
        <f t="shared" si="5"/>
        <v>12348728.333333334</v>
      </c>
      <c r="M16" s="1687">
        <f t="shared" si="5"/>
        <v>12348728.333333334</v>
      </c>
      <c r="N16" s="1687">
        <f t="shared" si="5"/>
        <v>12348728.333333334</v>
      </c>
      <c r="O16" s="1688">
        <f t="shared" ref="O16:O26" si="6">SUM(C16:N16)</f>
        <v>148184740</v>
      </c>
      <c r="P16" s="1700">
        <f>'1.1 Összesítő'!C93</f>
        <v>148184740</v>
      </c>
      <c r="Q16" s="1701"/>
      <c r="R16" s="1701"/>
      <c r="S16" s="1701"/>
    </row>
    <row r="17" spans="1:19" s="1661" customFormat="1" ht="27" customHeight="1">
      <c r="A17" s="1662" t="s">
        <v>1019</v>
      </c>
      <c r="B17" s="1663" t="s">
        <v>30</v>
      </c>
      <c r="C17" s="1685">
        <f>$P$17/12</f>
        <v>2418758.1666666665</v>
      </c>
      <c r="D17" s="1685">
        <f t="shared" ref="D17:N17" si="7">$P$17/12</f>
        <v>2418758.1666666665</v>
      </c>
      <c r="E17" s="1685">
        <f t="shared" si="7"/>
        <v>2418758.1666666665</v>
      </c>
      <c r="F17" s="1685">
        <f t="shared" si="7"/>
        <v>2418758.1666666665</v>
      </c>
      <c r="G17" s="1685">
        <f t="shared" si="7"/>
        <v>2418758.1666666665</v>
      </c>
      <c r="H17" s="1685">
        <f t="shared" si="7"/>
        <v>2418758.1666666665</v>
      </c>
      <c r="I17" s="1685">
        <f t="shared" si="7"/>
        <v>2418758.1666666665</v>
      </c>
      <c r="J17" s="1685">
        <f t="shared" si="7"/>
        <v>2418758.1666666665</v>
      </c>
      <c r="K17" s="1685">
        <f t="shared" si="7"/>
        <v>2418758.1666666665</v>
      </c>
      <c r="L17" s="1685">
        <f t="shared" si="7"/>
        <v>2418758.1666666665</v>
      </c>
      <c r="M17" s="1685">
        <f t="shared" si="7"/>
        <v>2418758.1666666665</v>
      </c>
      <c r="N17" s="1685">
        <f t="shared" si="7"/>
        <v>2418758.1666666665</v>
      </c>
      <c r="O17" s="1686">
        <f t="shared" si="6"/>
        <v>29025098.000000004</v>
      </c>
      <c r="P17" s="1700">
        <f>'1.1 Összesítő'!C94</f>
        <v>29025098</v>
      </c>
      <c r="Q17" s="1701"/>
      <c r="R17" s="1701"/>
      <c r="S17" s="1701"/>
    </row>
    <row r="18" spans="1:19" s="1661" customFormat="1" ht="14.1" customHeight="1">
      <c r="A18" s="1662" t="s">
        <v>1022</v>
      </c>
      <c r="B18" s="1668" t="s">
        <v>856</v>
      </c>
      <c r="C18" s="1685">
        <f>$P$18/12</f>
        <v>7864470.833333333</v>
      </c>
      <c r="D18" s="1685">
        <f t="shared" ref="D18:N18" si="8">$P$18/12</f>
        <v>7864470.833333333</v>
      </c>
      <c r="E18" s="1685">
        <f t="shared" si="8"/>
        <v>7864470.833333333</v>
      </c>
      <c r="F18" s="1685">
        <f t="shared" si="8"/>
        <v>7864470.833333333</v>
      </c>
      <c r="G18" s="1685">
        <f t="shared" si="8"/>
        <v>7864470.833333333</v>
      </c>
      <c r="H18" s="1685">
        <f t="shared" si="8"/>
        <v>7864470.833333333</v>
      </c>
      <c r="I18" s="1685">
        <f t="shared" si="8"/>
        <v>7864470.833333333</v>
      </c>
      <c r="J18" s="1685">
        <f t="shared" si="8"/>
        <v>7864470.833333333</v>
      </c>
      <c r="K18" s="1685">
        <f t="shared" si="8"/>
        <v>7864470.833333333</v>
      </c>
      <c r="L18" s="1685">
        <f t="shared" si="8"/>
        <v>7864470.833333333</v>
      </c>
      <c r="M18" s="1685">
        <f t="shared" si="8"/>
        <v>7864470.833333333</v>
      </c>
      <c r="N18" s="1685">
        <f t="shared" si="8"/>
        <v>7864470.833333333</v>
      </c>
      <c r="O18" s="1686">
        <f t="shared" si="6"/>
        <v>94373649.999999985</v>
      </c>
      <c r="P18" s="1700">
        <f>'1.1 Összesítő'!C95</f>
        <v>94373650</v>
      </c>
      <c r="Q18" s="1701"/>
      <c r="R18" s="1701"/>
      <c r="S18" s="1701"/>
    </row>
    <row r="19" spans="1:19" s="1661" customFormat="1" ht="14.1" customHeight="1">
      <c r="A19" s="1662" t="s">
        <v>1025</v>
      </c>
      <c r="B19" s="1668" t="s">
        <v>244</v>
      </c>
      <c r="C19" s="1685"/>
      <c r="D19" s="1685"/>
      <c r="E19" s="1685">
        <f t="shared" ref="E19:J19" si="9">$P$19/4/3</f>
        <v>199833.33333333334</v>
      </c>
      <c r="F19" s="1685">
        <f t="shared" si="9"/>
        <v>199833.33333333334</v>
      </c>
      <c r="G19" s="1685">
        <f t="shared" si="9"/>
        <v>199833.33333333334</v>
      </c>
      <c r="H19" s="1685">
        <f t="shared" si="9"/>
        <v>199833.33333333334</v>
      </c>
      <c r="I19" s="1685">
        <f t="shared" si="9"/>
        <v>199833.33333333334</v>
      </c>
      <c r="J19" s="1685">
        <f t="shared" si="9"/>
        <v>199833.33333333334</v>
      </c>
      <c r="K19" s="1685">
        <f>P19/4</f>
        <v>599500</v>
      </c>
      <c r="L19" s="1685">
        <f>$P$19/4/3</f>
        <v>199833.33333333334</v>
      </c>
      <c r="M19" s="1685">
        <f>$P$19/4/3</f>
        <v>199833.33333333334</v>
      </c>
      <c r="N19" s="1685">
        <f>$P$19/4/3</f>
        <v>199833.33333333334</v>
      </c>
      <c r="O19" s="1686">
        <f t="shared" si="6"/>
        <v>2398000</v>
      </c>
      <c r="P19" s="1700">
        <f>'1.1 Összesítő'!C96</f>
        <v>2398000</v>
      </c>
      <c r="Q19" s="1701"/>
      <c r="R19" s="1701"/>
      <c r="S19" s="1701"/>
    </row>
    <row r="20" spans="1:19" s="1661" customFormat="1" ht="14.1" customHeight="1">
      <c r="A20" s="1662" t="s">
        <v>1028</v>
      </c>
      <c r="B20" s="1668" t="s">
        <v>1234</v>
      </c>
      <c r="C20" s="1685"/>
      <c r="D20" s="1685">
        <v>1016666</v>
      </c>
      <c r="E20" s="1685">
        <f>508333+4000000</f>
        <v>4508333</v>
      </c>
      <c r="F20" s="1685">
        <v>508333</v>
      </c>
      <c r="G20" s="1685">
        <v>508333</v>
      </c>
      <c r="H20" s="1685">
        <v>1508333</v>
      </c>
      <c r="I20" s="1685">
        <v>603337</v>
      </c>
      <c r="J20" s="1685">
        <v>1508333</v>
      </c>
      <c r="K20" s="1685">
        <v>508333</v>
      </c>
      <c r="L20" s="1685">
        <v>2508333</v>
      </c>
      <c r="M20" s="1685">
        <v>1508333</v>
      </c>
      <c r="N20" s="1685">
        <v>2508333</v>
      </c>
      <c r="O20" s="1686">
        <f t="shared" si="6"/>
        <v>17195000</v>
      </c>
      <c r="P20" s="1700">
        <f>'1.1 Összesítő'!C97</f>
        <v>17195000</v>
      </c>
      <c r="Q20" s="1701"/>
      <c r="R20" s="1701"/>
      <c r="S20" s="1701"/>
    </row>
    <row r="21" spans="1:19" s="1661" customFormat="1" ht="14.1" customHeight="1">
      <c r="A21" s="1662" t="s">
        <v>1031</v>
      </c>
      <c r="B21" s="1668" t="s">
        <v>72</v>
      </c>
      <c r="C21" s="1685"/>
      <c r="D21" s="1685">
        <v>20000000</v>
      </c>
      <c r="E21" s="1685"/>
      <c r="F21" s="1685"/>
      <c r="G21" s="1685">
        <v>1000000</v>
      </c>
      <c r="H21" s="1685"/>
      <c r="I21" s="1685"/>
      <c r="J21" s="1685">
        <v>1000000</v>
      </c>
      <c r="K21" s="1685"/>
      <c r="L21" s="1685">
        <v>1620830</v>
      </c>
      <c r="M21" s="1685"/>
      <c r="N21" s="1685"/>
      <c r="O21" s="1686">
        <f t="shared" si="6"/>
        <v>23620830</v>
      </c>
      <c r="P21" s="1700">
        <f>'1.1 Összesítő'!C109</f>
        <v>23620830</v>
      </c>
      <c r="Q21" s="1701"/>
      <c r="R21" s="1701"/>
      <c r="S21" s="1701"/>
    </row>
    <row r="22" spans="1:19" s="1661" customFormat="1">
      <c r="A22" s="1662" t="s">
        <v>1034</v>
      </c>
      <c r="B22" s="1663" t="s">
        <v>172</v>
      </c>
      <c r="C22" s="1685"/>
      <c r="D22" s="1685"/>
      <c r="E22" s="1685"/>
      <c r="F22" s="1685"/>
      <c r="G22" s="1685"/>
      <c r="H22" s="1685"/>
      <c r="I22" s="1685"/>
      <c r="J22" s="1685"/>
      <c r="K22" s="1685"/>
      <c r="L22" s="1685"/>
      <c r="M22" s="1685"/>
      <c r="N22" s="1685"/>
      <c r="O22" s="1686">
        <f t="shared" si="6"/>
        <v>0</v>
      </c>
      <c r="P22" s="1700">
        <f>'1.1 Összesítő'!C111</f>
        <v>0</v>
      </c>
      <c r="Q22" s="1701"/>
      <c r="R22" s="1701"/>
      <c r="S22" s="1701"/>
    </row>
    <row r="23" spans="1:19" s="1661" customFormat="1" ht="14.1" customHeight="1">
      <c r="A23" s="1662" t="s">
        <v>1037</v>
      </c>
      <c r="B23" s="1668" t="s">
        <v>880</v>
      </c>
      <c r="C23" s="1685"/>
      <c r="D23" s="1685"/>
      <c r="E23" s="1685"/>
      <c r="F23" s="1685"/>
      <c r="G23" s="1685"/>
      <c r="H23" s="1685"/>
      <c r="I23" s="1685"/>
      <c r="J23" s="1685"/>
      <c r="K23" s="1685"/>
      <c r="L23" s="1685"/>
      <c r="M23" s="1685"/>
      <c r="N23" s="1685"/>
      <c r="O23" s="1686">
        <f t="shared" si="6"/>
        <v>0</v>
      </c>
      <c r="P23" s="1700">
        <f>'1.1 Összesítő'!C113</f>
        <v>0</v>
      </c>
      <c r="Q23" s="1701"/>
      <c r="R23" s="1701"/>
      <c r="S23" s="1701"/>
    </row>
    <row r="24" spans="1:19" s="1661" customFormat="1" ht="14.1" customHeight="1">
      <c r="A24" s="1662" t="s">
        <v>1040</v>
      </c>
      <c r="B24" s="1668" t="s">
        <v>1012</v>
      </c>
      <c r="C24" s="1685">
        <v>17224176</v>
      </c>
      <c r="D24" s="1685">
        <v>-22058133</v>
      </c>
      <c r="E24" s="1685">
        <v>18532033</v>
      </c>
      <c r="F24" s="1685">
        <v>33250367</v>
      </c>
      <c r="G24" s="1685">
        <v>21532033</v>
      </c>
      <c r="H24" s="1685">
        <v>-2749633</v>
      </c>
      <c r="I24" s="1685">
        <v>-1844637</v>
      </c>
      <c r="J24" s="1685">
        <v>-3749633</v>
      </c>
      <c r="K24" s="1685">
        <v>22132367</v>
      </c>
      <c r="L24" s="1685">
        <v>-5370463</v>
      </c>
      <c r="M24" s="1685">
        <v>-2749633</v>
      </c>
      <c r="N24" s="1685">
        <v>-3749636</v>
      </c>
      <c r="O24" s="1686">
        <f t="shared" si="6"/>
        <v>70399208</v>
      </c>
      <c r="P24" s="1700">
        <f>'1.1 Összesítő'!C122</f>
        <v>70399208</v>
      </c>
      <c r="Q24" s="1701"/>
      <c r="R24" s="1701"/>
      <c r="S24" s="1701"/>
    </row>
    <row r="25" spans="1:19" s="1661" customFormat="1" ht="14.1" customHeight="1" thickBot="1">
      <c r="A25" s="1662" t="s">
        <v>1043</v>
      </c>
      <c r="B25" s="1668" t="s">
        <v>157</v>
      </c>
      <c r="C25" s="1685">
        <v>5539458</v>
      </c>
      <c r="D25" s="1685"/>
      <c r="E25" s="1685"/>
      <c r="F25" s="1685"/>
      <c r="G25" s="1685"/>
      <c r="H25" s="1685"/>
      <c r="I25" s="1685"/>
      <c r="J25" s="1685"/>
      <c r="K25" s="1685"/>
      <c r="L25" s="1685"/>
      <c r="M25" s="1685"/>
      <c r="N25" s="1685"/>
      <c r="O25" s="1686">
        <f t="shared" si="6"/>
        <v>5539458</v>
      </c>
      <c r="P25" s="1700">
        <f>'1.1 Összesítő'!C145</f>
        <v>5539458</v>
      </c>
      <c r="Q25" s="1701"/>
      <c r="R25" s="1701"/>
      <c r="S25" s="1701"/>
    </row>
    <row r="26" spans="1:19" s="1654" customFormat="1" ht="15.95" customHeight="1" thickBot="1">
      <c r="A26" s="1662" t="s">
        <v>1046</v>
      </c>
      <c r="B26" s="1669" t="s">
        <v>1229</v>
      </c>
      <c r="C26" s="1689">
        <f t="shared" ref="C26:N26" si="10">SUM(C16:C25)</f>
        <v>45395591.333333328</v>
      </c>
      <c r="D26" s="1689">
        <f t="shared" si="10"/>
        <v>21590490.333333328</v>
      </c>
      <c r="E26" s="1689">
        <f t="shared" si="10"/>
        <v>45872156.666666664</v>
      </c>
      <c r="F26" s="1689">
        <f t="shared" si="10"/>
        <v>56590490.666666664</v>
      </c>
      <c r="G26" s="1689">
        <f t="shared" si="10"/>
        <v>45872156.666666664</v>
      </c>
      <c r="H26" s="1689">
        <f t="shared" si="10"/>
        <v>21590490.666666664</v>
      </c>
      <c r="I26" s="1689">
        <f t="shared" si="10"/>
        <v>21590490.666666664</v>
      </c>
      <c r="J26" s="1689">
        <f t="shared" si="10"/>
        <v>21590490.666666664</v>
      </c>
      <c r="K26" s="1689">
        <f t="shared" si="10"/>
        <v>45872157.333333328</v>
      </c>
      <c r="L26" s="1689">
        <f t="shared" si="10"/>
        <v>21590490.666666664</v>
      </c>
      <c r="M26" s="1689">
        <f t="shared" si="10"/>
        <v>21590490.666666664</v>
      </c>
      <c r="N26" s="1689">
        <f t="shared" si="10"/>
        <v>21590487.666666664</v>
      </c>
      <c r="O26" s="1690">
        <f t="shared" si="6"/>
        <v>390735984</v>
      </c>
      <c r="P26" s="1698"/>
      <c r="Q26" s="1698">
        <f>SUM(P16:P25)</f>
        <v>390735984</v>
      </c>
      <c r="R26" s="1699"/>
      <c r="S26" s="1699"/>
    </row>
    <row r="27" spans="1:19" ht="16.5" thickBot="1">
      <c r="A27" s="1662" t="s">
        <v>1049</v>
      </c>
      <c r="B27" s="1677" t="s">
        <v>1235</v>
      </c>
      <c r="C27" s="1691">
        <f t="shared" ref="C27:O27" si="11">C14-C26</f>
        <v>-8.3333328366279602E-2</v>
      </c>
      <c r="D27" s="1691">
        <f t="shared" si="11"/>
        <v>-8.3333328366279602E-2</v>
      </c>
      <c r="E27" s="1691">
        <f t="shared" si="11"/>
        <v>0.2500000074505806</v>
      </c>
      <c r="F27" s="1691">
        <f t="shared" si="11"/>
        <v>-0.4166666641831398</v>
      </c>
      <c r="G27" s="1691">
        <f t="shared" si="11"/>
        <v>0.2500000074505806</v>
      </c>
      <c r="H27" s="1691">
        <f t="shared" si="11"/>
        <v>-0.4166666641831398</v>
      </c>
      <c r="I27" s="1691">
        <f t="shared" si="11"/>
        <v>-0.4166666641831398</v>
      </c>
      <c r="J27" s="1691">
        <f t="shared" si="11"/>
        <v>-0.4166666641831398</v>
      </c>
      <c r="K27" s="1691">
        <f t="shared" si="11"/>
        <v>-0.4166666567325592</v>
      </c>
      <c r="L27" s="1691">
        <f t="shared" si="11"/>
        <v>-0.4166666641831398</v>
      </c>
      <c r="M27" s="1691">
        <f t="shared" si="11"/>
        <v>-0.4166666641831398</v>
      </c>
      <c r="N27" s="1691"/>
      <c r="O27" s="1692">
        <f t="shared" si="11"/>
        <v>0</v>
      </c>
    </row>
    <row r="28" spans="1:19">
      <c r="A28" s="1693"/>
    </row>
    <row r="29" spans="1:19">
      <c r="B29" s="1680"/>
      <c r="C29" s="1681"/>
      <c r="D29" s="1681"/>
      <c r="O29" s="1648"/>
    </row>
    <row r="30" spans="1:19">
      <c r="O30" s="1648"/>
    </row>
    <row r="31" spans="1:19">
      <c r="O31" s="1648"/>
    </row>
    <row r="32" spans="1:19">
      <c r="O32" s="1648"/>
    </row>
    <row r="33" spans="15:15">
      <c r="O33" s="1648"/>
    </row>
    <row r="34" spans="15:15">
      <c r="O34" s="1648"/>
    </row>
    <row r="35" spans="15:15">
      <c r="O35" s="1648"/>
    </row>
    <row r="36" spans="15:15">
      <c r="O36" s="1648"/>
    </row>
    <row r="37" spans="15:15">
      <c r="O37" s="1648"/>
    </row>
    <row r="38" spans="15:15">
      <c r="O38" s="1648"/>
    </row>
    <row r="39" spans="15:15">
      <c r="O39" s="1648"/>
    </row>
    <row r="40" spans="15:15">
      <c r="O40" s="1648"/>
    </row>
    <row r="41" spans="15:15">
      <c r="O41" s="1648"/>
    </row>
    <row r="42" spans="15:15">
      <c r="O42" s="1648"/>
    </row>
    <row r="43" spans="15:15">
      <c r="O43" s="1648"/>
    </row>
    <row r="44" spans="15:15">
      <c r="O44" s="1648"/>
    </row>
    <row r="45" spans="15:15">
      <c r="O45" s="1648"/>
    </row>
    <row r="46" spans="15:15">
      <c r="O46" s="1648"/>
    </row>
    <row r="47" spans="15:15">
      <c r="O47" s="1648"/>
    </row>
    <row r="48" spans="15:15">
      <c r="O48" s="1648"/>
    </row>
    <row r="49" spans="15:15">
      <c r="O49" s="1648"/>
    </row>
    <row r="50" spans="15:15">
      <c r="O50" s="1648"/>
    </row>
    <row r="51" spans="15:15">
      <c r="O51" s="1648"/>
    </row>
    <row r="52" spans="15:15">
      <c r="O52" s="1648"/>
    </row>
    <row r="53" spans="15:15">
      <c r="O53" s="1648"/>
    </row>
    <row r="54" spans="15:15">
      <c r="O54" s="1648"/>
    </row>
    <row r="55" spans="15:15">
      <c r="O55" s="1648"/>
    </row>
    <row r="56" spans="15:15">
      <c r="O56" s="1648"/>
    </row>
    <row r="57" spans="15:15">
      <c r="O57" s="1648"/>
    </row>
    <row r="58" spans="15:15">
      <c r="O58" s="1648"/>
    </row>
    <row r="59" spans="15:15">
      <c r="O59" s="1648"/>
    </row>
    <row r="60" spans="15:15">
      <c r="O60" s="1648"/>
    </row>
    <row r="61" spans="15:15">
      <c r="O61" s="1648"/>
    </row>
    <row r="62" spans="15:15">
      <c r="O62" s="1648"/>
    </row>
    <row r="63" spans="15:15">
      <c r="O63" s="1648"/>
    </row>
    <row r="64" spans="15:15">
      <c r="O64" s="1648"/>
    </row>
    <row r="65" spans="15:15">
      <c r="O65" s="1648"/>
    </row>
    <row r="66" spans="15:15">
      <c r="O66" s="1648"/>
    </row>
    <row r="67" spans="15:15">
      <c r="O67" s="1648"/>
    </row>
    <row r="68" spans="15:15">
      <c r="O68" s="1648"/>
    </row>
    <row r="69" spans="15:15">
      <c r="O69" s="1648"/>
    </row>
    <row r="70" spans="15:15">
      <c r="O70" s="1648"/>
    </row>
    <row r="71" spans="15:15">
      <c r="O71" s="1648"/>
    </row>
    <row r="72" spans="15:15">
      <c r="O72" s="1648"/>
    </row>
    <row r="73" spans="15:15">
      <c r="O73" s="1648"/>
    </row>
    <row r="74" spans="15:15">
      <c r="O74" s="1648"/>
    </row>
    <row r="75" spans="15:15">
      <c r="O75" s="1648"/>
    </row>
    <row r="76" spans="15:15">
      <c r="O76" s="1648"/>
    </row>
    <row r="77" spans="15:15">
      <c r="O77" s="1648"/>
    </row>
    <row r="78" spans="15:15">
      <c r="O78" s="1648"/>
    </row>
    <row r="79" spans="15:15">
      <c r="O79" s="1648"/>
    </row>
    <row r="80" spans="15:15">
      <c r="O80" s="1648"/>
    </row>
    <row r="81" spans="15:15">
      <c r="O81" s="1648"/>
    </row>
    <row r="82" spans="15:15">
      <c r="O82" s="1648"/>
    </row>
  </sheetData>
  <sheetProtection password="DCF7" sheet="1" objects="1" scenarios="1" selectLockedCells="1" selectUnlockedCells="1"/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87" orientation="landscape" r:id="rId1"/>
  <headerFooter alignWithMargins="0">
    <oddHeader>&amp;R&amp;"Times New Roman CE,Félkövér dőlt" 1. számú tájékoztató tábla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E27"/>
  <sheetViews>
    <sheetView view="pageBreakPreview" zoomScaleNormal="100" zoomScaleSheetLayoutView="100" workbookViewId="0">
      <selection activeCell="Q16" sqref="Q16"/>
    </sheetView>
  </sheetViews>
  <sheetFormatPr defaultRowHeight="12.75"/>
  <cols>
    <col min="1" max="1" width="5.7109375" style="1488" customWidth="1"/>
    <col min="2" max="2" width="32.28515625" style="1488" customWidth="1"/>
    <col min="3" max="3" width="21.28515625" style="1488" customWidth="1"/>
    <col min="4" max="4" width="11.5703125" style="1488" customWidth="1"/>
    <col min="5" max="256" width="9.140625" style="1488"/>
    <col min="257" max="257" width="5.7109375" style="1488" customWidth="1"/>
    <col min="258" max="258" width="32.28515625" style="1488" customWidth="1"/>
    <col min="259" max="259" width="21.28515625" style="1488" customWidth="1"/>
    <col min="260" max="260" width="11.5703125" style="1488" customWidth="1"/>
    <col min="261" max="512" width="9.140625" style="1488"/>
    <col min="513" max="513" width="5.7109375" style="1488" customWidth="1"/>
    <col min="514" max="514" width="32.28515625" style="1488" customWidth="1"/>
    <col min="515" max="515" width="21.28515625" style="1488" customWidth="1"/>
    <col min="516" max="516" width="11.5703125" style="1488" customWidth="1"/>
    <col min="517" max="768" width="9.140625" style="1488"/>
    <col min="769" max="769" width="5.7109375" style="1488" customWidth="1"/>
    <col min="770" max="770" width="32.28515625" style="1488" customWidth="1"/>
    <col min="771" max="771" width="21.28515625" style="1488" customWidth="1"/>
    <col min="772" max="772" width="11.5703125" style="1488" customWidth="1"/>
    <col min="773" max="1024" width="9.140625" style="1488"/>
    <col min="1025" max="1025" width="5.7109375" style="1488" customWidth="1"/>
    <col min="1026" max="1026" width="32.28515625" style="1488" customWidth="1"/>
    <col min="1027" max="1027" width="21.28515625" style="1488" customWidth="1"/>
    <col min="1028" max="1028" width="11.5703125" style="1488" customWidth="1"/>
    <col min="1029" max="1280" width="9.140625" style="1488"/>
    <col min="1281" max="1281" width="5.7109375" style="1488" customWidth="1"/>
    <col min="1282" max="1282" width="32.28515625" style="1488" customWidth="1"/>
    <col min="1283" max="1283" width="21.28515625" style="1488" customWidth="1"/>
    <col min="1284" max="1284" width="11.5703125" style="1488" customWidth="1"/>
    <col min="1285" max="1536" width="9.140625" style="1488"/>
    <col min="1537" max="1537" width="5.7109375" style="1488" customWidth="1"/>
    <col min="1538" max="1538" width="32.28515625" style="1488" customWidth="1"/>
    <col min="1539" max="1539" width="21.28515625" style="1488" customWidth="1"/>
    <col min="1540" max="1540" width="11.5703125" style="1488" customWidth="1"/>
    <col min="1541" max="1792" width="9.140625" style="1488"/>
    <col min="1793" max="1793" width="5.7109375" style="1488" customWidth="1"/>
    <col min="1794" max="1794" width="32.28515625" style="1488" customWidth="1"/>
    <col min="1795" max="1795" width="21.28515625" style="1488" customWidth="1"/>
    <col min="1796" max="1796" width="11.5703125" style="1488" customWidth="1"/>
    <col min="1797" max="2048" width="9.140625" style="1488"/>
    <col min="2049" max="2049" width="5.7109375" style="1488" customWidth="1"/>
    <col min="2050" max="2050" width="32.28515625" style="1488" customWidth="1"/>
    <col min="2051" max="2051" width="21.28515625" style="1488" customWidth="1"/>
    <col min="2052" max="2052" width="11.5703125" style="1488" customWidth="1"/>
    <col min="2053" max="2304" width="9.140625" style="1488"/>
    <col min="2305" max="2305" width="5.7109375" style="1488" customWidth="1"/>
    <col min="2306" max="2306" width="32.28515625" style="1488" customWidth="1"/>
    <col min="2307" max="2307" width="21.28515625" style="1488" customWidth="1"/>
    <col min="2308" max="2308" width="11.5703125" style="1488" customWidth="1"/>
    <col min="2309" max="2560" width="9.140625" style="1488"/>
    <col min="2561" max="2561" width="5.7109375" style="1488" customWidth="1"/>
    <col min="2562" max="2562" width="32.28515625" style="1488" customWidth="1"/>
    <col min="2563" max="2563" width="21.28515625" style="1488" customWidth="1"/>
    <col min="2564" max="2564" width="11.5703125" style="1488" customWidth="1"/>
    <col min="2565" max="2816" width="9.140625" style="1488"/>
    <col min="2817" max="2817" width="5.7109375" style="1488" customWidth="1"/>
    <col min="2818" max="2818" width="32.28515625" style="1488" customWidth="1"/>
    <col min="2819" max="2819" width="21.28515625" style="1488" customWidth="1"/>
    <col min="2820" max="2820" width="11.5703125" style="1488" customWidth="1"/>
    <col min="2821" max="3072" width="9.140625" style="1488"/>
    <col min="3073" max="3073" width="5.7109375" style="1488" customWidth="1"/>
    <col min="3074" max="3074" width="32.28515625" style="1488" customWidth="1"/>
    <col min="3075" max="3075" width="21.28515625" style="1488" customWidth="1"/>
    <col min="3076" max="3076" width="11.5703125" style="1488" customWidth="1"/>
    <col min="3077" max="3328" width="9.140625" style="1488"/>
    <col min="3329" max="3329" width="5.7109375" style="1488" customWidth="1"/>
    <col min="3330" max="3330" width="32.28515625" style="1488" customWidth="1"/>
    <col min="3331" max="3331" width="21.28515625" style="1488" customWidth="1"/>
    <col min="3332" max="3332" width="11.5703125" style="1488" customWidth="1"/>
    <col min="3333" max="3584" width="9.140625" style="1488"/>
    <col min="3585" max="3585" width="5.7109375" style="1488" customWidth="1"/>
    <col min="3586" max="3586" width="32.28515625" style="1488" customWidth="1"/>
    <col min="3587" max="3587" width="21.28515625" style="1488" customWidth="1"/>
    <col min="3588" max="3588" width="11.5703125" style="1488" customWidth="1"/>
    <col min="3589" max="3840" width="9.140625" style="1488"/>
    <col min="3841" max="3841" width="5.7109375" style="1488" customWidth="1"/>
    <col min="3842" max="3842" width="32.28515625" style="1488" customWidth="1"/>
    <col min="3843" max="3843" width="21.28515625" style="1488" customWidth="1"/>
    <col min="3844" max="3844" width="11.5703125" style="1488" customWidth="1"/>
    <col min="3845" max="4096" width="9.140625" style="1488"/>
    <col min="4097" max="4097" width="5.7109375" style="1488" customWidth="1"/>
    <col min="4098" max="4098" width="32.28515625" style="1488" customWidth="1"/>
    <col min="4099" max="4099" width="21.28515625" style="1488" customWidth="1"/>
    <col min="4100" max="4100" width="11.5703125" style="1488" customWidth="1"/>
    <col min="4101" max="4352" width="9.140625" style="1488"/>
    <col min="4353" max="4353" width="5.7109375" style="1488" customWidth="1"/>
    <col min="4354" max="4354" width="32.28515625" style="1488" customWidth="1"/>
    <col min="4355" max="4355" width="21.28515625" style="1488" customWidth="1"/>
    <col min="4356" max="4356" width="11.5703125" style="1488" customWidth="1"/>
    <col min="4357" max="4608" width="9.140625" style="1488"/>
    <col min="4609" max="4609" width="5.7109375" style="1488" customWidth="1"/>
    <col min="4610" max="4610" width="32.28515625" style="1488" customWidth="1"/>
    <col min="4611" max="4611" width="21.28515625" style="1488" customWidth="1"/>
    <col min="4612" max="4612" width="11.5703125" style="1488" customWidth="1"/>
    <col min="4613" max="4864" width="9.140625" style="1488"/>
    <col min="4865" max="4865" width="5.7109375" style="1488" customWidth="1"/>
    <col min="4866" max="4866" width="32.28515625" style="1488" customWidth="1"/>
    <col min="4867" max="4867" width="21.28515625" style="1488" customWidth="1"/>
    <col min="4868" max="4868" width="11.5703125" style="1488" customWidth="1"/>
    <col min="4869" max="5120" width="9.140625" style="1488"/>
    <col min="5121" max="5121" width="5.7109375" style="1488" customWidth="1"/>
    <col min="5122" max="5122" width="32.28515625" style="1488" customWidth="1"/>
    <col min="5123" max="5123" width="21.28515625" style="1488" customWidth="1"/>
    <col min="5124" max="5124" width="11.5703125" style="1488" customWidth="1"/>
    <col min="5125" max="5376" width="9.140625" style="1488"/>
    <col min="5377" max="5377" width="5.7109375" style="1488" customWidth="1"/>
    <col min="5378" max="5378" width="32.28515625" style="1488" customWidth="1"/>
    <col min="5379" max="5379" width="21.28515625" style="1488" customWidth="1"/>
    <col min="5380" max="5380" width="11.5703125" style="1488" customWidth="1"/>
    <col min="5381" max="5632" width="9.140625" style="1488"/>
    <col min="5633" max="5633" width="5.7109375" style="1488" customWidth="1"/>
    <col min="5634" max="5634" width="32.28515625" style="1488" customWidth="1"/>
    <col min="5635" max="5635" width="21.28515625" style="1488" customWidth="1"/>
    <col min="5636" max="5636" width="11.5703125" style="1488" customWidth="1"/>
    <col min="5637" max="5888" width="9.140625" style="1488"/>
    <col min="5889" max="5889" width="5.7109375" style="1488" customWidth="1"/>
    <col min="5890" max="5890" width="32.28515625" style="1488" customWidth="1"/>
    <col min="5891" max="5891" width="21.28515625" style="1488" customWidth="1"/>
    <col min="5892" max="5892" width="11.5703125" style="1488" customWidth="1"/>
    <col min="5893" max="6144" width="9.140625" style="1488"/>
    <col min="6145" max="6145" width="5.7109375" style="1488" customWidth="1"/>
    <col min="6146" max="6146" width="32.28515625" style="1488" customWidth="1"/>
    <col min="6147" max="6147" width="21.28515625" style="1488" customWidth="1"/>
    <col min="6148" max="6148" width="11.5703125" style="1488" customWidth="1"/>
    <col min="6149" max="6400" width="9.140625" style="1488"/>
    <col min="6401" max="6401" width="5.7109375" style="1488" customWidth="1"/>
    <col min="6402" max="6402" width="32.28515625" style="1488" customWidth="1"/>
    <col min="6403" max="6403" width="21.28515625" style="1488" customWidth="1"/>
    <col min="6404" max="6404" width="11.5703125" style="1488" customWidth="1"/>
    <col min="6405" max="6656" width="9.140625" style="1488"/>
    <col min="6657" max="6657" width="5.7109375" style="1488" customWidth="1"/>
    <col min="6658" max="6658" width="32.28515625" style="1488" customWidth="1"/>
    <col min="6659" max="6659" width="21.28515625" style="1488" customWidth="1"/>
    <col min="6660" max="6660" width="11.5703125" style="1488" customWidth="1"/>
    <col min="6661" max="6912" width="9.140625" style="1488"/>
    <col min="6913" max="6913" width="5.7109375" style="1488" customWidth="1"/>
    <col min="6914" max="6914" width="32.28515625" style="1488" customWidth="1"/>
    <col min="6915" max="6915" width="21.28515625" style="1488" customWidth="1"/>
    <col min="6916" max="6916" width="11.5703125" style="1488" customWidth="1"/>
    <col min="6917" max="7168" width="9.140625" style="1488"/>
    <col min="7169" max="7169" width="5.7109375" style="1488" customWidth="1"/>
    <col min="7170" max="7170" width="32.28515625" style="1488" customWidth="1"/>
    <col min="7171" max="7171" width="21.28515625" style="1488" customWidth="1"/>
    <col min="7172" max="7172" width="11.5703125" style="1488" customWidth="1"/>
    <col min="7173" max="7424" width="9.140625" style="1488"/>
    <col min="7425" max="7425" width="5.7109375" style="1488" customWidth="1"/>
    <col min="7426" max="7426" width="32.28515625" style="1488" customWidth="1"/>
    <col min="7427" max="7427" width="21.28515625" style="1488" customWidth="1"/>
    <col min="7428" max="7428" width="11.5703125" style="1488" customWidth="1"/>
    <col min="7429" max="7680" width="9.140625" style="1488"/>
    <col min="7681" max="7681" width="5.7109375" style="1488" customWidth="1"/>
    <col min="7682" max="7682" width="32.28515625" style="1488" customWidth="1"/>
    <col min="7683" max="7683" width="21.28515625" style="1488" customWidth="1"/>
    <col min="7684" max="7684" width="11.5703125" style="1488" customWidth="1"/>
    <col min="7685" max="7936" width="9.140625" style="1488"/>
    <col min="7937" max="7937" width="5.7109375" style="1488" customWidth="1"/>
    <col min="7938" max="7938" width="32.28515625" style="1488" customWidth="1"/>
    <col min="7939" max="7939" width="21.28515625" style="1488" customWidth="1"/>
    <col min="7940" max="7940" width="11.5703125" style="1488" customWidth="1"/>
    <col min="7941" max="8192" width="9.140625" style="1488"/>
    <col min="8193" max="8193" width="5.7109375" style="1488" customWidth="1"/>
    <col min="8194" max="8194" width="32.28515625" style="1488" customWidth="1"/>
    <col min="8195" max="8195" width="21.28515625" style="1488" customWidth="1"/>
    <col min="8196" max="8196" width="11.5703125" style="1488" customWidth="1"/>
    <col min="8197" max="8448" width="9.140625" style="1488"/>
    <col min="8449" max="8449" width="5.7109375" style="1488" customWidth="1"/>
    <col min="8450" max="8450" width="32.28515625" style="1488" customWidth="1"/>
    <col min="8451" max="8451" width="21.28515625" style="1488" customWidth="1"/>
    <col min="8452" max="8452" width="11.5703125" style="1488" customWidth="1"/>
    <col min="8453" max="8704" width="9.140625" style="1488"/>
    <col min="8705" max="8705" width="5.7109375" style="1488" customWidth="1"/>
    <col min="8706" max="8706" width="32.28515625" style="1488" customWidth="1"/>
    <col min="8707" max="8707" width="21.28515625" style="1488" customWidth="1"/>
    <col min="8708" max="8708" width="11.5703125" style="1488" customWidth="1"/>
    <col min="8709" max="8960" width="9.140625" style="1488"/>
    <col min="8961" max="8961" width="5.7109375" style="1488" customWidth="1"/>
    <col min="8962" max="8962" width="32.28515625" style="1488" customWidth="1"/>
    <col min="8963" max="8963" width="21.28515625" style="1488" customWidth="1"/>
    <col min="8964" max="8964" width="11.5703125" style="1488" customWidth="1"/>
    <col min="8965" max="9216" width="9.140625" style="1488"/>
    <col min="9217" max="9217" width="5.7109375" style="1488" customWidth="1"/>
    <col min="9218" max="9218" width="32.28515625" style="1488" customWidth="1"/>
    <col min="9219" max="9219" width="21.28515625" style="1488" customWidth="1"/>
    <col min="9220" max="9220" width="11.5703125" style="1488" customWidth="1"/>
    <col min="9221" max="9472" width="9.140625" style="1488"/>
    <col min="9473" max="9473" width="5.7109375" style="1488" customWidth="1"/>
    <col min="9474" max="9474" width="32.28515625" style="1488" customWidth="1"/>
    <col min="9475" max="9475" width="21.28515625" style="1488" customWidth="1"/>
    <col min="9476" max="9476" width="11.5703125" style="1488" customWidth="1"/>
    <col min="9477" max="9728" width="9.140625" style="1488"/>
    <col min="9729" max="9729" width="5.7109375" style="1488" customWidth="1"/>
    <col min="9730" max="9730" width="32.28515625" style="1488" customWidth="1"/>
    <col min="9731" max="9731" width="21.28515625" style="1488" customWidth="1"/>
    <col min="9732" max="9732" width="11.5703125" style="1488" customWidth="1"/>
    <col min="9733" max="9984" width="9.140625" style="1488"/>
    <col min="9985" max="9985" width="5.7109375" style="1488" customWidth="1"/>
    <col min="9986" max="9986" width="32.28515625" style="1488" customWidth="1"/>
    <col min="9987" max="9987" width="21.28515625" style="1488" customWidth="1"/>
    <col min="9988" max="9988" width="11.5703125" style="1488" customWidth="1"/>
    <col min="9989" max="10240" width="9.140625" style="1488"/>
    <col min="10241" max="10241" width="5.7109375" style="1488" customWidth="1"/>
    <col min="10242" max="10242" width="32.28515625" style="1488" customWidth="1"/>
    <col min="10243" max="10243" width="21.28515625" style="1488" customWidth="1"/>
    <col min="10244" max="10244" width="11.5703125" style="1488" customWidth="1"/>
    <col min="10245" max="10496" width="9.140625" style="1488"/>
    <col min="10497" max="10497" width="5.7109375" style="1488" customWidth="1"/>
    <col min="10498" max="10498" width="32.28515625" style="1488" customWidth="1"/>
    <col min="10499" max="10499" width="21.28515625" style="1488" customWidth="1"/>
    <col min="10500" max="10500" width="11.5703125" style="1488" customWidth="1"/>
    <col min="10501" max="10752" width="9.140625" style="1488"/>
    <col min="10753" max="10753" width="5.7109375" style="1488" customWidth="1"/>
    <col min="10754" max="10754" width="32.28515625" style="1488" customWidth="1"/>
    <col min="10755" max="10755" width="21.28515625" style="1488" customWidth="1"/>
    <col min="10756" max="10756" width="11.5703125" style="1488" customWidth="1"/>
    <col min="10757" max="11008" width="9.140625" style="1488"/>
    <col min="11009" max="11009" width="5.7109375" style="1488" customWidth="1"/>
    <col min="11010" max="11010" width="32.28515625" style="1488" customWidth="1"/>
    <col min="11011" max="11011" width="21.28515625" style="1488" customWidth="1"/>
    <col min="11012" max="11012" width="11.5703125" style="1488" customWidth="1"/>
    <col min="11013" max="11264" width="9.140625" style="1488"/>
    <col min="11265" max="11265" width="5.7109375" style="1488" customWidth="1"/>
    <col min="11266" max="11266" width="32.28515625" style="1488" customWidth="1"/>
    <col min="11267" max="11267" width="21.28515625" style="1488" customWidth="1"/>
    <col min="11268" max="11268" width="11.5703125" style="1488" customWidth="1"/>
    <col min="11269" max="11520" width="9.140625" style="1488"/>
    <col min="11521" max="11521" width="5.7109375" style="1488" customWidth="1"/>
    <col min="11522" max="11522" width="32.28515625" style="1488" customWidth="1"/>
    <col min="11523" max="11523" width="21.28515625" style="1488" customWidth="1"/>
    <col min="11524" max="11524" width="11.5703125" style="1488" customWidth="1"/>
    <col min="11525" max="11776" width="9.140625" style="1488"/>
    <col min="11777" max="11777" width="5.7109375" style="1488" customWidth="1"/>
    <col min="11778" max="11778" width="32.28515625" style="1488" customWidth="1"/>
    <col min="11779" max="11779" width="21.28515625" style="1488" customWidth="1"/>
    <col min="11780" max="11780" width="11.5703125" style="1488" customWidth="1"/>
    <col min="11781" max="12032" width="9.140625" style="1488"/>
    <col min="12033" max="12033" width="5.7109375" style="1488" customWidth="1"/>
    <col min="12034" max="12034" width="32.28515625" style="1488" customWidth="1"/>
    <col min="12035" max="12035" width="21.28515625" style="1488" customWidth="1"/>
    <col min="12036" max="12036" width="11.5703125" style="1488" customWidth="1"/>
    <col min="12037" max="12288" width="9.140625" style="1488"/>
    <col min="12289" max="12289" width="5.7109375" style="1488" customWidth="1"/>
    <col min="12290" max="12290" width="32.28515625" style="1488" customWidth="1"/>
    <col min="12291" max="12291" width="21.28515625" style="1488" customWidth="1"/>
    <col min="12292" max="12292" width="11.5703125" style="1488" customWidth="1"/>
    <col min="12293" max="12544" width="9.140625" style="1488"/>
    <col min="12545" max="12545" width="5.7109375" style="1488" customWidth="1"/>
    <col min="12546" max="12546" width="32.28515625" style="1488" customWidth="1"/>
    <col min="12547" max="12547" width="21.28515625" style="1488" customWidth="1"/>
    <col min="12548" max="12548" width="11.5703125" style="1488" customWidth="1"/>
    <col min="12549" max="12800" width="9.140625" style="1488"/>
    <col min="12801" max="12801" width="5.7109375" style="1488" customWidth="1"/>
    <col min="12802" max="12802" width="32.28515625" style="1488" customWidth="1"/>
    <col min="12803" max="12803" width="21.28515625" style="1488" customWidth="1"/>
    <col min="12804" max="12804" width="11.5703125" style="1488" customWidth="1"/>
    <col min="12805" max="13056" width="9.140625" style="1488"/>
    <col min="13057" max="13057" width="5.7109375" style="1488" customWidth="1"/>
    <col min="13058" max="13058" width="32.28515625" style="1488" customWidth="1"/>
    <col min="13059" max="13059" width="21.28515625" style="1488" customWidth="1"/>
    <col min="13060" max="13060" width="11.5703125" style="1488" customWidth="1"/>
    <col min="13061" max="13312" width="9.140625" style="1488"/>
    <col min="13313" max="13313" width="5.7109375" style="1488" customWidth="1"/>
    <col min="13314" max="13314" width="32.28515625" style="1488" customWidth="1"/>
    <col min="13315" max="13315" width="21.28515625" style="1488" customWidth="1"/>
    <col min="13316" max="13316" width="11.5703125" style="1488" customWidth="1"/>
    <col min="13317" max="13568" width="9.140625" style="1488"/>
    <col min="13569" max="13569" width="5.7109375" style="1488" customWidth="1"/>
    <col min="13570" max="13570" width="32.28515625" style="1488" customWidth="1"/>
    <col min="13571" max="13571" width="21.28515625" style="1488" customWidth="1"/>
    <col min="13572" max="13572" width="11.5703125" style="1488" customWidth="1"/>
    <col min="13573" max="13824" width="9.140625" style="1488"/>
    <col min="13825" max="13825" width="5.7109375" style="1488" customWidth="1"/>
    <col min="13826" max="13826" width="32.28515625" style="1488" customWidth="1"/>
    <col min="13827" max="13827" width="21.28515625" style="1488" customWidth="1"/>
    <col min="13828" max="13828" width="11.5703125" style="1488" customWidth="1"/>
    <col min="13829" max="14080" width="9.140625" style="1488"/>
    <col min="14081" max="14081" width="5.7109375" style="1488" customWidth="1"/>
    <col min="14082" max="14082" width="32.28515625" style="1488" customWidth="1"/>
    <col min="14083" max="14083" width="21.28515625" style="1488" customWidth="1"/>
    <col min="14084" max="14084" width="11.5703125" style="1488" customWidth="1"/>
    <col min="14085" max="14336" width="9.140625" style="1488"/>
    <col min="14337" max="14337" width="5.7109375" style="1488" customWidth="1"/>
    <col min="14338" max="14338" width="32.28515625" style="1488" customWidth="1"/>
    <col min="14339" max="14339" width="21.28515625" style="1488" customWidth="1"/>
    <col min="14340" max="14340" width="11.5703125" style="1488" customWidth="1"/>
    <col min="14341" max="14592" width="9.140625" style="1488"/>
    <col min="14593" max="14593" width="5.7109375" style="1488" customWidth="1"/>
    <col min="14594" max="14594" width="32.28515625" style="1488" customWidth="1"/>
    <col min="14595" max="14595" width="21.28515625" style="1488" customWidth="1"/>
    <col min="14596" max="14596" width="11.5703125" style="1488" customWidth="1"/>
    <col min="14597" max="14848" width="9.140625" style="1488"/>
    <col min="14849" max="14849" width="5.7109375" style="1488" customWidth="1"/>
    <col min="14850" max="14850" width="32.28515625" style="1488" customWidth="1"/>
    <col min="14851" max="14851" width="21.28515625" style="1488" customWidth="1"/>
    <col min="14852" max="14852" width="11.5703125" style="1488" customWidth="1"/>
    <col min="14853" max="15104" width="9.140625" style="1488"/>
    <col min="15105" max="15105" width="5.7109375" style="1488" customWidth="1"/>
    <col min="15106" max="15106" width="32.28515625" style="1488" customWidth="1"/>
    <col min="15107" max="15107" width="21.28515625" style="1488" customWidth="1"/>
    <col min="15108" max="15108" width="11.5703125" style="1488" customWidth="1"/>
    <col min="15109" max="15360" width="9.140625" style="1488"/>
    <col min="15361" max="15361" width="5.7109375" style="1488" customWidth="1"/>
    <col min="15362" max="15362" width="32.28515625" style="1488" customWidth="1"/>
    <col min="15363" max="15363" width="21.28515625" style="1488" customWidth="1"/>
    <col min="15364" max="15364" width="11.5703125" style="1488" customWidth="1"/>
    <col min="15365" max="15616" width="9.140625" style="1488"/>
    <col min="15617" max="15617" width="5.7109375" style="1488" customWidth="1"/>
    <col min="15618" max="15618" width="32.28515625" style="1488" customWidth="1"/>
    <col min="15619" max="15619" width="21.28515625" style="1488" customWidth="1"/>
    <col min="15620" max="15620" width="11.5703125" style="1488" customWidth="1"/>
    <col min="15621" max="15872" width="9.140625" style="1488"/>
    <col min="15873" max="15873" width="5.7109375" style="1488" customWidth="1"/>
    <col min="15874" max="15874" width="32.28515625" style="1488" customWidth="1"/>
    <col min="15875" max="15875" width="21.28515625" style="1488" customWidth="1"/>
    <col min="15876" max="15876" width="11.5703125" style="1488" customWidth="1"/>
    <col min="15877" max="16128" width="9.140625" style="1488"/>
    <col min="16129" max="16129" width="5.7109375" style="1488" customWidth="1"/>
    <col min="16130" max="16130" width="32.28515625" style="1488" customWidth="1"/>
    <col min="16131" max="16131" width="21.28515625" style="1488" customWidth="1"/>
    <col min="16132" max="16132" width="11.5703125" style="1488" customWidth="1"/>
    <col min="16133" max="16384" width="9.140625" style="1488"/>
  </cols>
  <sheetData>
    <row r="1" spans="1:4" ht="50.1" customHeight="1">
      <c r="A1" s="1560" t="s">
        <v>1007</v>
      </c>
      <c r="B1" s="1561" t="s">
        <v>1168</v>
      </c>
      <c r="C1" s="1561" t="s">
        <v>1169</v>
      </c>
      <c r="D1" s="1562" t="s">
        <v>1171</v>
      </c>
    </row>
    <row r="2" spans="1:4" ht="20.100000000000001" customHeight="1">
      <c r="A2" s="1563" t="s">
        <v>693</v>
      </c>
      <c r="B2" s="1565" t="s">
        <v>1170</v>
      </c>
      <c r="C2" s="1565"/>
      <c r="D2" s="1566">
        <f>'4.1.(7.1) Önkormányzat'!C107</f>
        <v>14240000</v>
      </c>
    </row>
    <row r="3" spans="1:4" ht="20.100000000000001" customHeight="1">
      <c r="A3" s="1563" t="s">
        <v>707</v>
      </c>
      <c r="B3" s="1564"/>
      <c r="C3" s="1565"/>
      <c r="D3" s="1566"/>
    </row>
    <row r="4" spans="1:4" ht="20.100000000000001" customHeight="1">
      <c r="A4" s="1563" t="s">
        <v>721</v>
      </c>
      <c r="B4" s="1565"/>
      <c r="C4" s="1565"/>
      <c r="D4" s="1566"/>
    </row>
    <row r="5" spans="1:4" ht="20.100000000000001" customHeight="1">
      <c r="A5" s="1563" t="s">
        <v>897</v>
      </c>
      <c r="B5" s="1565"/>
      <c r="C5" s="1565"/>
      <c r="D5" s="1566"/>
    </row>
    <row r="6" spans="1:4" ht="20.100000000000001" customHeight="1">
      <c r="A6" s="1563" t="s">
        <v>750</v>
      </c>
      <c r="B6" s="1565"/>
      <c r="C6" s="1565"/>
      <c r="D6" s="1566"/>
    </row>
    <row r="7" spans="1:4" ht="20.100000000000001" customHeight="1">
      <c r="A7" s="1563" t="s">
        <v>772</v>
      </c>
      <c r="B7" s="1565"/>
      <c r="C7" s="1565"/>
      <c r="D7" s="1566"/>
    </row>
    <row r="8" spans="1:4" ht="20.100000000000001" customHeight="1">
      <c r="A8" s="1563" t="s">
        <v>908</v>
      </c>
      <c r="B8" s="1565"/>
      <c r="C8" s="1565"/>
      <c r="D8" s="1566"/>
    </row>
    <row r="9" spans="1:4" ht="20.100000000000001" customHeight="1">
      <c r="A9" s="1563" t="s">
        <v>793</v>
      </c>
      <c r="B9" s="1565"/>
      <c r="C9" s="1565"/>
      <c r="D9" s="1566"/>
    </row>
    <row r="10" spans="1:4" ht="20.100000000000001" customHeight="1">
      <c r="A10" s="1563" t="s">
        <v>803</v>
      </c>
      <c r="B10" s="1565"/>
      <c r="C10" s="1565"/>
      <c r="D10" s="1566"/>
    </row>
    <row r="11" spans="1:4" ht="20.100000000000001" customHeight="1">
      <c r="A11" s="1563" t="s">
        <v>920</v>
      </c>
      <c r="B11" s="1565"/>
      <c r="C11" s="1565"/>
      <c r="D11" s="1566"/>
    </row>
    <row r="12" spans="1:4" ht="20.100000000000001" customHeight="1">
      <c r="A12" s="1563" t="s">
        <v>1014</v>
      </c>
      <c r="B12" s="1565"/>
      <c r="C12" s="1565"/>
      <c r="D12" s="1566"/>
    </row>
    <row r="13" spans="1:4" ht="20.100000000000001" customHeight="1">
      <c r="A13" s="1563" t="s">
        <v>1015</v>
      </c>
      <c r="B13" s="1565"/>
      <c r="C13" s="1565"/>
      <c r="D13" s="1566"/>
    </row>
    <row r="14" spans="1:4" ht="20.100000000000001" customHeight="1">
      <c r="A14" s="1563" t="s">
        <v>1016</v>
      </c>
      <c r="B14" s="1565"/>
      <c r="C14" s="1565"/>
      <c r="D14" s="1566"/>
    </row>
    <row r="15" spans="1:4" ht="20.100000000000001" customHeight="1">
      <c r="A15" s="1563" t="s">
        <v>1019</v>
      </c>
      <c r="B15" s="1565"/>
      <c r="C15" s="1565"/>
      <c r="D15" s="1566"/>
    </row>
    <row r="16" spans="1:4" ht="20.100000000000001" customHeight="1">
      <c r="A16" s="1563"/>
      <c r="B16" s="1565"/>
      <c r="C16" s="1565"/>
      <c r="D16" s="1566"/>
    </row>
    <row r="17" spans="1:5" ht="20.100000000000001" customHeight="1">
      <c r="A17" s="1563"/>
      <c r="B17" s="1565"/>
      <c r="C17" s="1565"/>
      <c r="D17" s="1566"/>
      <c r="E17" s="1567"/>
    </row>
    <row r="18" spans="1:5" ht="20.100000000000001" customHeight="1">
      <c r="A18" s="1563"/>
      <c r="B18" s="1565"/>
      <c r="C18" s="1565"/>
      <c r="D18" s="1566"/>
    </row>
    <row r="19" spans="1:5" ht="20.100000000000001" customHeight="1">
      <c r="A19" s="1563"/>
      <c r="B19" s="1565"/>
      <c r="C19" s="1565"/>
      <c r="D19" s="1566"/>
    </row>
    <row r="20" spans="1:5" ht="20.100000000000001" customHeight="1">
      <c r="A20" s="1563"/>
      <c r="B20" s="1565"/>
      <c r="C20" s="1564"/>
      <c r="D20" s="1566"/>
    </row>
    <row r="21" spans="1:5" ht="20.100000000000001" customHeight="1">
      <c r="A21" s="1563"/>
      <c r="B21" s="1565"/>
      <c r="C21" s="1564"/>
      <c r="D21" s="1566"/>
    </row>
    <row r="22" spans="1:5" ht="20.100000000000001" customHeight="1">
      <c r="A22" s="1563"/>
      <c r="B22" s="1565"/>
      <c r="C22" s="1564"/>
      <c r="D22" s="1566"/>
    </row>
    <row r="23" spans="1:5" ht="20.100000000000001" customHeight="1">
      <c r="A23" s="1563"/>
      <c r="B23" s="1565"/>
      <c r="C23" s="1565"/>
      <c r="D23" s="1568"/>
    </row>
    <row r="24" spans="1:5" ht="20.100000000000001" customHeight="1">
      <c r="A24" s="1563"/>
      <c r="B24" s="1569"/>
      <c r="C24" s="1569"/>
      <c r="D24" s="1570"/>
    </row>
    <row r="25" spans="1:5" ht="20.100000000000001" customHeight="1" thickBot="1">
      <c r="A25" s="1563"/>
      <c r="B25" s="1569"/>
      <c r="C25" s="1569"/>
      <c r="D25" s="1570"/>
    </row>
    <row r="26" spans="1:5" ht="20.100000000000001" customHeight="1" thickBot="1">
      <c r="A26" s="1901" t="s">
        <v>1154</v>
      </c>
      <c r="B26" s="1902"/>
      <c r="C26" s="1571"/>
      <c r="D26" s="1572">
        <f>SUM(D2:D25)</f>
        <v>14240000</v>
      </c>
    </row>
    <row r="27" spans="1:5">
      <c r="A27" s="1573"/>
    </row>
  </sheetData>
  <sheetProtection password="DCF7" sheet="1" objects="1" scenarios="1" selectLockedCells="1" selectUnlockedCells="1"/>
  <mergeCells count="1">
    <mergeCell ref="A26:B26"/>
  </mergeCells>
  <conditionalFormatting sqref="D26">
    <cfRule type="cellIs" dxfId="0" priority="1" stopIfTrue="1" operator="equal">
      <formula>0</formula>
    </cfRule>
  </conditionalFormatting>
  <printOptions horizontalCentered="1"/>
  <pageMargins left="0.78740157480314965" right="0.78740157480314965" top="1.5748031496062993" bottom="0.98425196850393704" header="0.78740157480314965" footer="0.78740157480314965"/>
  <pageSetup paperSize="9" scale="87" orientation="portrait" r:id="rId1"/>
  <headerFooter alignWithMargins="0">
    <oddHeader>&amp;C&amp;"Times New Roman CE,Félkövér"&amp;12
K I M U T A T Á S
a 2019. évi céljelleggel nyújtott támogatásokról&amp;R&amp;"Times New Roman CE,Félkövér dőlt" 2. számú tájékoztató tábla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I18"/>
  <sheetViews>
    <sheetView view="pageBreakPreview" zoomScaleNormal="100" zoomScaleSheetLayoutView="100" workbookViewId="0">
      <selection activeCell="Q16" sqref="Q16"/>
    </sheetView>
  </sheetViews>
  <sheetFormatPr defaultRowHeight="12.75"/>
  <cols>
    <col min="1" max="1" width="5.85546875" style="1433" customWidth="1"/>
    <col min="2" max="2" width="42.5703125" style="1299" customWidth="1"/>
    <col min="3" max="8" width="11" style="1299" customWidth="1"/>
    <col min="9" max="9" width="11.85546875" style="1299" customWidth="1"/>
    <col min="10" max="256" width="9.140625" style="1299"/>
    <col min="257" max="257" width="5.85546875" style="1299" customWidth="1"/>
    <col min="258" max="258" width="42.5703125" style="1299" customWidth="1"/>
    <col min="259" max="264" width="11" style="1299" customWidth="1"/>
    <col min="265" max="265" width="11.85546875" style="1299" customWidth="1"/>
    <col min="266" max="512" width="9.140625" style="1299"/>
    <col min="513" max="513" width="5.85546875" style="1299" customWidth="1"/>
    <col min="514" max="514" width="42.5703125" style="1299" customWidth="1"/>
    <col min="515" max="520" width="11" style="1299" customWidth="1"/>
    <col min="521" max="521" width="11.85546875" style="1299" customWidth="1"/>
    <col min="522" max="768" width="9.140625" style="1299"/>
    <col min="769" max="769" width="5.85546875" style="1299" customWidth="1"/>
    <col min="770" max="770" width="42.5703125" style="1299" customWidth="1"/>
    <col min="771" max="776" width="11" style="1299" customWidth="1"/>
    <col min="777" max="777" width="11.85546875" style="1299" customWidth="1"/>
    <col min="778" max="1024" width="9.140625" style="1299"/>
    <col min="1025" max="1025" width="5.85546875" style="1299" customWidth="1"/>
    <col min="1026" max="1026" width="42.5703125" style="1299" customWidth="1"/>
    <col min="1027" max="1032" width="11" style="1299" customWidth="1"/>
    <col min="1033" max="1033" width="11.85546875" style="1299" customWidth="1"/>
    <col min="1034" max="1280" width="9.140625" style="1299"/>
    <col min="1281" max="1281" width="5.85546875" style="1299" customWidth="1"/>
    <col min="1282" max="1282" width="42.5703125" style="1299" customWidth="1"/>
    <col min="1283" max="1288" width="11" style="1299" customWidth="1"/>
    <col min="1289" max="1289" width="11.85546875" style="1299" customWidth="1"/>
    <col min="1290" max="1536" width="9.140625" style="1299"/>
    <col min="1537" max="1537" width="5.85546875" style="1299" customWidth="1"/>
    <col min="1538" max="1538" width="42.5703125" style="1299" customWidth="1"/>
    <col min="1539" max="1544" width="11" style="1299" customWidth="1"/>
    <col min="1545" max="1545" width="11.85546875" style="1299" customWidth="1"/>
    <col min="1546" max="1792" width="9.140625" style="1299"/>
    <col min="1793" max="1793" width="5.85546875" style="1299" customWidth="1"/>
    <col min="1794" max="1794" width="42.5703125" style="1299" customWidth="1"/>
    <col min="1795" max="1800" width="11" style="1299" customWidth="1"/>
    <col min="1801" max="1801" width="11.85546875" style="1299" customWidth="1"/>
    <col min="1802" max="2048" width="9.140625" style="1299"/>
    <col min="2049" max="2049" width="5.85546875" style="1299" customWidth="1"/>
    <col min="2050" max="2050" width="42.5703125" style="1299" customWidth="1"/>
    <col min="2051" max="2056" width="11" style="1299" customWidth="1"/>
    <col min="2057" max="2057" width="11.85546875" style="1299" customWidth="1"/>
    <col min="2058" max="2304" width="9.140625" style="1299"/>
    <col min="2305" max="2305" width="5.85546875" style="1299" customWidth="1"/>
    <col min="2306" max="2306" width="42.5703125" style="1299" customWidth="1"/>
    <col min="2307" max="2312" width="11" style="1299" customWidth="1"/>
    <col min="2313" max="2313" width="11.85546875" style="1299" customWidth="1"/>
    <col min="2314" max="2560" width="9.140625" style="1299"/>
    <col min="2561" max="2561" width="5.85546875" style="1299" customWidth="1"/>
    <col min="2562" max="2562" width="42.5703125" style="1299" customWidth="1"/>
    <col min="2563" max="2568" width="11" style="1299" customWidth="1"/>
    <col min="2569" max="2569" width="11.85546875" style="1299" customWidth="1"/>
    <col min="2570" max="2816" width="9.140625" style="1299"/>
    <col min="2817" max="2817" width="5.85546875" style="1299" customWidth="1"/>
    <col min="2818" max="2818" width="42.5703125" style="1299" customWidth="1"/>
    <col min="2819" max="2824" width="11" style="1299" customWidth="1"/>
    <col min="2825" max="2825" width="11.85546875" style="1299" customWidth="1"/>
    <col min="2826" max="3072" width="9.140625" style="1299"/>
    <col min="3073" max="3073" width="5.85546875" style="1299" customWidth="1"/>
    <col min="3074" max="3074" width="42.5703125" style="1299" customWidth="1"/>
    <col min="3075" max="3080" width="11" style="1299" customWidth="1"/>
    <col min="3081" max="3081" width="11.85546875" style="1299" customWidth="1"/>
    <col min="3082" max="3328" width="9.140625" style="1299"/>
    <col min="3329" max="3329" width="5.85546875" style="1299" customWidth="1"/>
    <col min="3330" max="3330" width="42.5703125" style="1299" customWidth="1"/>
    <col min="3331" max="3336" width="11" style="1299" customWidth="1"/>
    <col min="3337" max="3337" width="11.85546875" style="1299" customWidth="1"/>
    <col min="3338" max="3584" width="9.140625" style="1299"/>
    <col min="3585" max="3585" width="5.85546875" style="1299" customWidth="1"/>
    <col min="3586" max="3586" width="42.5703125" style="1299" customWidth="1"/>
    <col min="3587" max="3592" width="11" style="1299" customWidth="1"/>
    <col min="3593" max="3593" width="11.85546875" style="1299" customWidth="1"/>
    <col min="3594" max="3840" width="9.140625" style="1299"/>
    <col min="3841" max="3841" width="5.85546875" style="1299" customWidth="1"/>
    <col min="3842" max="3842" width="42.5703125" style="1299" customWidth="1"/>
    <col min="3843" max="3848" width="11" style="1299" customWidth="1"/>
    <col min="3849" max="3849" width="11.85546875" style="1299" customWidth="1"/>
    <col min="3850" max="4096" width="9.140625" style="1299"/>
    <col min="4097" max="4097" width="5.85546875" style="1299" customWidth="1"/>
    <col min="4098" max="4098" width="42.5703125" style="1299" customWidth="1"/>
    <col min="4099" max="4104" width="11" style="1299" customWidth="1"/>
    <col min="4105" max="4105" width="11.85546875" style="1299" customWidth="1"/>
    <col min="4106" max="4352" width="9.140625" style="1299"/>
    <col min="4353" max="4353" width="5.85546875" style="1299" customWidth="1"/>
    <col min="4354" max="4354" width="42.5703125" style="1299" customWidth="1"/>
    <col min="4355" max="4360" width="11" style="1299" customWidth="1"/>
    <col min="4361" max="4361" width="11.85546875" style="1299" customWidth="1"/>
    <col min="4362" max="4608" width="9.140625" style="1299"/>
    <col min="4609" max="4609" width="5.85546875" style="1299" customWidth="1"/>
    <col min="4610" max="4610" width="42.5703125" style="1299" customWidth="1"/>
    <col min="4611" max="4616" width="11" style="1299" customWidth="1"/>
    <col min="4617" max="4617" width="11.85546875" style="1299" customWidth="1"/>
    <col min="4618" max="4864" width="9.140625" style="1299"/>
    <col min="4865" max="4865" width="5.85546875" style="1299" customWidth="1"/>
    <col min="4866" max="4866" width="42.5703125" style="1299" customWidth="1"/>
    <col min="4867" max="4872" width="11" style="1299" customWidth="1"/>
    <col min="4873" max="4873" width="11.85546875" style="1299" customWidth="1"/>
    <col min="4874" max="5120" width="9.140625" style="1299"/>
    <col min="5121" max="5121" width="5.85546875" style="1299" customWidth="1"/>
    <col min="5122" max="5122" width="42.5703125" style="1299" customWidth="1"/>
    <col min="5123" max="5128" width="11" style="1299" customWidth="1"/>
    <col min="5129" max="5129" width="11.85546875" style="1299" customWidth="1"/>
    <col min="5130" max="5376" width="9.140625" style="1299"/>
    <col min="5377" max="5377" width="5.85546875" style="1299" customWidth="1"/>
    <col min="5378" max="5378" width="42.5703125" style="1299" customWidth="1"/>
    <col min="5379" max="5384" width="11" style="1299" customWidth="1"/>
    <col min="5385" max="5385" width="11.85546875" style="1299" customWidth="1"/>
    <col min="5386" max="5632" width="9.140625" style="1299"/>
    <col min="5633" max="5633" width="5.85546875" style="1299" customWidth="1"/>
    <col min="5634" max="5634" width="42.5703125" style="1299" customWidth="1"/>
    <col min="5635" max="5640" width="11" style="1299" customWidth="1"/>
    <col min="5641" max="5641" width="11.85546875" style="1299" customWidth="1"/>
    <col min="5642" max="5888" width="9.140625" style="1299"/>
    <col min="5889" max="5889" width="5.85546875" style="1299" customWidth="1"/>
    <col min="5890" max="5890" width="42.5703125" style="1299" customWidth="1"/>
    <col min="5891" max="5896" width="11" style="1299" customWidth="1"/>
    <col min="5897" max="5897" width="11.85546875" style="1299" customWidth="1"/>
    <col min="5898" max="6144" width="9.140625" style="1299"/>
    <col min="6145" max="6145" width="5.85546875" style="1299" customWidth="1"/>
    <col min="6146" max="6146" width="42.5703125" style="1299" customWidth="1"/>
    <col min="6147" max="6152" width="11" style="1299" customWidth="1"/>
    <col min="6153" max="6153" width="11.85546875" style="1299" customWidth="1"/>
    <col min="6154" max="6400" width="9.140625" style="1299"/>
    <col min="6401" max="6401" width="5.85546875" style="1299" customWidth="1"/>
    <col min="6402" max="6402" width="42.5703125" style="1299" customWidth="1"/>
    <col min="6403" max="6408" width="11" style="1299" customWidth="1"/>
    <col min="6409" max="6409" width="11.85546875" style="1299" customWidth="1"/>
    <col min="6410" max="6656" width="9.140625" style="1299"/>
    <col min="6657" max="6657" width="5.85546875" style="1299" customWidth="1"/>
    <col min="6658" max="6658" width="42.5703125" style="1299" customWidth="1"/>
    <col min="6659" max="6664" width="11" style="1299" customWidth="1"/>
    <col min="6665" max="6665" width="11.85546875" style="1299" customWidth="1"/>
    <col min="6666" max="6912" width="9.140625" style="1299"/>
    <col min="6913" max="6913" width="5.85546875" style="1299" customWidth="1"/>
    <col min="6914" max="6914" width="42.5703125" style="1299" customWidth="1"/>
    <col min="6915" max="6920" width="11" style="1299" customWidth="1"/>
    <col min="6921" max="6921" width="11.85546875" style="1299" customWidth="1"/>
    <col min="6922" max="7168" width="9.140625" style="1299"/>
    <col min="7169" max="7169" width="5.85546875" style="1299" customWidth="1"/>
    <col min="7170" max="7170" width="42.5703125" style="1299" customWidth="1"/>
    <col min="7171" max="7176" width="11" style="1299" customWidth="1"/>
    <col min="7177" max="7177" width="11.85546875" style="1299" customWidth="1"/>
    <col min="7178" max="7424" width="9.140625" style="1299"/>
    <col min="7425" max="7425" width="5.85546875" style="1299" customWidth="1"/>
    <col min="7426" max="7426" width="42.5703125" style="1299" customWidth="1"/>
    <col min="7427" max="7432" width="11" style="1299" customWidth="1"/>
    <col min="7433" max="7433" width="11.85546875" style="1299" customWidth="1"/>
    <col min="7434" max="7680" width="9.140625" style="1299"/>
    <col min="7681" max="7681" width="5.85546875" style="1299" customWidth="1"/>
    <col min="7682" max="7682" width="42.5703125" style="1299" customWidth="1"/>
    <col min="7683" max="7688" width="11" style="1299" customWidth="1"/>
    <col min="7689" max="7689" width="11.85546875" style="1299" customWidth="1"/>
    <col min="7690" max="7936" width="9.140625" style="1299"/>
    <col min="7937" max="7937" width="5.85546875" style="1299" customWidth="1"/>
    <col min="7938" max="7938" width="42.5703125" style="1299" customWidth="1"/>
    <col min="7939" max="7944" width="11" style="1299" customWidth="1"/>
    <col min="7945" max="7945" width="11.85546875" style="1299" customWidth="1"/>
    <col min="7946" max="8192" width="9.140625" style="1299"/>
    <col min="8193" max="8193" width="5.85546875" style="1299" customWidth="1"/>
    <col min="8194" max="8194" width="42.5703125" style="1299" customWidth="1"/>
    <col min="8195" max="8200" width="11" style="1299" customWidth="1"/>
    <col min="8201" max="8201" width="11.85546875" style="1299" customWidth="1"/>
    <col min="8202" max="8448" width="9.140625" style="1299"/>
    <col min="8449" max="8449" width="5.85546875" style="1299" customWidth="1"/>
    <col min="8450" max="8450" width="42.5703125" style="1299" customWidth="1"/>
    <col min="8451" max="8456" width="11" style="1299" customWidth="1"/>
    <col min="8457" max="8457" width="11.85546875" style="1299" customWidth="1"/>
    <col min="8458" max="8704" width="9.140625" style="1299"/>
    <col min="8705" max="8705" width="5.85546875" style="1299" customWidth="1"/>
    <col min="8706" max="8706" width="42.5703125" style="1299" customWidth="1"/>
    <col min="8707" max="8712" width="11" style="1299" customWidth="1"/>
    <col min="8713" max="8713" width="11.85546875" style="1299" customWidth="1"/>
    <col min="8714" max="8960" width="9.140625" style="1299"/>
    <col min="8961" max="8961" width="5.85546875" style="1299" customWidth="1"/>
    <col min="8962" max="8962" width="42.5703125" style="1299" customWidth="1"/>
    <col min="8963" max="8968" width="11" style="1299" customWidth="1"/>
    <col min="8969" max="8969" width="11.85546875" style="1299" customWidth="1"/>
    <col min="8970" max="9216" width="9.140625" style="1299"/>
    <col min="9217" max="9217" width="5.85546875" style="1299" customWidth="1"/>
    <col min="9218" max="9218" width="42.5703125" style="1299" customWidth="1"/>
    <col min="9219" max="9224" width="11" style="1299" customWidth="1"/>
    <col min="9225" max="9225" width="11.85546875" style="1299" customWidth="1"/>
    <col min="9226" max="9472" width="9.140625" style="1299"/>
    <col min="9473" max="9473" width="5.85546875" style="1299" customWidth="1"/>
    <col min="9474" max="9474" width="42.5703125" style="1299" customWidth="1"/>
    <col min="9475" max="9480" width="11" style="1299" customWidth="1"/>
    <col min="9481" max="9481" width="11.85546875" style="1299" customWidth="1"/>
    <col min="9482" max="9728" width="9.140625" style="1299"/>
    <col min="9729" max="9729" width="5.85546875" style="1299" customWidth="1"/>
    <col min="9730" max="9730" width="42.5703125" style="1299" customWidth="1"/>
    <col min="9731" max="9736" width="11" style="1299" customWidth="1"/>
    <col min="9737" max="9737" width="11.85546875" style="1299" customWidth="1"/>
    <col min="9738" max="9984" width="9.140625" style="1299"/>
    <col min="9985" max="9985" width="5.85546875" style="1299" customWidth="1"/>
    <col min="9986" max="9986" width="42.5703125" style="1299" customWidth="1"/>
    <col min="9987" max="9992" width="11" style="1299" customWidth="1"/>
    <col min="9993" max="9993" width="11.85546875" style="1299" customWidth="1"/>
    <col min="9994" max="10240" width="9.140625" style="1299"/>
    <col min="10241" max="10241" width="5.85546875" style="1299" customWidth="1"/>
    <col min="10242" max="10242" width="42.5703125" style="1299" customWidth="1"/>
    <col min="10243" max="10248" width="11" style="1299" customWidth="1"/>
    <col min="10249" max="10249" width="11.85546875" style="1299" customWidth="1"/>
    <col min="10250" max="10496" width="9.140625" style="1299"/>
    <col min="10497" max="10497" width="5.85546875" style="1299" customWidth="1"/>
    <col min="10498" max="10498" width="42.5703125" style="1299" customWidth="1"/>
    <col min="10499" max="10504" width="11" style="1299" customWidth="1"/>
    <col min="10505" max="10505" width="11.85546875" style="1299" customWidth="1"/>
    <col min="10506" max="10752" width="9.140625" style="1299"/>
    <col min="10753" max="10753" width="5.85546875" style="1299" customWidth="1"/>
    <col min="10754" max="10754" width="42.5703125" style="1299" customWidth="1"/>
    <col min="10755" max="10760" width="11" style="1299" customWidth="1"/>
    <col min="10761" max="10761" width="11.85546875" style="1299" customWidth="1"/>
    <col min="10762" max="11008" width="9.140625" style="1299"/>
    <col min="11009" max="11009" width="5.85546875" style="1299" customWidth="1"/>
    <col min="11010" max="11010" width="42.5703125" style="1299" customWidth="1"/>
    <col min="11011" max="11016" width="11" style="1299" customWidth="1"/>
    <col min="11017" max="11017" width="11.85546875" style="1299" customWidth="1"/>
    <col min="11018" max="11264" width="9.140625" style="1299"/>
    <col min="11265" max="11265" width="5.85546875" style="1299" customWidth="1"/>
    <col min="11266" max="11266" width="42.5703125" style="1299" customWidth="1"/>
    <col min="11267" max="11272" width="11" style="1299" customWidth="1"/>
    <col min="11273" max="11273" width="11.85546875" style="1299" customWidth="1"/>
    <col min="11274" max="11520" width="9.140625" style="1299"/>
    <col min="11521" max="11521" width="5.85546875" style="1299" customWidth="1"/>
    <col min="11522" max="11522" width="42.5703125" style="1299" customWidth="1"/>
    <col min="11523" max="11528" width="11" style="1299" customWidth="1"/>
    <col min="11529" max="11529" width="11.85546875" style="1299" customWidth="1"/>
    <col min="11530" max="11776" width="9.140625" style="1299"/>
    <col min="11777" max="11777" width="5.85546875" style="1299" customWidth="1"/>
    <col min="11778" max="11778" width="42.5703125" style="1299" customWidth="1"/>
    <col min="11779" max="11784" width="11" style="1299" customWidth="1"/>
    <col min="11785" max="11785" width="11.85546875" style="1299" customWidth="1"/>
    <col min="11786" max="12032" width="9.140625" style="1299"/>
    <col min="12033" max="12033" width="5.85546875" style="1299" customWidth="1"/>
    <col min="12034" max="12034" width="42.5703125" style="1299" customWidth="1"/>
    <col min="12035" max="12040" width="11" style="1299" customWidth="1"/>
    <col min="12041" max="12041" width="11.85546875" style="1299" customWidth="1"/>
    <col min="12042" max="12288" width="9.140625" style="1299"/>
    <col min="12289" max="12289" width="5.85546875" style="1299" customWidth="1"/>
    <col min="12290" max="12290" width="42.5703125" style="1299" customWidth="1"/>
    <col min="12291" max="12296" width="11" style="1299" customWidth="1"/>
    <col min="12297" max="12297" width="11.85546875" style="1299" customWidth="1"/>
    <col min="12298" max="12544" width="9.140625" style="1299"/>
    <col min="12545" max="12545" width="5.85546875" style="1299" customWidth="1"/>
    <col min="12546" max="12546" width="42.5703125" style="1299" customWidth="1"/>
    <col min="12547" max="12552" width="11" style="1299" customWidth="1"/>
    <col min="12553" max="12553" width="11.85546875" style="1299" customWidth="1"/>
    <col min="12554" max="12800" width="9.140625" style="1299"/>
    <col min="12801" max="12801" width="5.85546875" style="1299" customWidth="1"/>
    <col min="12802" max="12802" width="42.5703125" style="1299" customWidth="1"/>
    <col min="12803" max="12808" width="11" style="1299" customWidth="1"/>
    <col min="12809" max="12809" width="11.85546875" style="1299" customWidth="1"/>
    <col min="12810" max="13056" width="9.140625" style="1299"/>
    <col min="13057" max="13057" width="5.85546875" style="1299" customWidth="1"/>
    <col min="13058" max="13058" width="42.5703125" style="1299" customWidth="1"/>
    <col min="13059" max="13064" width="11" style="1299" customWidth="1"/>
    <col min="13065" max="13065" width="11.85546875" style="1299" customWidth="1"/>
    <col min="13066" max="13312" width="9.140625" style="1299"/>
    <col min="13313" max="13313" width="5.85546875" style="1299" customWidth="1"/>
    <col min="13314" max="13314" width="42.5703125" style="1299" customWidth="1"/>
    <col min="13315" max="13320" width="11" style="1299" customWidth="1"/>
    <col min="13321" max="13321" width="11.85546875" style="1299" customWidth="1"/>
    <col min="13322" max="13568" width="9.140625" style="1299"/>
    <col min="13569" max="13569" width="5.85546875" style="1299" customWidth="1"/>
    <col min="13570" max="13570" width="42.5703125" style="1299" customWidth="1"/>
    <col min="13571" max="13576" width="11" style="1299" customWidth="1"/>
    <col min="13577" max="13577" width="11.85546875" style="1299" customWidth="1"/>
    <col min="13578" max="13824" width="9.140625" style="1299"/>
    <col min="13825" max="13825" width="5.85546875" style="1299" customWidth="1"/>
    <col min="13826" max="13826" width="42.5703125" style="1299" customWidth="1"/>
    <col min="13827" max="13832" width="11" style="1299" customWidth="1"/>
    <col min="13833" max="13833" width="11.85546875" style="1299" customWidth="1"/>
    <col min="13834" max="14080" width="9.140625" style="1299"/>
    <col min="14081" max="14081" width="5.85546875" style="1299" customWidth="1"/>
    <col min="14082" max="14082" width="42.5703125" style="1299" customWidth="1"/>
    <col min="14083" max="14088" width="11" style="1299" customWidth="1"/>
    <col min="14089" max="14089" width="11.85546875" style="1299" customWidth="1"/>
    <col min="14090" max="14336" width="9.140625" style="1299"/>
    <col min="14337" max="14337" width="5.85546875" style="1299" customWidth="1"/>
    <col min="14338" max="14338" width="42.5703125" style="1299" customWidth="1"/>
    <col min="14339" max="14344" width="11" style="1299" customWidth="1"/>
    <col min="14345" max="14345" width="11.85546875" style="1299" customWidth="1"/>
    <col min="14346" max="14592" width="9.140625" style="1299"/>
    <col min="14593" max="14593" width="5.85546875" style="1299" customWidth="1"/>
    <col min="14594" max="14594" width="42.5703125" style="1299" customWidth="1"/>
    <col min="14595" max="14600" width="11" style="1299" customWidth="1"/>
    <col min="14601" max="14601" width="11.85546875" style="1299" customWidth="1"/>
    <col min="14602" max="14848" width="9.140625" style="1299"/>
    <col min="14849" max="14849" width="5.85546875" style="1299" customWidth="1"/>
    <col min="14850" max="14850" width="42.5703125" style="1299" customWidth="1"/>
    <col min="14851" max="14856" width="11" style="1299" customWidth="1"/>
    <col min="14857" max="14857" width="11.85546875" style="1299" customWidth="1"/>
    <col min="14858" max="15104" width="9.140625" style="1299"/>
    <col min="15105" max="15105" width="5.85546875" style="1299" customWidth="1"/>
    <col min="15106" max="15106" width="42.5703125" style="1299" customWidth="1"/>
    <col min="15107" max="15112" width="11" style="1299" customWidth="1"/>
    <col min="15113" max="15113" width="11.85546875" style="1299" customWidth="1"/>
    <col min="15114" max="15360" width="9.140625" style="1299"/>
    <col min="15361" max="15361" width="5.85546875" style="1299" customWidth="1"/>
    <col min="15362" max="15362" width="42.5703125" style="1299" customWidth="1"/>
    <col min="15363" max="15368" width="11" style="1299" customWidth="1"/>
    <col min="15369" max="15369" width="11.85546875" style="1299" customWidth="1"/>
    <col min="15370" max="15616" width="9.140625" style="1299"/>
    <col min="15617" max="15617" width="5.85546875" style="1299" customWidth="1"/>
    <col min="15618" max="15618" width="42.5703125" style="1299" customWidth="1"/>
    <col min="15619" max="15624" width="11" style="1299" customWidth="1"/>
    <col min="15625" max="15625" width="11.85546875" style="1299" customWidth="1"/>
    <col min="15626" max="15872" width="9.140625" style="1299"/>
    <col min="15873" max="15873" width="5.85546875" style="1299" customWidth="1"/>
    <col min="15874" max="15874" width="42.5703125" style="1299" customWidth="1"/>
    <col min="15875" max="15880" width="11" style="1299" customWidth="1"/>
    <col min="15881" max="15881" width="11.85546875" style="1299" customWidth="1"/>
    <col min="15882" max="16128" width="9.140625" style="1299"/>
    <col min="16129" max="16129" width="5.85546875" style="1299" customWidth="1"/>
    <col min="16130" max="16130" width="42.5703125" style="1299" customWidth="1"/>
    <col min="16131" max="16136" width="11" style="1299" customWidth="1"/>
    <col min="16137" max="16137" width="11.85546875" style="1299" customWidth="1"/>
    <col min="16138" max="16384" width="9.140625" style="1299"/>
  </cols>
  <sheetData>
    <row r="1" spans="1:9" ht="27.75" customHeight="1">
      <c r="A1" s="1905" t="s">
        <v>1172</v>
      </c>
      <c r="B1" s="1905"/>
      <c r="C1" s="1905"/>
      <c r="D1" s="1905"/>
      <c r="E1" s="1905"/>
      <c r="F1" s="1905"/>
      <c r="G1" s="1905"/>
      <c r="H1" s="1905"/>
      <c r="I1" s="1905"/>
    </row>
    <row r="2" spans="1:9" ht="20.25" customHeight="1" thickBot="1">
      <c r="I2" s="1574" t="s">
        <v>1088</v>
      </c>
    </row>
    <row r="3" spans="1:9" s="1575" customFormat="1" ht="26.25" customHeight="1">
      <c r="A3" s="1906" t="s">
        <v>1007</v>
      </c>
      <c r="B3" s="1908" t="s">
        <v>1173</v>
      </c>
      <c r="C3" s="1906" t="s">
        <v>1174</v>
      </c>
      <c r="D3" s="1906" t="s">
        <v>1188</v>
      </c>
      <c r="E3" s="1910" t="s">
        <v>1175</v>
      </c>
      <c r="F3" s="1911"/>
      <c r="G3" s="1911"/>
      <c r="H3" s="1912"/>
      <c r="I3" s="1908" t="s">
        <v>293</v>
      </c>
    </row>
    <row r="4" spans="1:9" s="1578" customFormat="1" ht="32.25" customHeight="1" thickBot="1">
      <c r="A4" s="1907"/>
      <c r="B4" s="1909"/>
      <c r="C4" s="1909"/>
      <c r="D4" s="1907"/>
      <c r="E4" s="1576">
        <v>2019</v>
      </c>
      <c r="F4" s="1576">
        <v>2020</v>
      </c>
      <c r="G4" s="1576">
        <v>2021</v>
      </c>
      <c r="H4" s="1577">
        <v>2022</v>
      </c>
      <c r="I4" s="1909"/>
    </row>
    <row r="5" spans="1:9" s="1584" customFormat="1" ht="12.95" customHeight="1" thickBot="1">
      <c r="A5" s="1579">
        <v>1</v>
      </c>
      <c r="B5" s="1580">
        <v>2</v>
      </c>
      <c r="C5" s="1581">
        <v>3</v>
      </c>
      <c r="D5" s="1580">
        <v>4</v>
      </c>
      <c r="E5" s="1579">
        <v>5</v>
      </c>
      <c r="F5" s="1581">
        <v>6</v>
      </c>
      <c r="G5" s="1581">
        <v>7</v>
      </c>
      <c r="H5" s="1582">
        <v>8</v>
      </c>
      <c r="I5" s="1583" t="s">
        <v>1176</v>
      </c>
    </row>
    <row r="6" spans="1:9" ht="24.75" customHeight="1" thickBot="1">
      <c r="A6" s="1585" t="s">
        <v>693</v>
      </c>
      <c r="B6" s="1586" t="s">
        <v>1177</v>
      </c>
      <c r="C6" s="1587"/>
      <c r="D6" s="1588">
        <f>+D7+D8</f>
        <v>0</v>
      </c>
      <c r="E6" s="1589">
        <f>+E7+E8</f>
        <v>0</v>
      </c>
      <c r="F6" s="1590">
        <f>+F7+F8</f>
        <v>0</v>
      </c>
      <c r="G6" s="1590">
        <f>+G7+G8</f>
        <v>0</v>
      </c>
      <c r="H6" s="1591">
        <f>+H7+H8</f>
        <v>0</v>
      </c>
      <c r="I6" s="1588">
        <f t="shared" ref="I6:I17" si="0">SUM(D6:H6)</f>
        <v>0</v>
      </c>
    </row>
    <row r="7" spans="1:9" ht="20.100000000000001" customHeight="1">
      <c r="A7" s="1592" t="s">
        <v>707</v>
      </c>
      <c r="B7" s="1593" t="s">
        <v>1178</v>
      </c>
      <c r="C7" s="1594"/>
      <c r="D7" s="1595"/>
      <c r="E7" s="1596"/>
      <c r="F7" s="1597"/>
      <c r="G7" s="1597"/>
      <c r="H7" s="1598"/>
      <c r="I7" s="1599">
        <f t="shared" si="0"/>
        <v>0</v>
      </c>
    </row>
    <row r="8" spans="1:9" ht="20.100000000000001" customHeight="1" thickBot="1">
      <c r="A8" s="1592" t="s">
        <v>721</v>
      </c>
      <c r="B8" s="1593" t="s">
        <v>1179</v>
      </c>
      <c r="C8" s="1594"/>
      <c r="D8" s="1595"/>
      <c r="E8" s="1596"/>
      <c r="F8" s="1597"/>
      <c r="G8" s="1597"/>
      <c r="H8" s="1598"/>
      <c r="I8" s="1599">
        <f t="shared" si="0"/>
        <v>0</v>
      </c>
    </row>
    <row r="9" spans="1:9" ht="26.1" customHeight="1" thickBot="1">
      <c r="A9" s="1585" t="s">
        <v>897</v>
      </c>
      <c r="B9" s="1586" t="s">
        <v>1180</v>
      </c>
      <c r="C9" s="1600"/>
      <c r="D9" s="1588">
        <f>+D10+D11</f>
        <v>0</v>
      </c>
      <c r="E9" s="1589">
        <f>+E10+E11</f>
        <v>0</v>
      </c>
      <c r="F9" s="1590">
        <f>+F10+F11</f>
        <v>0</v>
      </c>
      <c r="G9" s="1590">
        <f>+G10+G11</f>
        <v>0</v>
      </c>
      <c r="H9" s="1591">
        <f>+H10+H11</f>
        <v>0</v>
      </c>
      <c r="I9" s="1588">
        <f t="shared" si="0"/>
        <v>0</v>
      </c>
    </row>
    <row r="10" spans="1:9" ht="20.100000000000001" customHeight="1">
      <c r="A10" s="1592" t="s">
        <v>750</v>
      </c>
      <c r="B10" s="1593" t="s">
        <v>1181</v>
      </c>
      <c r="C10" s="1594"/>
      <c r="D10" s="1595"/>
      <c r="E10" s="1596"/>
      <c r="F10" s="1597"/>
      <c r="G10" s="1597"/>
      <c r="H10" s="1598"/>
      <c r="I10" s="1599">
        <f t="shared" si="0"/>
        <v>0</v>
      </c>
    </row>
    <row r="11" spans="1:9" ht="20.100000000000001" customHeight="1" thickBot="1">
      <c r="A11" s="1592" t="s">
        <v>772</v>
      </c>
      <c r="B11" s="1593" t="s">
        <v>1179</v>
      </c>
      <c r="C11" s="1594"/>
      <c r="D11" s="1595"/>
      <c r="E11" s="1596"/>
      <c r="F11" s="1597"/>
      <c r="G11" s="1597"/>
      <c r="H11" s="1598"/>
      <c r="I11" s="1599">
        <f t="shared" si="0"/>
        <v>0</v>
      </c>
    </row>
    <row r="12" spans="1:9" ht="20.100000000000001" customHeight="1" thickBot="1">
      <c r="A12" s="1585" t="s">
        <v>908</v>
      </c>
      <c r="B12" s="1586" t="s">
        <v>1182</v>
      </c>
      <c r="C12" s="1600"/>
      <c r="D12" s="1588">
        <v>6223000</v>
      </c>
      <c r="E12" s="1589">
        <v>381000</v>
      </c>
      <c r="F12" s="1590"/>
      <c r="G12" s="1590">
        <f>+G13</f>
        <v>0</v>
      </c>
      <c r="H12" s="1591">
        <f>+H13</f>
        <v>0</v>
      </c>
      <c r="I12" s="1588">
        <f t="shared" si="0"/>
        <v>6604000</v>
      </c>
    </row>
    <row r="13" spans="1:9" ht="30.75" customHeight="1" thickBot="1">
      <c r="A13" s="1592" t="s">
        <v>793</v>
      </c>
      <c r="B13" s="1593" t="s">
        <v>1183</v>
      </c>
      <c r="C13" s="1594" t="s">
        <v>1184</v>
      </c>
      <c r="D13" s="1595">
        <v>6223000</v>
      </c>
      <c r="E13" s="1596">
        <v>381000</v>
      </c>
      <c r="F13" s="1597"/>
      <c r="G13" s="1597"/>
      <c r="H13" s="1598"/>
      <c r="I13" s="1599">
        <f t="shared" si="0"/>
        <v>6604000</v>
      </c>
    </row>
    <row r="14" spans="1:9" ht="20.100000000000001" customHeight="1" thickBot="1">
      <c r="A14" s="1585" t="s">
        <v>803</v>
      </c>
      <c r="B14" s="1586" t="s">
        <v>1185</v>
      </c>
      <c r="C14" s="1600"/>
      <c r="D14" s="1588"/>
      <c r="E14" s="1589"/>
      <c r="F14" s="1590">
        <f>+F15</f>
        <v>0</v>
      </c>
      <c r="G14" s="1590">
        <f>+G15</f>
        <v>0</v>
      </c>
      <c r="H14" s="1591">
        <f>+H15</f>
        <v>0</v>
      </c>
      <c r="I14" s="1588">
        <f t="shared" si="0"/>
        <v>0</v>
      </c>
    </row>
    <row r="15" spans="1:9" ht="20.100000000000001" customHeight="1" thickBot="1">
      <c r="A15" s="1601" t="s">
        <v>920</v>
      </c>
      <c r="B15" s="1602"/>
      <c r="C15" s="1603"/>
      <c r="D15" s="1604"/>
      <c r="E15" s="1605"/>
      <c r="F15" s="1606"/>
      <c r="G15" s="1606"/>
      <c r="H15" s="1607"/>
      <c r="I15" s="1608">
        <f t="shared" si="0"/>
        <v>0</v>
      </c>
    </row>
    <row r="16" spans="1:9" ht="20.100000000000001" customHeight="1" thickBot="1">
      <c r="A16" s="1585" t="s">
        <v>1014</v>
      </c>
      <c r="B16" s="1609" t="s">
        <v>1186</v>
      </c>
      <c r="C16" s="1600"/>
      <c r="D16" s="1588">
        <f>+D17</f>
        <v>0</v>
      </c>
      <c r="E16" s="1589">
        <f>+E17</f>
        <v>0</v>
      </c>
      <c r="F16" s="1590">
        <f>+F17</f>
        <v>0</v>
      </c>
      <c r="G16" s="1590">
        <f>+G17</f>
        <v>0</v>
      </c>
      <c r="H16" s="1591">
        <f>+H17</f>
        <v>0</v>
      </c>
      <c r="I16" s="1588">
        <f t="shared" si="0"/>
        <v>0</v>
      </c>
    </row>
    <row r="17" spans="1:9" ht="20.100000000000001" customHeight="1" thickBot="1">
      <c r="A17" s="1610" t="s">
        <v>1015</v>
      </c>
      <c r="B17" s="1611" t="s">
        <v>1179</v>
      </c>
      <c r="C17" s="1612"/>
      <c r="D17" s="1613"/>
      <c r="E17" s="1614"/>
      <c r="F17" s="1615"/>
      <c r="G17" s="1615"/>
      <c r="H17" s="1616"/>
      <c r="I17" s="1617">
        <f t="shared" si="0"/>
        <v>0</v>
      </c>
    </row>
    <row r="18" spans="1:9" ht="20.100000000000001" customHeight="1" thickBot="1">
      <c r="A18" s="1903" t="s">
        <v>1187</v>
      </c>
      <c r="B18" s="1904"/>
      <c r="C18" s="1618"/>
      <c r="D18" s="1588">
        <f t="shared" ref="D18:I18" si="1">+D6+D9+D12+D14+D16</f>
        <v>6223000</v>
      </c>
      <c r="E18" s="1589">
        <f t="shared" si="1"/>
        <v>381000</v>
      </c>
      <c r="F18" s="1590">
        <f t="shared" si="1"/>
        <v>0</v>
      </c>
      <c r="G18" s="1590">
        <f t="shared" si="1"/>
        <v>0</v>
      </c>
      <c r="H18" s="1591">
        <f t="shared" si="1"/>
        <v>0</v>
      </c>
      <c r="I18" s="1588">
        <f t="shared" si="1"/>
        <v>6604000</v>
      </c>
    </row>
  </sheetData>
  <sheetProtection password="DCF7" sheet="1" objects="1" scenarios="1" selectLockedCells="1" selectUnlockedCells="1"/>
  <mergeCells count="8">
    <mergeCell ref="A18:B18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95" orientation="landscape" r:id="rId1"/>
  <headerFooter alignWithMargins="0">
    <oddHeader>&amp;R&amp;"Times New Roman CE,Félkövér dőlt"3. számú tájékoztató tábla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D31"/>
  <sheetViews>
    <sheetView view="pageBreakPreview" zoomScaleNormal="100" zoomScaleSheetLayoutView="100" workbookViewId="0">
      <selection activeCell="Q16" sqref="Q16"/>
    </sheetView>
  </sheetViews>
  <sheetFormatPr defaultRowHeight="12.75"/>
  <cols>
    <col min="1" max="1" width="5" style="1619" customWidth="1"/>
    <col min="2" max="2" width="47" style="1093" customWidth="1"/>
    <col min="3" max="4" width="15.140625" style="1093" customWidth="1"/>
    <col min="5" max="256" width="9.140625" style="1093"/>
    <col min="257" max="257" width="5" style="1093" customWidth="1"/>
    <col min="258" max="258" width="47" style="1093" customWidth="1"/>
    <col min="259" max="260" width="15.140625" style="1093" customWidth="1"/>
    <col min="261" max="512" width="9.140625" style="1093"/>
    <col min="513" max="513" width="5" style="1093" customWidth="1"/>
    <col min="514" max="514" width="47" style="1093" customWidth="1"/>
    <col min="515" max="516" width="15.140625" style="1093" customWidth="1"/>
    <col min="517" max="768" width="9.140625" style="1093"/>
    <col min="769" max="769" width="5" style="1093" customWidth="1"/>
    <col min="770" max="770" width="47" style="1093" customWidth="1"/>
    <col min="771" max="772" width="15.140625" style="1093" customWidth="1"/>
    <col min="773" max="1024" width="9.140625" style="1093"/>
    <col min="1025" max="1025" width="5" style="1093" customWidth="1"/>
    <col min="1026" max="1026" width="47" style="1093" customWidth="1"/>
    <col min="1027" max="1028" width="15.140625" style="1093" customWidth="1"/>
    <col min="1029" max="1280" width="9.140625" style="1093"/>
    <col min="1281" max="1281" width="5" style="1093" customWidth="1"/>
    <col min="1282" max="1282" width="47" style="1093" customWidth="1"/>
    <col min="1283" max="1284" width="15.140625" style="1093" customWidth="1"/>
    <col min="1285" max="1536" width="9.140625" style="1093"/>
    <col min="1537" max="1537" width="5" style="1093" customWidth="1"/>
    <col min="1538" max="1538" width="47" style="1093" customWidth="1"/>
    <col min="1539" max="1540" width="15.140625" style="1093" customWidth="1"/>
    <col min="1541" max="1792" width="9.140625" style="1093"/>
    <col min="1793" max="1793" width="5" style="1093" customWidth="1"/>
    <col min="1794" max="1794" width="47" style="1093" customWidth="1"/>
    <col min="1795" max="1796" width="15.140625" style="1093" customWidth="1"/>
    <col min="1797" max="2048" width="9.140625" style="1093"/>
    <col min="2049" max="2049" width="5" style="1093" customWidth="1"/>
    <col min="2050" max="2050" width="47" style="1093" customWidth="1"/>
    <col min="2051" max="2052" width="15.140625" style="1093" customWidth="1"/>
    <col min="2053" max="2304" width="9.140625" style="1093"/>
    <col min="2305" max="2305" width="5" style="1093" customWidth="1"/>
    <col min="2306" max="2306" width="47" style="1093" customWidth="1"/>
    <col min="2307" max="2308" width="15.140625" style="1093" customWidth="1"/>
    <col min="2309" max="2560" width="9.140625" style="1093"/>
    <col min="2561" max="2561" width="5" style="1093" customWidth="1"/>
    <col min="2562" max="2562" width="47" style="1093" customWidth="1"/>
    <col min="2563" max="2564" width="15.140625" style="1093" customWidth="1"/>
    <col min="2565" max="2816" width="9.140625" style="1093"/>
    <col min="2817" max="2817" width="5" style="1093" customWidth="1"/>
    <col min="2818" max="2818" width="47" style="1093" customWidth="1"/>
    <col min="2819" max="2820" width="15.140625" style="1093" customWidth="1"/>
    <col min="2821" max="3072" width="9.140625" style="1093"/>
    <col min="3073" max="3073" width="5" style="1093" customWidth="1"/>
    <col min="3074" max="3074" width="47" style="1093" customWidth="1"/>
    <col min="3075" max="3076" width="15.140625" style="1093" customWidth="1"/>
    <col min="3077" max="3328" width="9.140625" style="1093"/>
    <col min="3329" max="3329" width="5" style="1093" customWidth="1"/>
    <col min="3330" max="3330" width="47" style="1093" customWidth="1"/>
    <col min="3331" max="3332" width="15.140625" style="1093" customWidth="1"/>
    <col min="3333" max="3584" width="9.140625" style="1093"/>
    <col min="3585" max="3585" width="5" style="1093" customWidth="1"/>
    <col min="3586" max="3586" width="47" style="1093" customWidth="1"/>
    <col min="3587" max="3588" width="15.140625" style="1093" customWidth="1"/>
    <col min="3589" max="3840" width="9.140625" style="1093"/>
    <col min="3841" max="3841" width="5" style="1093" customWidth="1"/>
    <col min="3842" max="3842" width="47" style="1093" customWidth="1"/>
    <col min="3843" max="3844" width="15.140625" style="1093" customWidth="1"/>
    <col min="3845" max="4096" width="9.140625" style="1093"/>
    <col min="4097" max="4097" width="5" style="1093" customWidth="1"/>
    <col min="4098" max="4098" width="47" style="1093" customWidth="1"/>
    <col min="4099" max="4100" width="15.140625" style="1093" customWidth="1"/>
    <col min="4101" max="4352" width="9.140625" style="1093"/>
    <col min="4353" max="4353" width="5" style="1093" customWidth="1"/>
    <col min="4354" max="4354" width="47" style="1093" customWidth="1"/>
    <col min="4355" max="4356" width="15.140625" style="1093" customWidth="1"/>
    <col min="4357" max="4608" width="9.140625" style="1093"/>
    <col min="4609" max="4609" width="5" style="1093" customWidth="1"/>
    <col min="4610" max="4610" width="47" style="1093" customWidth="1"/>
    <col min="4611" max="4612" width="15.140625" style="1093" customWidth="1"/>
    <col min="4613" max="4864" width="9.140625" style="1093"/>
    <col min="4865" max="4865" width="5" style="1093" customWidth="1"/>
    <col min="4866" max="4866" width="47" style="1093" customWidth="1"/>
    <col min="4867" max="4868" width="15.140625" style="1093" customWidth="1"/>
    <col min="4869" max="5120" width="9.140625" style="1093"/>
    <col min="5121" max="5121" width="5" style="1093" customWidth="1"/>
    <col min="5122" max="5122" width="47" style="1093" customWidth="1"/>
    <col min="5123" max="5124" width="15.140625" style="1093" customWidth="1"/>
    <col min="5125" max="5376" width="9.140625" style="1093"/>
    <col min="5377" max="5377" width="5" style="1093" customWidth="1"/>
    <col min="5378" max="5378" width="47" style="1093" customWidth="1"/>
    <col min="5379" max="5380" width="15.140625" style="1093" customWidth="1"/>
    <col min="5381" max="5632" width="9.140625" style="1093"/>
    <col min="5633" max="5633" width="5" style="1093" customWidth="1"/>
    <col min="5634" max="5634" width="47" style="1093" customWidth="1"/>
    <col min="5635" max="5636" width="15.140625" style="1093" customWidth="1"/>
    <col min="5637" max="5888" width="9.140625" style="1093"/>
    <col min="5889" max="5889" width="5" style="1093" customWidth="1"/>
    <col min="5890" max="5890" width="47" style="1093" customWidth="1"/>
    <col min="5891" max="5892" width="15.140625" style="1093" customWidth="1"/>
    <col min="5893" max="6144" width="9.140625" style="1093"/>
    <col min="6145" max="6145" width="5" style="1093" customWidth="1"/>
    <col min="6146" max="6146" width="47" style="1093" customWidth="1"/>
    <col min="6147" max="6148" width="15.140625" style="1093" customWidth="1"/>
    <col min="6149" max="6400" width="9.140625" style="1093"/>
    <col min="6401" max="6401" width="5" style="1093" customWidth="1"/>
    <col min="6402" max="6402" width="47" style="1093" customWidth="1"/>
    <col min="6403" max="6404" width="15.140625" style="1093" customWidth="1"/>
    <col min="6405" max="6656" width="9.140625" style="1093"/>
    <col min="6657" max="6657" width="5" style="1093" customWidth="1"/>
    <col min="6658" max="6658" width="47" style="1093" customWidth="1"/>
    <col min="6659" max="6660" width="15.140625" style="1093" customWidth="1"/>
    <col min="6661" max="6912" width="9.140625" style="1093"/>
    <col min="6913" max="6913" width="5" style="1093" customWidth="1"/>
    <col min="6914" max="6914" width="47" style="1093" customWidth="1"/>
    <col min="6915" max="6916" width="15.140625" style="1093" customWidth="1"/>
    <col min="6917" max="7168" width="9.140625" style="1093"/>
    <col min="7169" max="7169" width="5" style="1093" customWidth="1"/>
    <col min="7170" max="7170" width="47" style="1093" customWidth="1"/>
    <col min="7171" max="7172" width="15.140625" style="1093" customWidth="1"/>
    <col min="7173" max="7424" width="9.140625" style="1093"/>
    <col min="7425" max="7425" width="5" style="1093" customWidth="1"/>
    <col min="7426" max="7426" width="47" style="1093" customWidth="1"/>
    <col min="7427" max="7428" width="15.140625" style="1093" customWidth="1"/>
    <col min="7429" max="7680" width="9.140625" style="1093"/>
    <col min="7681" max="7681" width="5" style="1093" customWidth="1"/>
    <col min="7682" max="7682" width="47" style="1093" customWidth="1"/>
    <col min="7683" max="7684" width="15.140625" style="1093" customWidth="1"/>
    <col min="7685" max="7936" width="9.140625" style="1093"/>
    <col min="7937" max="7937" width="5" style="1093" customWidth="1"/>
    <col min="7938" max="7938" width="47" style="1093" customWidth="1"/>
    <col min="7939" max="7940" width="15.140625" style="1093" customWidth="1"/>
    <col min="7941" max="8192" width="9.140625" style="1093"/>
    <col min="8193" max="8193" width="5" style="1093" customWidth="1"/>
    <col min="8194" max="8194" width="47" style="1093" customWidth="1"/>
    <col min="8195" max="8196" width="15.140625" style="1093" customWidth="1"/>
    <col min="8197" max="8448" width="9.140625" style="1093"/>
    <col min="8449" max="8449" width="5" style="1093" customWidth="1"/>
    <col min="8450" max="8450" width="47" style="1093" customWidth="1"/>
    <col min="8451" max="8452" width="15.140625" style="1093" customWidth="1"/>
    <col min="8453" max="8704" width="9.140625" style="1093"/>
    <col min="8705" max="8705" width="5" style="1093" customWidth="1"/>
    <col min="8706" max="8706" width="47" style="1093" customWidth="1"/>
    <col min="8707" max="8708" width="15.140625" style="1093" customWidth="1"/>
    <col min="8709" max="8960" width="9.140625" style="1093"/>
    <col min="8961" max="8961" width="5" style="1093" customWidth="1"/>
    <col min="8962" max="8962" width="47" style="1093" customWidth="1"/>
    <col min="8963" max="8964" width="15.140625" style="1093" customWidth="1"/>
    <col min="8965" max="9216" width="9.140625" style="1093"/>
    <col min="9217" max="9217" width="5" style="1093" customWidth="1"/>
    <col min="9218" max="9218" width="47" style="1093" customWidth="1"/>
    <col min="9219" max="9220" width="15.140625" style="1093" customWidth="1"/>
    <col min="9221" max="9472" width="9.140625" style="1093"/>
    <col min="9473" max="9473" width="5" style="1093" customWidth="1"/>
    <col min="9474" max="9474" width="47" style="1093" customWidth="1"/>
    <col min="9475" max="9476" width="15.140625" style="1093" customWidth="1"/>
    <col min="9477" max="9728" width="9.140625" style="1093"/>
    <col min="9729" max="9729" width="5" style="1093" customWidth="1"/>
    <col min="9730" max="9730" width="47" style="1093" customWidth="1"/>
    <col min="9731" max="9732" width="15.140625" style="1093" customWidth="1"/>
    <col min="9733" max="9984" width="9.140625" style="1093"/>
    <col min="9985" max="9985" width="5" style="1093" customWidth="1"/>
    <col min="9986" max="9986" width="47" style="1093" customWidth="1"/>
    <col min="9987" max="9988" width="15.140625" style="1093" customWidth="1"/>
    <col min="9989" max="10240" width="9.140625" style="1093"/>
    <col min="10241" max="10241" width="5" style="1093" customWidth="1"/>
    <col min="10242" max="10242" width="47" style="1093" customWidth="1"/>
    <col min="10243" max="10244" width="15.140625" style="1093" customWidth="1"/>
    <col min="10245" max="10496" width="9.140625" style="1093"/>
    <col min="10497" max="10497" width="5" style="1093" customWidth="1"/>
    <col min="10498" max="10498" width="47" style="1093" customWidth="1"/>
    <col min="10499" max="10500" width="15.140625" style="1093" customWidth="1"/>
    <col min="10501" max="10752" width="9.140625" style="1093"/>
    <col min="10753" max="10753" width="5" style="1093" customWidth="1"/>
    <col min="10754" max="10754" width="47" style="1093" customWidth="1"/>
    <col min="10755" max="10756" width="15.140625" style="1093" customWidth="1"/>
    <col min="10757" max="11008" width="9.140625" style="1093"/>
    <col min="11009" max="11009" width="5" style="1093" customWidth="1"/>
    <col min="11010" max="11010" width="47" style="1093" customWidth="1"/>
    <col min="11011" max="11012" width="15.140625" style="1093" customWidth="1"/>
    <col min="11013" max="11264" width="9.140625" style="1093"/>
    <col min="11265" max="11265" width="5" style="1093" customWidth="1"/>
    <col min="11266" max="11266" width="47" style="1093" customWidth="1"/>
    <col min="11267" max="11268" width="15.140625" style="1093" customWidth="1"/>
    <col min="11269" max="11520" width="9.140625" style="1093"/>
    <col min="11521" max="11521" width="5" style="1093" customWidth="1"/>
    <col min="11522" max="11522" width="47" style="1093" customWidth="1"/>
    <col min="11523" max="11524" width="15.140625" style="1093" customWidth="1"/>
    <col min="11525" max="11776" width="9.140625" style="1093"/>
    <col min="11777" max="11777" width="5" style="1093" customWidth="1"/>
    <col min="11778" max="11778" width="47" style="1093" customWidth="1"/>
    <col min="11779" max="11780" width="15.140625" style="1093" customWidth="1"/>
    <col min="11781" max="12032" width="9.140625" style="1093"/>
    <col min="12033" max="12033" width="5" style="1093" customWidth="1"/>
    <col min="12034" max="12034" width="47" style="1093" customWidth="1"/>
    <col min="12035" max="12036" width="15.140625" style="1093" customWidth="1"/>
    <col min="12037" max="12288" width="9.140625" style="1093"/>
    <col min="12289" max="12289" width="5" style="1093" customWidth="1"/>
    <col min="12290" max="12290" width="47" style="1093" customWidth="1"/>
    <col min="12291" max="12292" width="15.140625" style="1093" customWidth="1"/>
    <col min="12293" max="12544" width="9.140625" style="1093"/>
    <col min="12545" max="12545" width="5" style="1093" customWidth="1"/>
    <col min="12546" max="12546" width="47" style="1093" customWidth="1"/>
    <col min="12547" max="12548" width="15.140625" style="1093" customWidth="1"/>
    <col min="12549" max="12800" width="9.140625" style="1093"/>
    <col min="12801" max="12801" width="5" style="1093" customWidth="1"/>
    <col min="12802" max="12802" width="47" style="1093" customWidth="1"/>
    <col min="12803" max="12804" width="15.140625" style="1093" customWidth="1"/>
    <col min="12805" max="13056" width="9.140625" style="1093"/>
    <col min="13057" max="13057" width="5" style="1093" customWidth="1"/>
    <col min="13058" max="13058" width="47" style="1093" customWidth="1"/>
    <col min="13059" max="13060" width="15.140625" style="1093" customWidth="1"/>
    <col min="13061" max="13312" width="9.140625" style="1093"/>
    <col min="13313" max="13313" width="5" style="1093" customWidth="1"/>
    <col min="13314" max="13314" width="47" style="1093" customWidth="1"/>
    <col min="13315" max="13316" width="15.140625" style="1093" customWidth="1"/>
    <col min="13317" max="13568" width="9.140625" style="1093"/>
    <col min="13569" max="13569" width="5" style="1093" customWidth="1"/>
    <col min="13570" max="13570" width="47" style="1093" customWidth="1"/>
    <col min="13571" max="13572" width="15.140625" style="1093" customWidth="1"/>
    <col min="13573" max="13824" width="9.140625" style="1093"/>
    <col min="13825" max="13825" width="5" style="1093" customWidth="1"/>
    <col min="13826" max="13826" width="47" style="1093" customWidth="1"/>
    <col min="13827" max="13828" width="15.140625" style="1093" customWidth="1"/>
    <col min="13829" max="14080" width="9.140625" style="1093"/>
    <col min="14081" max="14081" width="5" style="1093" customWidth="1"/>
    <col min="14082" max="14082" width="47" style="1093" customWidth="1"/>
    <col min="14083" max="14084" width="15.140625" style="1093" customWidth="1"/>
    <col min="14085" max="14336" width="9.140625" style="1093"/>
    <col min="14337" max="14337" width="5" style="1093" customWidth="1"/>
    <col min="14338" max="14338" width="47" style="1093" customWidth="1"/>
    <col min="14339" max="14340" width="15.140625" style="1093" customWidth="1"/>
    <col min="14341" max="14592" width="9.140625" style="1093"/>
    <col min="14593" max="14593" width="5" style="1093" customWidth="1"/>
    <col min="14594" max="14594" width="47" style="1093" customWidth="1"/>
    <col min="14595" max="14596" width="15.140625" style="1093" customWidth="1"/>
    <col min="14597" max="14848" width="9.140625" style="1093"/>
    <col min="14849" max="14849" width="5" style="1093" customWidth="1"/>
    <col min="14850" max="14850" width="47" style="1093" customWidth="1"/>
    <col min="14851" max="14852" width="15.140625" style="1093" customWidth="1"/>
    <col min="14853" max="15104" width="9.140625" style="1093"/>
    <col min="15105" max="15105" width="5" style="1093" customWidth="1"/>
    <col min="15106" max="15106" width="47" style="1093" customWidth="1"/>
    <col min="15107" max="15108" width="15.140625" style="1093" customWidth="1"/>
    <col min="15109" max="15360" width="9.140625" style="1093"/>
    <col min="15361" max="15361" width="5" style="1093" customWidth="1"/>
    <col min="15362" max="15362" width="47" style="1093" customWidth="1"/>
    <col min="15363" max="15364" width="15.140625" style="1093" customWidth="1"/>
    <col min="15365" max="15616" width="9.140625" style="1093"/>
    <col min="15617" max="15617" width="5" style="1093" customWidth="1"/>
    <col min="15618" max="15618" width="47" style="1093" customWidth="1"/>
    <col min="15619" max="15620" width="15.140625" style="1093" customWidth="1"/>
    <col min="15621" max="15872" width="9.140625" style="1093"/>
    <col min="15873" max="15873" width="5" style="1093" customWidth="1"/>
    <col min="15874" max="15874" width="47" style="1093" customWidth="1"/>
    <col min="15875" max="15876" width="15.140625" style="1093" customWidth="1"/>
    <col min="15877" max="16128" width="9.140625" style="1093"/>
    <col min="16129" max="16129" width="5" style="1093" customWidth="1"/>
    <col min="16130" max="16130" width="47" style="1093" customWidth="1"/>
    <col min="16131" max="16132" width="15.140625" style="1093" customWidth="1"/>
    <col min="16133" max="16384" width="9.140625" style="1093"/>
  </cols>
  <sheetData>
    <row r="1" spans="1:4" ht="31.5" customHeight="1">
      <c r="B1" s="1913" t="s">
        <v>1189</v>
      </c>
      <c r="C1" s="1913"/>
      <c r="D1" s="1913"/>
    </row>
    <row r="2" spans="1:4" s="1622" customFormat="1" ht="16.5" thickBot="1">
      <c r="A2" s="1620"/>
      <c r="B2" s="1621"/>
      <c r="D2" s="1623" t="s">
        <v>1088</v>
      </c>
    </row>
    <row r="3" spans="1:4" s="1530" customFormat="1" ht="48" customHeight="1" thickBot="1">
      <c r="A3" s="1624" t="s">
        <v>1090</v>
      </c>
      <c r="B3" s="1528" t="s">
        <v>1190</v>
      </c>
      <c r="C3" s="1528" t="s">
        <v>1191</v>
      </c>
      <c r="D3" s="1529" t="s">
        <v>1192</v>
      </c>
    </row>
    <row r="4" spans="1:4" s="1530" customFormat="1" ht="14.1" customHeight="1" thickBot="1">
      <c r="A4" s="1625">
        <v>1</v>
      </c>
      <c r="B4" s="1626">
        <v>2</v>
      </c>
      <c r="C4" s="1626">
        <v>3</v>
      </c>
      <c r="D4" s="1627">
        <v>4</v>
      </c>
    </row>
    <row r="5" spans="1:4" ht="18" customHeight="1">
      <c r="A5" s="1628" t="s">
        <v>693</v>
      </c>
      <c r="B5" s="1629" t="s">
        <v>1193</v>
      </c>
      <c r="C5" s="1630"/>
      <c r="D5" s="1631"/>
    </row>
    <row r="6" spans="1:4" ht="18" customHeight="1">
      <c r="A6" s="1632" t="s">
        <v>707</v>
      </c>
      <c r="B6" s="1633" t="s">
        <v>1194</v>
      </c>
      <c r="C6" s="1634"/>
      <c r="D6" s="1635"/>
    </row>
    <row r="7" spans="1:4" ht="18" customHeight="1">
      <c r="A7" s="1632" t="s">
        <v>721</v>
      </c>
      <c r="B7" s="1633" t="s">
        <v>1195</v>
      </c>
      <c r="C7" s="1634"/>
      <c r="D7" s="1635"/>
    </row>
    <row r="8" spans="1:4" ht="18" customHeight="1">
      <c r="A8" s="1632" t="s">
        <v>897</v>
      </c>
      <c r="B8" s="1633" t="s">
        <v>1196</v>
      </c>
      <c r="C8" s="1634"/>
      <c r="D8" s="1635"/>
    </row>
    <row r="9" spans="1:4" ht="18" customHeight="1">
      <c r="A9" s="1632" t="s">
        <v>750</v>
      </c>
      <c r="B9" s="1633" t="s">
        <v>1197</v>
      </c>
      <c r="C9" s="1634">
        <f>SUM(C10:C18)</f>
        <v>72845000</v>
      </c>
      <c r="D9" s="1634">
        <v>0</v>
      </c>
    </row>
    <row r="10" spans="1:4" ht="18" customHeight="1">
      <c r="A10" s="1632" t="s">
        <v>772</v>
      </c>
      <c r="B10" s="1633" t="s">
        <v>1198</v>
      </c>
      <c r="C10" s="1634"/>
      <c r="D10" s="1635"/>
    </row>
    <row r="11" spans="1:4" ht="18" customHeight="1">
      <c r="A11" s="1632" t="s">
        <v>908</v>
      </c>
      <c r="B11" s="1636" t="s">
        <v>1209</v>
      </c>
      <c r="C11" s="1634">
        <f>'4.1.(7.1) Önkormányzat'!C31</f>
        <v>30000</v>
      </c>
      <c r="D11" s="1635"/>
    </row>
    <row r="12" spans="1:4" ht="18" customHeight="1">
      <c r="A12" s="1632" t="s">
        <v>803</v>
      </c>
      <c r="B12" s="1636" t="s">
        <v>1199</v>
      </c>
      <c r="C12" s="1634">
        <f>'4.1.(7.1) Önkormányzat'!C32</f>
        <v>6941000</v>
      </c>
      <c r="D12" s="1635"/>
    </row>
    <row r="13" spans="1:4" ht="18" customHeight="1">
      <c r="A13" s="1632" t="s">
        <v>920</v>
      </c>
      <c r="B13" s="1636" t="s">
        <v>1200</v>
      </c>
      <c r="C13" s="1634"/>
      <c r="D13" s="1635"/>
    </row>
    <row r="14" spans="1:4" ht="18" customHeight="1">
      <c r="A14" s="1632" t="s">
        <v>1014</v>
      </c>
      <c r="B14" s="1636" t="s">
        <v>1201</v>
      </c>
      <c r="C14" s="1634"/>
      <c r="D14" s="1635">
        <v>0</v>
      </c>
    </row>
    <row r="15" spans="1:4" ht="22.5" customHeight="1">
      <c r="A15" s="1632" t="s">
        <v>1015</v>
      </c>
      <c r="B15" s="1636" t="s">
        <v>1202</v>
      </c>
      <c r="C15" s="1634">
        <f>'4.1.(7.1) Önkormányzat'!C33</f>
        <v>55713000</v>
      </c>
      <c r="D15" s="1635">
        <v>0</v>
      </c>
    </row>
    <row r="16" spans="1:4" ht="18" customHeight="1">
      <c r="A16" s="1632" t="s">
        <v>1016</v>
      </c>
      <c r="B16" s="1633" t="s">
        <v>1203</v>
      </c>
      <c r="C16" s="1634">
        <f>'4.1.(7.1) Önkormányzat'!C34</f>
        <v>9302000</v>
      </c>
      <c r="D16" s="1635"/>
    </row>
    <row r="17" spans="1:4" ht="18" customHeight="1">
      <c r="A17" s="1632" t="s">
        <v>1019</v>
      </c>
      <c r="B17" s="1633" t="s">
        <v>1208</v>
      </c>
      <c r="C17" s="1634">
        <f>'4.1.(7.1) Önkormányzat'!C35</f>
        <v>167000</v>
      </c>
      <c r="D17" s="1635"/>
    </row>
    <row r="18" spans="1:4" ht="18" customHeight="1">
      <c r="A18" s="1632" t="s">
        <v>1022</v>
      </c>
      <c r="B18" s="1633" t="s">
        <v>280</v>
      </c>
      <c r="C18" s="1634">
        <f>'4.1.(7.1) Önkormányzat'!C36</f>
        <v>692000</v>
      </c>
      <c r="D18" s="1635"/>
    </row>
    <row r="19" spans="1:4" ht="18" customHeight="1">
      <c r="A19" s="1632" t="s">
        <v>1025</v>
      </c>
      <c r="B19" s="1633" t="s">
        <v>1204</v>
      </c>
      <c r="C19" s="1634"/>
      <c r="D19" s="1635"/>
    </row>
    <row r="20" spans="1:4" ht="18" customHeight="1">
      <c r="A20" s="1632" t="s">
        <v>1028</v>
      </c>
      <c r="B20" s="1633" t="s">
        <v>1205</v>
      </c>
      <c r="C20" s="1634"/>
      <c r="D20" s="1635"/>
    </row>
    <row r="21" spans="1:4" ht="18" customHeight="1">
      <c r="A21" s="1632" t="s">
        <v>1031</v>
      </c>
      <c r="B21" s="1633" t="s">
        <v>1206</v>
      </c>
      <c r="C21" s="1637"/>
      <c r="D21" s="1635"/>
    </row>
    <row r="22" spans="1:4" ht="18" customHeight="1">
      <c r="A22" s="1632" t="s">
        <v>1034</v>
      </c>
      <c r="B22" s="1633" t="s">
        <v>1207</v>
      </c>
      <c r="C22" s="1637"/>
      <c r="D22" s="1635"/>
    </row>
    <row r="23" spans="1:4" ht="18" customHeight="1">
      <c r="A23" s="1632" t="s">
        <v>1037</v>
      </c>
      <c r="B23" s="1638"/>
      <c r="C23" s="1637"/>
      <c r="D23" s="1635"/>
    </row>
    <row r="24" spans="1:4" ht="18" customHeight="1">
      <c r="A24" s="1632" t="s">
        <v>1040</v>
      </c>
      <c r="B24" s="1638"/>
      <c r="C24" s="1637"/>
      <c r="D24" s="1635"/>
    </row>
    <row r="25" spans="1:4" ht="18" customHeight="1">
      <c r="A25" s="1632" t="s">
        <v>1043</v>
      </c>
      <c r="B25" s="1638"/>
      <c r="C25" s="1637"/>
      <c r="D25" s="1635"/>
    </row>
    <row r="26" spans="1:4" ht="18" customHeight="1">
      <c r="A26" s="1632" t="s">
        <v>1046</v>
      </c>
      <c r="B26" s="1638"/>
      <c r="C26" s="1637"/>
      <c r="D26" s="1635"/>
    </row>
    <row r="27" spans="1:4" ht="18" customHeight="1">
      <c r="A27" s="1632" t="s">
        <v>1049</v>
      </c>
      <c r="B27" s="1638"/>
      <c r="C27" s="1637"/>
      <c r="D27" s="1635"/>
    </row>
    <row r="28" spans="1:4" ht="18" customHeight="1">
      <c r="A28" s="1632" t="s">
        <v>1052</v>
      </c>
      <c r="B28" s="1638"/>
      <c r="C28" s="1637"/>
      <c r="D28" s="1635"/>
    </row>
    <row r="29" spans="1:4" ht="18" customHeight="1" thickBot="1">
      <c r="A29" s="1639" t="s">
        <v>1081</v>
      </c>
      <c r="B29" s="1640"/>
      <c r="C29" s="1641"/>
      <c r="D29" s="1642"/>
    </row>
    <row r="30" spans="1:4" ht="18" customHeight="1" thickBot="1">
      <c r="A30" s="1643" t="s">
        <v>1084</v>
      </c>
      <c r="B30" s="1644" t="s">
        <v>1154</v>
      </c>
      <c r="C30" s="1645">
        <f>+C5+C6+C7+C8+C9+C19+C20+C21+C22+C23+C24+C25+C26+C27+C28+C29</f>
        <v>72845000</v>
      </c>
      <c r="D30" s="1646">
        <f>+D5+D6+D7+D8+D9+D16+D17+D18+D19+D20+D21+D22+D23+D24+D25+D26+D27+D28+D29</f>
        <v>0</v>
      </c>
    </row>
    <row r="31" spans="1:4" ht="8.25" customHeight="1">
      <c r="A31" s="1647"/>
      <c r="B31" s="1914"/>
      <c r="C31" s="1914"/>
      <c r="D31" s="1914"/>
    </row>
  </sheetData>
  <sheetProtection password="DCF7" sheet="1" objects="1" scenarios="1" selectLockedCells="1" selectUnlockedCells="1"/>
  <mergeCells count="2">
    <mergeCell ref="B1:D1"/>
    <mergeCell ref="B31:D31"/>
  </mergeCells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CE,Dőlt" 4&amp;"Times New Roman CE,Félkövér dőlt".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O82"/>
  <sheetViews>
    <sheetView view="pageBreakPreview" zoomScaleNormal="100" zoomScaleSheetLayoutView="100" workbookViewId="0">
      <selection activeCell="Q16" sqref="Q16"/>
    </sheetView>
  </sheetViews>
  <sheetFormatPr defaultRowHeight="15.75"/>
  <cols>
    <col min="1" max="1" width="4.140625" style="1649" customWidth="1"/>
    <col min="2" max="2" width="26.7109375" style="1648" customWidth="1"/>
    <col min="3" max="3" width="9.85546875" style="1648" bestFit="1" customWidth="1"/>
    <col min="4" max="4" width="9.5703125" style="1648" customWidth="1"/>
    <col min="5" max="14" width="10.85546875" style="1648" bestFit="1" customWidth="1"/>
    <col min="15" max="15" width="10.85546875" style="1649" bestFit="1" customWidth="1"/>
    <col min="16" max="255" width="9.140625" style="1648"/>
    <col min="256" max="256" width="4.140625" style="1648" customWidth="1"/>
    <col min="257" max="257" width="26.7109375" style="1648" customWidth="1"/>
    <col min="258" max="259" width="7.7109375" style="1648" customWidth="1"/>
    <col min="260" max="260" width="8.140625" style="1648" customWidth="1"/>
    <col min="261" max="261" width="7.5703125" style="1648" customWidth="1"/>
    <col min="262" max="262" width="7.42578125" style="1648" customWidth="1"/>
    <col min="263" max="263" width="7.5703125" style="1648" customWidth="1"/>
    <col min="264" max="264" width="9.28515625" style="1648" customWidth="1"/>
    <col min="265" max="269" width="8.140625" style="1648" customWidth="1"/>
    <col min="270" max="270" width="10.85546875" style="1648" customWidth="1"/>
    <col min="271" max="511" width="9.140625" style="1648"/>
    <col min="512" max="512" width="4.140625" style="1648" customWidth="1"/>
    <col min="513" max="513" width="26.7109375" style="1648" customWidth="1"/>
    <col min="514" max="515" width="7.7109375" style="1648" customWidth="1"/>
    <col min="516" max="516" width="8.140625" style="1648" customWidth="1"/>
    <col min="517" max="517" width="7.5703125" style="1648" customWidth="1"/>
    <col min="518" max="518" width="7.42578125" style="1648" customWidth="1"/>
    <col min="519" max="519" width="7.5703125" style="1648" customWidth="1"/>
    <col min="520" max="520" width="9.28515625" style="1648" customWidth="1"/>
    <col min="521" max="525" width="8.140625" style="1648" customWidth="1"/>
    <col min="526" max="526" width="10.85546875" style="1648" customWidth="1"/>
    <col min="527" max="767" width="9.140625" style="1648"/>
    <col min="768" max="768" width="4.140625" style="1648" customWidth="1"/>
    <col min="769" max="769" width="26.7109375" style="1648" customWidth="1"/>
    <col min="770" max="771" width="7.7109375" style="1648" customWidth="1"/>
    <col min="772" max="772" width="8.140625" style="1648" customWidth="1"/>
    <col min="773" max="773" width="7.5703125" style="1648" customWidth="1"/>
    <col min="774" max="774" width="7.42578125" style="1648" customWidth="1"/>
    <col min="775" max="775" width="7.5703125" style="1648" customWidth="1"/>
    <col min="776" max="776" width="9.28515625" style="1648" customWidth="1"/>
    <col min="777" max="781" width="8.140625" style="1648" customWidth="1"/>
    <col min="782" max="782" width="10.85546875" style="1648" customWidth="1"/>
    <col min="783" max="1023" width="9.140625" style="1648"/>
    <col min="1024" max="1024" width="4.140625" style="1648" customWidth="1"/>
    <col min="1025" max="1025" width="26.7109375" style="1648" customWidth="1"/>
    <col min="1026" max="1027" width="7.7109375" style="1648" customWidth="1"/>
    <col min="1028" max="1028" width="8.140625" style="1648" customWidth="1"/>
    <col min="1029" max="1029" width="7.5703125" style="1648" customWidth="1"/>
    <col min="1030" max="1030" width="7.42578125" style="1648" customWidth="1"/>
    <col min="1031" max="1031" width="7.5703125" style="1648" customWidth="1"/>
    <col min="1032" max="1032" width="9.28515625" style="1648" customWidth="1"/>
    <col min="1033" max="1037" width="8.140625" style="1648" customWidth="1"/>
    <col min="1038" max="1038" width="10.85546875" style="1648" customWidth="1"/>
    <col min="1039" max="1279" width="9.140625" style="1648"/>
    <col min="1280" max="1280" width="4.140625" style="1648" customWidth="1"/>
    <col min="1281" max="1281" width="26.7109375" style="1648" customWidth="1"/>
    <col min="1282" max="1283" width="7.7109375" style="1648" customWidth="1"/>
    <col min="1284" max="1284" width="8.140625" style="1648" customWidth="1"/>
    <col min="1285" max="1285" width="7.5703125" style="1648" customWidth="1"/>
    <col min="1286" max="1286" width="7.42578125" style="1648" customWidth="1"/>
    <col min="1287" max="1287" width="7.5703125" style="1648" customWidth="1"/>
    <col min="1288" max="1288" width="9.28515625" style="1648" customWidth="1"/>
    <col min="1289" max="1293" width="8.140625" style="1648" customWidth="1"/>
    <col min="1294" max="1294" width="10.85546875" style="1648" customWidth="1"/>
    <col min="1295" max="1535" width="9.140625" style="1648"/>
    <col min="1536" max="1536" width="4.140625" style="1648" customWidth="1"/>
    <col min="1537" max="1537" width="26.7109375" style="1648" customWidth="1"/>
    <col min="1538" max="1539" width="7.7109375" style="1648" customWidth="1"/>
    <col min="1540" max="1540" width="8.140625" style="1648" customWidth="1"/>
    <col min="1541" max="1541" width="7.5703125" style="1648" customWidth="1"/>
    <col min="1542" max="1542" width="7.42578125" style="1648" customWidth="1"/>
    <col min="1543" max="1543" width="7.5703125" style="1648" customWidth="1"/>
    <col min="1544" max="1544" width="9.28515625" style="1648" customWidth="1"/>
    <col min="1545" max="1549" width="8.140625" style="1648" customWidth="1"/>
    <col min="1550" max="1550" width="10.85546875" style="1648" customWidth="1"/>
    <col min="1551" max="1791" width="9.140625" style="1648"/>
    <col min="1792" max="1792" width="4.140625" style="1648" customWidth="1"/>
    <col min="1793" max="1793" width="26.7109375" style="1648" customWidth="1"/>
    <col min="1794" max="1795" width="7.7109375" style="1648" customWidth="1"/>
    <col min="1796" max="1796" width="8.140625" style="1648" customWidth="1"/>
    <col min="1797" max="1797" width="7.5703125" style="1648" customWidth="1"/>
    <col min="1798" max="1798" width="7.42578125" style="1648" customWidth="1"/>
    <col min="1799" max="1799" width="7.5703125" style="1648" customWidth="1"/>
    <col min="1800" max="1800" width="9.28515625" style="1648" customWidth="1"/>
    <col min="1801" max="1805" width="8.140625" style="1648" customWidth="1"/>
    <col min="1806" max="1806" width="10.85546875" style="1648" customWidth="1"/>
    <col min="1807" max="2047" width="9.140625" style="1648"/>
    <col min="2048" max="2048" width="4.140625" style="1648" customWidth="1"/>
    <col min="2049" max="2049" width="26.7109375" style="1648" customWidth="1"/>
    <col min="2050" max="2051" width="7.7109375" style="1648" customWidth="1"/>
    <col min="2052" max="2052" width="8.140625" style="1648" customWidth="1"/>
    <col min="2053" max="2053" width="7.5703125" style="1648" customWidth="1"/>
    <col min="2054" max="2054" width="7.42578125" style="1648" customWidth="1"/>
    <col min="2055" max="2055" width="7.5703125" style="1648" customWidth="1"/>
    <col min="2056" max="2056" width="9.28515625" style="1648" customWidth="1"/>
    <col min="2057" max="2061" width="8.140625" style="1648" customWidth="1"/>
    <col min="2062" max="2062" width="10.85546875" style="1648" customWidth="1"/>
    <col min="2063" max="2303" width="9.140625" style="1648"/>
    <col min="2304" max="2304" width="4.140625" style="1648" customWidth="1"/>
    <col min="2305" max="2305" width="26.7109375" style="1648" customWidth="1"/>
    <col min="2306" max="2307" width="7.7109375" style="1648" customWidth="1"/>
    <col min="2308" max="2308" width="8.140625" style="1648" customWidth="1"/>
    <col min="2309" max="2309" width="7.5703125" style="1648" customWidth="1"/>
    <col min="2310" max="2310" width="7.42578125" style="1648" customWidth="1"/>
    <col min="2311" max="2311" width="7.5703125" style="1648" customWidth="1"/>
    <col min="2312" max="2312" width="9.28515625" style="1648" customWidth="1"/>
    <col min="2313" max="2317" width="8.140625" style="1648" customWidth="1"/>
    <col min="2318" max="2318" width="10.85546875" style="1648" customWidth="1"/>
    <col min="2319" max="2559" width="9.140625" style="1648"/>
    <col min="2560" max="2560" width="4.140625" style="1648" customWidth="1"/>
    <col min="2561" max="2561" width="26.7109375" style="1648" customWidth="1"/>
    <col min="2562" max="2563" width="7.7109375" style="1648" customWidth="1"/>
    <col min="2564" max="2564" width="8.140625" style="1648" customWidth="1"/>
    <col min="2565" max="2565" width="7.5703125" style="1648" customWidth="1"/>
    <col min="2566" max="2566" width="7.42578125" style="1648" customWidth="1"/>
    <col min="2567" max="2567" width="7.5703125" style="1648" customWidth="1"/>
    <col min="2568" max="2568" width="9.28515625" style="1648" customWidth="1"/>
    <col min="2569" max="2573" width="8.140625" style="1648" customWidth="1"/>
    <col min="2574" max="2574" width="10.85546875" style="1648" customWidth="1"/>
    <col min="2575" max="2815" width="9.140625" style="1648"/>
    <col min="2816" max="2816" width="4.140625" style="1648" customWidth="1"/>
    <col min="2817" max="2817" width="26.7109375" style="1648" customWidth="1"/>
    <col min="2818" max="2819" width="7.7109375" style="1648" customWidth="1"/>
    <col min="2820" max="2820" width="8.140625" style="1648" customWidth="1"/>
    <col min="2821" max="2821" width="7.5703125" style="1648" customWidth="1"/>
    <col min="2822" max="2822" width="7.42578125" style="1648" customWidth="1"/>
    <col min="2823" max="2823" width="7.5703125" style="1648" customWidth="1"/>
    <col min="2824" max="2824" width="9.28515625" style="1648" customWidth="1"/>
    <col min="2825" max="2829" width="8.140625" style="1648" customWidth="1"/>
    <col min="2830" max="2830" width="10.85546875" style="1648" customWidth="1"/>
    <col min="2831" max="3071" width="9.140625" style="1648"/>
    <col min="3072" max="3072" width="4.140625" style="1648" customWidth="1"/>
    <col min="3073" max="3073" width="26.7109375" style="1648" customWidth="1"/>
    <col min="3074" max="3075" width="7.7109375" style="1648" customWidth="1"/>
    <col min="3076" max="3076" width="8.140625" style="1648" customWidth="1"/>
    <col min="3077" max="3077" width="7.5703125" style="1648" customWidth="1"/>
    <col min="3078" max="3078" width="7.42578125" style="1648" customWidth="1"/>
    <col min="3079" max="3079" width="7.5703125" style="1648" customWidth="1"/>
    <col min="3080" max="3080" width="9.28515625" style="1648" customWidth="1"/>
    <col min="3081" max="3085" width="8.140625" style="1648" customWidth="1"/>
    <col min="3086" max="3086" width="10.85546875" style="1648" customWidth="1"/>
    <col min="3087" max="3327" width="9.140625" style="1648"/>
    <col min="3328" max="3328" width="4.140625" style="1648" customWidth="1"/>
    <col min="3329" max="3329" width="26.7109375" style="1648" customWidth="1"/>
    <col min="3330" max="3331" width="7.7109375" style="1648" customWidth="1"/>
    <col min="3332" max="3332" width="8.140625" style="1648" customWidth="1"/>
    <col min="3333" max="3333" width="7.5703125" style="1648" customWidth="1"/>
    <col min="3334" max="3334" width="7.42578125" style="1648" customWidth="1"/>
    <col min="3335" max="3335" width="7.5703125" style="1648" customWidth="1"/>
    <col min="3336" max="3336" width="9.28515625" style="1648" customWidth="1"/>
    <col min="3337" max="3341" width="8.140625" style="1648" customWidth="1"/>
    <col min="3342" max="3342" width="10.85546875" style="1648" customWidth="1"/>
    <col min="3343" max="3583" width="9.140625" style="1648"/>
    <col min="3584" max="3584" width="4.140625" style="1648" customWidth="1"/>
    <col min="3585" max="3585" width="26.7109375" style="1648" customWidth="1"/>
    <col min="3586" max="3587" width="7.7109375" style="1648" customWidth="1"/>
    <col min="3588" max="3588" width="8.140625" style="1648" customWidth="1"/>
    <col min="3589" max="3589" width="7.5703125" style="1648" customWidth="1"/>
    <col min="3590" max="3590" width="7.42578125" style="1648" customWidth="1"/>
    <col min="3591" max="3591" width="7.5703125" style="1648" customWidth="1"/>
    <col min="3592" max="3592" width="9.28515625" style="1648" customWidth="1"/>
    <col min="3593" max="3597" width="8.140625" style="1648" customWidth="1"/>
    <col min="3598" max="3598" width="10.85546875" style="1648" customWidth="1"/>
    <col min="3599" max="3839" width="9.140625" style="1648"/>
    <col min="3840" max="3840" width="4.140625" style="1648" customWidth="1"/>
    <col min="3841" max="3841" width="26.7109375" style="1648" customWidth="1"/>
    <col min="3842" max="3843" width="7.7109375" style="1648" customWidth="1"/>
    <col min="3844" max="3844" width="8.140625" style="1648" customWidth="1"/>
    <col min="3845" max="3845" width="7.5703125" style="1648" customWidth="1"/>
    <col min="3846" max="3846" width="7.42578125" style="1648" customWidth="1"/>
    <col min="3847" max="3847" width="7.5703125" style="1648" customWidth="1"/>
    <col min="3848" max="3848" width="9.28515625" style="1648" customWidth="1"/>
    <col min="3849" max="3853" width="8.140625" style="1648" customWidth="1"/>
    <col min="3854" max="3854" width="10.85546875" style="1648" customWidth="1"/>
    <col min="3855" max="4095" width="9.140625" style="1648"/>
    <col min="4096" max="4096" width="4.140625" style="1648" customWidth="1"/>
    <col min="4097" max="4097" width="26.7109375" style="1648" customWidth="1"/>
    <col min="4098" max="4099" width="7.7109375" style="1648" customWidth="1"/>
    <col min="4100" max="4100" width="8.140625" style="1648" customWidth="1"/>
    <col min="4101" max="4101" width="7.5703125" style="1648" customWidth="1"/>
    <col min="4102" max="4102" width="7.42578125" style="1648" customWidth="1"/>
    <col min="4103" max="4103" width="7.5703125" style="1648" customWidth="1"/>
    <col min="4104" max="4104" width="9.28515625" style="1648" customWidth="1"/>
    <col min="4105" max="4109" width="8.140625" style="1648" customWidth="1"/>
    <col min="4110" max="4110" width="10.85546875" style="1648" customWidth="1"/>
    <col min="4111" max="4351" width="9.140625" style="1648"/>
    <col min="4352" max="4352" width="4.140625" style="1648" customWidth="1"/>
    <col min="4353" max="4353" width="26.7109375" style="1648" customWidth="1"/>
    <col min="4354" max="4355" width="7.7109375" style="1648" customWidth="1"/>
    <col min="4356" max="4356" width="8.140625" style="1648" customWidth="1"/>
    <col min="4357" max="4357" width="7.5703125" style="1648" customWidth="1"/>
    <col min="4358" max="4358" width="7.42578125" style="1648" customWidth="1"/>
    <col min="4359" max="4359" width="7.5703125" style="1648" customWidth="1"/>
    <col min="4360" max="4360" width="9.28515625" style="1648" customWidth="1"/>
    <col min="4361" max="4365" width="8.140625" style="1648" customWidth="1"/>
    <col min="4366" max="4366" width="10.85546875" style="1648" customWidth="1"/>
    <col min="4367" max="4607" width="9.140625" style="1648"/>
    <col min="4608" max="4608" width="4.140625" style="1648" customWidth="1"/>
    <col min="4609" max="4609" width="26.7109375" style="1648" customWidth="1"/>
    <col min="4610" max="4611" width="7.7109375" style="1648" customWidth="1"/>
    <col min="4612" max="4612" width="8.140625" style="1648" customWidth="1"/>
    <col min="4613" max="4613" width="7.5703125" style="1648" customWidth="1"/>
    <col min="4614" max="4614" width="7.42578125" style="1648" customWidth="1"/>
    <col min="4615" max="4615" width="7.5703125" style="1648" customWidth="1"/>
    <col min="4616" max="4616" width="9.28515625" style="1648" customWidth="1"/>
    <col min="4617" max="4621" width="8.140625" style="1648" customWidth="1"/>
    <col min="4622" max="4622" width="10.85546875" style="1648" customWidth="1"/>
    <col min="4623" max="4863" width="9.140625" style="1648"/>
    <col min="4864" max="4864" width="4.140625" style="1648" customWidth="1"/>
    <col min="4865" max="4865" width="26.7109375" style="1648" customWidth="1"/>
    <col min="4866" max="4867" width="7.7109375" style="1648" customWidth="1"/>
    <col min="4868" max="4868" width="8.140625" style="1648" customWidth="1"/>
    <col min="4869" max="4869" width="7.5703125" style="1648" customWidth="1"/>
    <col min="4870" max="4870" width="7.42578125" style="1648" customWidth="1"/>
    <col min="4871" max="4871" width="7.5703125" style="1648" customWidth="1"/>
    <col min="4872" max="4872" width="9.28515625" style="1648" customWidth="1"/>
    <col min="4873" max="4877" width="8.140625" style="1648" customWidth="1"/>
    <col min="4878" max="4878" width="10.85546875" style="1648" customWidth="1"/>
    <col min="4879" max="5119" width="9.140625" style="1648"/>
    <col min="5120" max="5120" width="4.140625" style="1648" customWidth="1"/>
    <col min="5121" max="5121" width="26.7109375" style="1648" customWidth="1"/>
    <col min="5122" max="5123" width="7.7109375" style="1648" customWidth="1"/>
    <col min="5124" max="5124" width="8.140625" style="1648" customWidth="1"/>
    <col min="5125" max="5125" width="7.5703125" style="1648" customWidth="1"/>
    <col min="5126" max="5126" width="7.42578125" style="1648" customWidth="1"/>
    <col min="5127" max="5127" width="7.5703125" style="1648" customWidth="1"/>
    <col min="5128" max="5128" width="9.28515625" style="1648" customWidth="1"/>
    <col min="5129" max="5133" width="8.140625" style="1648" customWidth="1"/>
    <col min="5134" max="5134" width="10.85546875" style="1648" customWidth="1"/>
    <col min="5135" max="5375" width="9.140625" style="1648"/>
    <col min="5376" max="5376" width="4.140625" style="1648" customWidth="1"/>
    <col min="5377" max="5377" width="26.7109375" style="1648" customWidth="1"/>
    <col min="5378" max="5379" width="7.7109375" style="1648" customWidth="1"/>
    <col min="5380" max="5380" width="8.140625" style="1648" customWidth="1"/>
    <col min="5381" max="5381" width="7.5703125" style="1648" customWidth="1"/>
    <col min="5382" max="5382" width="7.42578125" style="1648" customWidth="1"/>
    <col min="5383" max="5383" width="7.5703125" style="1648" customWidth="1"/>
    <col min="5384" max="5384" width="9.28515625" style="1648" customWidth="1"/>
    <col min="5385" max="5389" width="8.140625" style="1648" customWidth="1"/>
    <col min="5390" max="5390" width="10.85546875" style="1648" customWidth="1"/>
    <col min="5391" max="5631" width="9.140625" style="1648"/>
    <col min="5632" max="5632" width="4.140625" style="1648" customWidth="1"/>
    <col min="5633" max="5633" width="26.7109375" style="1648" customWidth="1"/>
    <col min="5634" max="5635" width="7.7109375" style="1648" customWidth="1"/>
    <col min="5636" max="5636" width="8.140625" style="1648" customWidth="1"/>
    <col min="5637" max="5637" width="7.5703125" style="1648" customWidth="1"/>
    <col min="5638" max="5638" width="7.42578125" style="1648" customWidth="1"/>
    <col min="5639" max="5639" width="7.5703125" style="1648" customWidth="1"/>
    <col min="5640" max="5640" width="9.28515625" style="1648" customWidth="1"/>
    <col min="5641" max="5645" width="8.140625" style="1648" customWidth="1"/>
    <col min="5646" max="5646" width="10.85546875" style="1648" customWidth="1"/>
    <col min="5647" max="5887" width="9.140625" style="1648"/>
    <col min="5888" max="5888" width="4.140625" style="1648" customWidth="1"/>
    <col min="5889" max="5889" width="26.7109375" style="1648" customWidth="1"/>
    <col min="5890" max="5891" width="7.7109375" style="1648" customWidth="1"/>
    <col min="5892" max="5892" width="8.140625" style="1648" customWidth="1"/>
    <col min="5893" max="5893" width="7.5703125" style="1648" customWidth="1"/>
    <col min="5894" max="5894" width="7.42578125" style="1648" customWidth="1"/>
    <col min="5895" max="5895" width="7.5703125" style="1648" customWidth="1"/>
    <col min="5896" max="5896" width="9.28515625" style="1648" customWidth="1"/>
    <col min="5897" max="5901" width="8.140625" style="1648" customWidth="1"/>
    <col min="5902" max="5902" width="10.85546875" style="1648" customWidth="1"/>
    <col min="5903" max="6143" width="9.140625" style="1648"/>
    <col min="6144" max="6144" width="4.140625" style="1648" customWidth="1"/>
    <col min="6145" max="6145" width="26.7109375" style="1648" customWidth="1"/>
    <col min="6146" max="6147" width="7.7109375" style="1648" customWidth="1"/>
    <col min="6148" max="6148" width="8.140625" style="1648" customWidth="1"/>
    <col min="6149" max="6149" width="7.5703125" style="1648" customWidth="1"/>
    <col min="6150" max="6150" width="7.42578125" style="1648" customWidth="1"/>
    <col min="6151" max="6151" width="7.5703125" style="1648" customWidth="1"/>
    <col min="6152" max="6152" width="9.28515625" style="1648" customWidth="1"/>
    <col min="6153" max="6157" width="8.140625" style="1648" customWidth="1"/>
    <col min="6158" max="6158" width="10.85546875" style="1648" customWidth="1"/>
    <col min="6159" max="6399" width="9.140625" style="1648"/>
    <col min="6400" max="6400" width="4.140625" style="1648" customWidth="1"/>
    <col min="6401" max="6401" width="26.7109375" style="1648" customWidth="1"/>
    <col min="6402" max="6403" width="7.7109375" style="1648" customWidth="1"/>
    <col min="6404" max="6404" width="8.140625" style="1648" customWidth="1"/>
    <col min="6405" max="6405" width="7.5703125" style="1648" customWidth="1"/>
    <col min="6406" max="6406" width="7.42578125" style="1648" customWidth="1"/>
    <col min="6407" max="6407" width="7.5703125" style="1648" customWidth="1"/>
    <col min="6408" max="6408" width="9.28515625" style="1648" customWidth="1"/>
    <col min="6409" max="6413" width="8.140625" style="1648" customWidth="1"/>
    <col min="6414" max="6414" width="10.85546875" style="1648" customWidth="1"/>
    <col min="6415" max="6655" width="9.140625" style="1648"/>
    <col min="6656" max="6656" width="4.140625" style="1648" customWidth="1"/>
    <col min="6657" max="6657" width="26.7109375" style="1648" customWidth="1"/>
    <col min="6658" max="6659" width="7.7109375" style="1648" customWidth="1"/>
    <col min="6660" max="6660" width="8.140625" style="1648" customWidth="1"/>
    <col min="6661" max="6661" width="7.5703125" style="1648" customWidth="1"/>
    <col min="6662" max="6662" width="7.42578125" style="1648" customWidth="1"/>
    <col min="6663" max="6663" width="7.5703125" style="1648" customWidth="1"/>
    <col min="6664" max="6664" width="9.28515625" style="1648" customWidth="1"/>
    <col min="6665" max="6669" width="8.140625" style="1648" customWidth="1"/>
    <col min="6670" max="6670" width="10.85546875" style="1648" customWidth="1"/>
    <col min="6671" max="6911" width="9.140625" style="1648"/>
    <col min="6912" max="6912" width="4.140625" style="1648" customWidth="1"/>
    <col min="6913" max="6913" width="26.7109375" style="1648" customWidth="1"/>
    <col min="6914" max="6915" width="7.7109375" style="1648" customWidth="1"/>
    <col min="6916" max="6916" width="8.140625" style="1648" customWidth="1"/>
    <col min="6917" max="6917" width="7.5703125" style="1648" customWidth="1"/>
    <col min="6918" max="6918" width="7.42578125" style="1648" customWidth="1"/>
    <col min="6919" max="6919" width="7.5703125" style="1648" customWidth="1"/>
    <col min="6920" max="6920" width="9.28515625" style="1648" customWidth="1"/>
    <col min="6921" max="6925" width="8.140625" style="1648" customWidth="1"/>
    <col min="6926" max="6926" width="10.85546875" style="1648" customWidth="1"/>
    <col min="6927" max="7167" width="9.140625" style="1648"/>
    <col min="7168" max="7168" width="4.140625" style="1648" customWidth="1"/>
    <col min="7169" max="7169" width="26.7109375" style="1648" customWidth="1"/>
    <col min="7170" max="7171" width="7.7109375" style="1648" customWidth="1"/>
    <col min="7172" max="7172" width="8.140625" style="1648" customWidth="1"/>
    <col min="7173" max="7173" width="7.5703125" style="1648" customWidth="1"/>
    <col min="7174" max="7174" width="7.42578125" style="1648" customWidth="1"/>
    <col min="7175" max="7175" width="7.5703125" style="1648" customWidth="1"/>
    <col min="7176" max="7176" width="9.28515625" style="1648" customWidth="1"/>
    <col min="7177" max="7181" width="8.140625" style="1648" customWidth="1"/>
    <col min="7182" max="7182" width="10.85546875" style="1648" customWidth="1"/>
    <col min="7183" max="7423" width="9.140625" style="1648"/>
    <col min="7424" max="7424" width="4.140625" style="1648" customWidth="1"/>
    <col min="7425" max="7425" width="26.7109375" style="1648" customWidth="1"/>
    <col min="7426" max="7427" width="7.7109375" style="1648" customWidth="1"/>
    <col min="7428" max="7428" width="8.140625" style="1648" customWidth="1"/>
    <col min="7429" max="7429" width="7.5703125" style="1648" customWidth="1"/>
    <col min="7430" max="7430" width="7.42578125" style="1648" customWidth="1"/>
    <col min="7431" max="7431" width="7.5703125" style="1648" customWidth="1"/>
    <col min="7432" max="7432" width="9.28515625" style="1648" customWidth="1"/>
    <col min="7433" max="7437" width="8.140625" style="1648" customWidth="1"/>
    <col min="7438" max="7438" width="10.85546875" style="1648" customWidth="1"/>
    <col min="7439" max="7679" width="9.140625" style="1648"/>
    <col min="7680" max="7680" width="4.140625" style="1648" customWidth="1"/>
    <col min="7681" max="7681" width="26.7109375" style="1648" customWidth="1"/>
    <col min="7682" max="7683" width="7.7109375" style="1648" customWidth="1"/>
    <col min="7684" max="7684" width="8.140625" style="1648" customWidth="1"/>
    <col min="7685" max="7685" width="7.5703125" style="1648" customWidth="1"/>
    <col min="7686" max="7686" width="7.42578125" style="1648" customWidth="1"/>
    <col min="7687" max="7687" width="7.5703125" style="1648" customWidth="1"/>
    <col min="7688" max="7688" width="9.28515625" style="1648" customWidth="1"/>
    <col min="7689" max="7693" width="8.140625" style="1648" customWidth="1"/>
    <col min="7694" max="7694" width="10.85546875" style="1648" customWidth="1"/>
    <col min="7695" max="7935" width="9.140625" style="1648"/>
    <col min="7936" max="7936" width="4.140625" style="1648" customWidth="1"/>
    <col min="7937" max="7937" width="26.7109375" style="1648" customWidth="1"/>
    <col min="7938" max="7939" width="7.7109375" style="1648" customWidth="1"/>
    <col min="7940" max="7940" width="8.140625" style="1648" customWidth="1"/>
    <col min="7941" max="7941" width="7.5703125" style="1648" customWidth="1"/>
    <col min="7942" max="7942" width="7.42578125" style="1648" customWidth="1"/>
    <col min="7943" max="7943" width="7.5703125" style="1648" customWidth="1"/>
    <col min="7944" max="7944" width="9.28515625" style="1648" customWidth="1"/>
    <col min="7945" max="7949" width="8.140625" style="1648" customWidth="1"/>
    <col min="7950" max="7950" width="10.85546875" style="1648" customWidth="1"/>
    <col min="7951" max="8191" width="9.140625" style="1648"/>
    <col min="8192" max="8192" width="4.140625" style="1648" customWidth="1"/>
    <col min="8193" max="8193" width="26.7109375" style="1648" customWidth="1"/>
    <col min="8194" max="8195" width="7.7109375" style="1648" customWidth="1"/>
    <col min="8196" max="8196" width="8.140625" style="1648" customWidth="1"/>
    <col min="8197" max="8197" width="7.5703125" style="1648" customWidth="1"/>
    <col min="8198" max="8198" width="7.42578125" style="1648" customWidth="1"/>
    <col min="8199" max="8199" width="7.5703125" style="1648" customWidth="1"/>
    <col min="8200" max="8200" width="9.28515625" style="1648" customWidth="1"/>
    <col min="8201" max="8205" width="8.140625" style="1648" customWidth="1"/>
    <col min="8206" max="8206" width="10.85546875" style="1648" customWidth="1"/>
    <col min="8207" max="8447" width="9.140625" style="1648"/>
    <col min="8448" max="8448" width="4.140625" style="1648" customWidth="1"/>
    <col min="8449" max="8449" width="26.7109375" style="1648" customWidth="1"/>
    <col min="8450" max="8451" width="7.7109375" style="1648" customWidth="1"/>
    <col min="8452" max="8452" width="8.140625" style="1648" customWidth="1"/>
    <col min="8453" max="8453" width="7.5703125" style="1648" customWidth="1"/>
    <col min="8454" max="8454" width="7.42578125" style="1648" customWidth="1"/>
    <col min="8455" max="8455" width="7.5703125" style="1648" customWidth="1"/>
    <col min="8456" max="8456" width="9.28515625" style="1648" customWidth="1"/>
    <col min="8457" max="8461" width="8.140625" style="1648" customWidth="1"/>
    <col min="8462" max="8462" width="10.85546875" style="1648" customWidth="1"/>
    <col min="8463" max="8703" width="9.140625" style="1648"/>
    <col min="8704" max="8704" width="4.140625" style="1648" customWidth="1"/>
    <col min="8705" max="8705" width="26.7109375" style="1648" customWidth="1"/>
    <col min="8706" max="8707" width="7.7109375" style="1648" customWidth="1"/>
    <col min="8708" max="8708" width="8.140625" style="1648" customWidth="1"/>
    <col min="8709" max="8709" width="7.5703125" style="1648" customWidth="1"/>
    <col min="8710" max="8710" width="7.42578125" style="1648" customWidth="1"/>
    <col min="8711" max="8711" width="7.5703125" style="1648" customWidth="1"/>
    <col min="8712" max="8712" width="9.28515625" style="1648" customWidth="1"/>
    <col min="8713" max="8717" width="8.140625" style="1648" customWidth="1"/>
    <col min="8718" max="8718" width="10.85546875" style="1648" customWidth="1"/>
    <col min="8719" max="8959" width="9.140625" style="1648"/>
    <col min="8960" max="8960" width="4.140625" style="1648" customWidth="1"/>
    <col min="8961" max="8961" width="26.7109375" style="1648" customWidth="1"/>
    <col min="8962" max="8963" width="7.7109375" style="1648" customWidth="1"/>
    <col min="8964" max="8964" width="8.140625" style="1648" customWidth="1"/>
    <col min="8965" max="8965" width="7.5703125" style="1648" customWidth="1"/>
    <col min="8966" max="8966" width="7.42578125" style="1648" customWidth="1"/>
    <col min="8967" max="8967" width="7.5703125" style="1648" customWidth="1"/>
    <col min="8968" max="8968" width="9.28515625" style="1648" customWidth="1"/>
    <col min="8969" max="8973" width="8.140625" style="1648" customWidth="1"/>
    <col min="8974" max="8974" width="10.85546875" style="1648" customWidth="1"/>
    <col min="8975" max="9215" width="9.140625" style="1648"/>
    <col min="9216" max="9216" width="4.140625" style="1648" customWidth="1"/>
    <col min="9217" max="9217" width="26.7109375" style="1648" customWidth="1"/>
    <col min="9218" max="9219" width="7.7109375" style="1648" customWidth="1"/>
    <col min="9220" max="9220" width="8.140625" style="1648" customWidth="1"/>
    <col min="9221" max="9221" width="7.5703125" style="1648" customWidth="1"/>
    <col min="9222" max="9222" width="7.42578125" style="1648" customWidth="1"/>
    <col min="9223" max="9223" width="7.5703125" style="1648" customWidth="1"/>
    <col min="9224" max="9224" width="9.28515625" style="1648" customWidth="1"/>
    <col min="9225" max="9229" width="8.140625" style="1648" customWidth="1"/>
    <col min="9230" max="9230" width="10.85546875" style="1648" customWidth="1"/>
    <col min="9231" max="9471" width="9.140625" style="1648"/>
    <col min="9472" max="9472" width="4.140625" style="1648" customWidth="1"/>
    <col min="9473" max="9473" width="26.7109375" style="1648" customWidth="1"/>
    <col min="9474" max="9475" width="7.7109375" style="1648" customWidth="1"/>
    <col min="9476" max="9476" width="8.140625" style="1648" customWidth="1"/>
    <col min="9477" max="9477" width="7.5703125" style="1648" customWidth="1"/>
    <col min="9478" max="9478" width="7.42578125" style="1648" customWidth="1"/>
    <col min="9479" max="9479" width="7.5703125" style="1648" customWidth="1"/>
    <col min="9480" max="9480" width="9.28515625" style="1648" customWidth="1"/>
    <col min="9481" max="9485" width="8.140625" style="1648" customWidth="1"/>
    <col min="9486" max="9486" width="10.85546875" style="1648" customWidth="1"/>
    <col min="9487" max="9727" width="9.140625" style="1648"/>
    <col min="9728" max="9728" width="4.140625" style="1648" customWidth="1"/>
    <col min="9729" max="9729" width="26.7109375" style="1648" customWidth="1"/>
    <col min="9730" max="9731" width="7.7109375" style="1648" customWidth="1"/>
    <col min="9732" max="9732" width="8.140625" style="1648" customWidth="1"/>
    <col min="9733" max="9733" width="7.5703125" style="1648" customWidth="1"/>
    <col min="9734" max="9734" width="7.42578125" style="1648" customWidth="1"/>
    <col min="9735" max="9735" width="7.5703125" style="1648" customWidth="1"/>
    <col min="9736" max="9736" width="9.28515625" style="1648" customWidth="1"/>
    <col min="9737" max="9741" width="8.140625" style="1648" customWidth="1"/>
    <col min="9742" max="9742" width="10.85546875" style="1648" customWidth="1"/>
    <col min="9743" max="9983" width="9.140625" style="1648"/>
    <col min="9984" max="9984" width="4.140625" style="1648" customWidth="1"/>
    <col min="9985" max="9985" width="26.7109375" style="1648" customWidth="1"/>
    <col min="9986" max="9987" width="7.7109375" style="1648" customWidth="1"/>
    <col min="9988" max="9988" width="8.140625" style="1648" customWidth="1"/>
    <col min="9989" max="9989" width="7.5703125" style="1648" customWidth="1"/>
    <col min="9990" max="9990" width="7.42578125" style="1648" customWidth="1"/>
    <col min="9991" max="9991" width="7.5703125" style="1648" customWidth="1"/>
    <col min="9992" max="9992" width="9.28515625" style="1648" customWidth="1"/>
    <col min="9993" max="9997" width="8.140625" style="1648" customWidth="1"/>
    <col min="9998" max="9998" width="10.85546875" style="1648" customWidth="1"/>
    <col min="9999" max="10239" width="9.140625" style="1648"/>
    <col min="10240" max="10240" width="4.140625" style="1648" customWidth="1"/>
    <col min="10241" max="10241" width="26.7109375" style="1648" customWidth="1"/>
    <col min="10242" max="10243" width="7.7109375" style="1648" customWidth="1"/>
    <col min="10244" max="10244" width="8.140625" style="1648" customWidth="1"/>
    <col min="10245" max="10245" width="7.5703125" style="1648" customWidth="1"/>
    <col min="10246" max="10246" width="7.42578125" style="1648" customWidth="1"/>
    <col min="10247" max="10247" width="7.5703125" style="1648" customWidth="1"/>
    <col min="10248" max="10248" width="9.28515625" style="1648" customWidth="1"/>
    <col min="10249" max="10253" width="8.140625" style="1648" customWidth="1"/>
    <col min="10254" max="10254" width="10.85546875" style="1648" customWidth="1"/>
    <col min="10255" max="10495" width="9.140625" style="1648"/>
    <col min="10496" max="10496" width="4.140625" style="1648" customWidth="1"/>
    <col min="10497" max="10497" width="26.7109375" style="1648" customWidth="1"/>
    <col min="10498" max="10499" width="7.7109375" style="1648" customWidth="1"/>
    <col min="10500" max="10500" width="8.140625" style="1648" customWidth="1"/>
    <col min="10501" max="10501" width="7.5703125" style="1648" customWidth="1"/>
    <col min="10502" max="10502" width="7.42578125" style="1648" customWidth="1"/>
    <col min="10503" max="10503" width="7.5703125" style="1648" customWidth="1"/>
    <col min="10504" max="10504" width="9.28515625" style="1648" customWidth="1"/>
    <col min="10505" max="10509" width="8.140625" style="1648" customWidth="1"/>
    <col min="10510" max="10510" width="10.85546875" style="1648" customWidth="1"/>
    <col min="10511" max="10751" width="9.140625" style="1648"/>
    <col min="10752" max="10752" width="4.140625" style="1648" customWidth="1"/>
    <col min="10753" max="10753" width="26.7109375" style="1648" customWidth="1"/>
    <col min="10754" max="10755" width="7.7109375" style="1648" customWidth="1"/>
    <col min="10756" max="10756" width="8.140625" style="1648" customWidth="1"/>
    <col min="10757" max="10757" width="7.5703125" style="1648" customWidth="1"/>
    <col min="10758" max="10758" width="7.42578125" style="1648" customWidth="1"/>
    <col min="10759" max="10759" width="7.5703125" style="1648" customWidth="1"/>
    <col min="10760" max="10760" width="9.28515625" style="1648" customWidth="1"/>
    <col min="10761" max="10765" width="8.140625" style="1648" customWidth="1"/>
    <col min="10766" max="10766" width="10.85546875" style="1648" customWidth="1"/>
    <col min="10767" max="11007" width="9.140625" style="1648"/>
    <col min="11008" max="11008" width="4.140625" style="1648" customWidth="1"/>
    <col min="11009" max="11009" width="26.7109375" style="1648" customWidth="1"/>
    <col min="11010" max="11011" width="7.7109375" style="1648" customWidth="1"/>
    <col min="11012" max="11012" width="8.140625" style="1648" customWidth="1"/>
    <col min="11013" max="11013" width="7.5703125" style="1648" customWidth="1"/>
    <col min="11014" max="11014" width="7.42578125" style="1648" customWidth="1"/>
    <col min="11015" max="11015" width="7.5703125" style="1648" customWidth="1"/>
    <col min="11016" max="11016" width="9.28515625" style="1648" customWidth="1"/>
    <col min="11017" max="11021" width="8.140625" style="1648" customWidth="1"/>
    <col min="11022" max="11022" width="10.85546875" style="1648" customWidth="1"/>
    <col min="11023" max="11263" width="9.140625" style="1648"/>
    <col min="11264" max="11264" width="4.140625" style="1648" customWidth="1"/>
    <col min="11265" max="11265" width="26.7109375" style="1648" customWidth="1"/>
    <col min="11266" max="11267" width="7.7109375" style="1648" customWidth="1"/>
    <col min="11268" max="11268" width="8.140625" style="1648" customWidth="1"/>
    <col min="11269" max="11269" width="7.5703125" style="1648" customWidth="1"/>
    <col min="11270" max="11270" width="7.42578125" style="1648" customWidth="1"/>
    <col min="11271" max="11271" width="7.5703125" style="1648" customWidth="1"/>
    <col min="11272" max="11272" width="9.28515625" style="1648" customWidth="1"/>
    <col min="11273" max="11277" width="8.140625" style="1648" customWidth="1"/>
    <col min="11278" max="11278" width="10.85546875" style="1648" customWidth="1"/>
    <col min="11279" max="11519" width="9.140625" style="1648"/>
    <col min="11520" max="11520" width="4.140625" style="1648" customWidth="1"/>
    <col min="11521" max="11521" width="26.7109375" style="1648" customWidth="1"/>
    <col min="11522" max="11523" width="7.7109375" style="1648" customWidth="1"/>
    <col min="11524" max="11524" width="8.140625" style="1648" customWidth="1"/>
    <col min="11525" max="11525" width="7.5703125" style="1648" customWidth="1"/>
    <col min="11526" max="11526" width="7.42578125" style="1648" customWidth="1"/>
    <col min="11527" max="11527" width="7.5703125" style="1648" customWidth="1"/>
    <col min="11528" max="11528" width="9.28515625" style="1648" customWidth="1"/>
    <col min="11529" max="11533" width="8.140625" style="1648" customWidth="1"/>
    <col min="11534" max="11534" width="10.85546875" style="1648" customWidth="1"/>
    <col min="11535" max="11775" width="9.140625" style="1648"/>
    <col min="11776" max="11776" width="4.140625" style="1648" customWidth="1"/>
    <col min="11777" max="11777" width="26.7109375" style="1648" customWidth="1"/>
    <col min="11778" max="11779" width="7.7109375" style="1648" customWidth="1"/>
    <col min="11780" max="11780" width="8.140625" style="1648" customWidth="1"/>
    <col min="11781" max="11781" width="7.5703125" style="1648" customWidth="1"/>
    <col min="11782" max="11782" width="7.42578125" style="1648" customWidth="1"/>
    <col min="11783" max="11783" width="7.5703125" style="1648" customWidth="1"/>
    <col min="11784" max="11784" width="9.28515625" style="1648" customWidth="1"/>
    <col min="11785" max="11789" width="8.140625" style="1648" customWidth="1"/>
    <col min="11790" max="11790" width="10.85546875" style="1648" customWidth="1"/>
    <col min="11791" max="12031" width="9.140625" style="1648"/>
    <col min="12032" max="12032" width="4.140625" style="1648" customWidth="1"/>
    <col min="12033" max="12033" width="26.7109375" style="1648" customWidth="1"/>
    <col min="12034" max="12035" width="7.7109375" style="1648" customWidth="1"/>
    <col min="12036" max="12036" width="8.140625" style="1648" customWidth="1"/>
    <col min="12037" max="12037" width="7.5703125" style="1648" customWidth="1"/>
    <col min="12038" max="12038" width="7.42578125" style="1648" customWidth="1"/>
    <col min="12039" max="12039" width="7.5703125" style="1648" customWidth="1"/>
    <col min="12040" max="12040" width="9.28515625" style="1648" customWidth="1"/>
    <col min="12041" max="12045" width="8.140625" style="1648" customWidth="1"/>
    <col min="12046" max="12046" width="10.85546875" style="1648" customWidth="1"/>
    <col min="12047" max="12287" width="9.140625" style="1648"/>
    <col min="12288" max="12288" width="4.140625" style="1648" customWidth="1"/>
    <col min="12289" max="12289" width="26.7109375" style="1648" customWidth="1"/>
    <col min="12290" max="12291" width="7.7109375" style="1648" customWidth="1"/>
    <col min="12292" max="12292" width="8.140625" style="1648" customWidth="1"/>
    <col min="12293" max="12293" width="7.5703125" style="1648" customWidth="1"/>
    <col min="12294" max="12294" width="7.42578125" style="1648" customWidth="1"/>
    <col min="12295" max="12295" width="7.5703125" style="1648" customWidth="1"/>
    <col min="12296" max="12296" width="9.28515625" style="1648" customWidth="1"/>
    <col min="12297" max="12301" width="8.140625" style="1648" customWidth="1"/>
    <col min="12302" max="12302" width="10.85546875" style="1648" customWidth="1"/>
    <col min="12303" max="12543" width="9.140625" style="1648"/>
    <col min="12544" max="12544" width="4.140625" style="1648" customWidth="1"/>
    <col min="12545" max="12545" width="26.7109375" style="1648" customWidth="1"/>
    <col min="12546" max="12547" width="7.7109375" style="1648" customWidth="1"/>
    <col min="12548" max="12548" width="8.140625" style="1648" customWidth="1"/>
    <col min="12549" max="12549" width="7.5703125" style="1648" customWidth="1"/>
    <col min="12550" max="12550" width="7.42578125" style="1648" customWidth="1"/>
    <col min="12551" max="12551" width="7.5703125" style="1648" customWidth="1"/>
    <col min="12552" max="12552" width="9.28515625" style="1648" customWidth="1"/>
    <col min="12553" max="12557" width="8.140625" style="1648" customWidth="1"/>
    <col min="12558" max="12558" width="10.85546875" style="1648" customWidth="1"/>
    <col min="12559" max="12799" width="9.140625" style="1648"/>
    <col min="12800" max="12800" width="4.140625" style="1648" customWidth="1"/>
    <col min="12801" max="12801" width="26.7109375" style="1648" customWidth="1"/>
    <col min="12802" max="12803" width="7.7109375" style="1648" customWidth="1"/>
    <col min="12804" max="12804" width="8.140625" style="1648" customWidth="1"/>
    <col min="12805" max="12805" width="7.5703125" style="1648" customWidth="1"/>
    <col min="12806" max="12806" width="7.42578125" style="1648" customWidth="1"/>
    <col min="12807" max="12807" width="7.5703125" style="1648" customWidth="1"/>
    <col min="12808" max="12808" width="9.28515625" style="1648" customWidth="1"/>
    <col min="12809" max="12813" width="8.140625" style="1648" customWidth="1"/>
    <col min="12814" max="12814" width="10.85546875" style="1648" customWidth="1"/>
    <col min="12815" max="13055" width="9.140625" style="1648"/>
    <col min="13056" max="13056" width="4.140625" style="1648" customWidth="1"/>
    <col min="13057" max="13057" width="26.7109375" style="1648" customWidth="1"/>
    <col min="13058" max="13059" width="7.7109375" style="1648" customWidth="1"/>
    <col min="13060" max="13060" width="8.140625" style="1648" customWidth="1"/>
    <col min="13061" max="13061" width="7.5703125" style="1648" customWidth="1"/>
    <col min="13062" max="13062" width="7.42578125" style="1648" customWidth="1"/>
    <col min="13063" max="13063" width="7.5703125" style="1648" customWidth="1"/>
    <col min="13064" max="13064" width="9.28515625" style="1648" customWidth="1"/>
    <col min="13065" max="13069" width="8.140625" style="1648" customWidth="1"/>
    <col min="13070" max="13070" width="10.85546875" style="1648" customWidth="1"/>
    <col min="13071" max="13311" width="9.140625" style="1648"/>
    <col min="13312" max="13312" width="4.140625" style="1648" customWidth="1"/>
    <col min="13313" max="13313" width="26.7109375" style="1648" customWidth="1"/>
    <col min="13314" max="13315" width="7.7109375" style="1648" customWidth="1"/>
    <col min="13316" max="13316" width="8.140625" style="1648" customWidth="1"/>
    <col min="13317" max="13317" width="7.5703125" style="1648" customWidth="1"/>
    <col min="13318" max="13318" width="7.42578125" style="1648" customWidth="1"/>
    <col min="13319" max="13319" width="7.5703125" style="1648" customWidth="1"/>
    <col min="13320" max="13320" width="9.28515625" style="1648" customWidth="1"/>
    <col min="13321" max="13325" width="8.140625" style="1648" customWidth="1"/>
    <col min="13326" max="13326" width="10.85546875" style="1648" customWidth="1"/>
    <col min="13327" max="13567" width="9.140625" style="1648"/>
    <col min="13568" max="13568" width="4.140625" style="1648" customWidth="1"/>
    <col min="13569" max="13569" width="26.7109375" style="1648" customWidth="1"/>
    <col min="13570" max="13571" width="7.7109375" style="1648" customWidth="1"/>
    <col min="13572" max="13572" width="8.140625" style="1648" customWidth="1"/>
    <col min="13573" max="13573" width="7.5703125" style="1648" customWidth="1"/>
    <col min="13574" max="13574" width="7.42578125" style="1648" customWidth="1"/>
    <col min="13575" max="13575" width="7.5703125" style="1648" customWidth="1"/>
    <col min="13576" max="13576" width="9.28515625" style="1648" customWidth="1"/>
    <col min="13577" max="13581" width="8.140625" style="1648" customWidth="1"/>
    <col min="13582" max="13582" width="10.85546875" style="1648" customWidth="1"/>
    <col min="13583" max="13823" width="9.140625" style="1648"/>
    <col min="13824" max="13824" width="4.140625" style="1648" customWidth="1"/>
    <col min="13825" max="13825" width="26.7109375" style="1648" customWidth="1"/>
    <col min="13826" max="13827" width="7.7109375" style="1648" customWidth="1"/>
    <col min="13828" max="13828" width="8.140625" style="1648" customWidth="1"/>
    <col min="13829" max="13829" width="7.5703125" style="1648" customWidth="1"/>
    <col min="13830" max="13830" width="7.42578125" style="1648" customWidth="1"/>
    <col min="13831" max="13831" width="7.5703125" style="1648" customWidth="1"/>
    <col min="13832" max="13832" width="9.28515625" style="1648" customWidth="1"/>
    <col min="13833" max="13837" width="8.140625" style="1648" customWidth="1"/>
    <col min="13838" max="13838" width="10.85546875" style="1648" customWidth="1"/>
    <col min="13839" max="14079" width="9.140625" style="1648"/>
    <col min="14080" max="14080" width="4.140625" style="1648" customWidth="1"/>
    <col min="14081" max="14081" width="26.7109375" style="1648" customWidth="1"/>
    <col min="14082" max="14083" width="7.7109375" style="1648" customWidth="1"/>
    <col min="14084" max="14084" width="8.140625" style="1648" customWidth="1"/>
    <col min="14085" max="14085" width="7.5703125" style="1648" customWidth="1"/>
    <col min="14086" max="14086" width="7.42578125" style="1648" customWidth="1"/>
    <col min="14087" max="14087" width="7.5703125" style="1648" customWidth="1"/>
    <col min="14088" max="14088" width="9.28515625" style="1648" customWidth="1"/>
    <col min="14089" max="14093" width="8.140625" style="1648" customWidth="1"/>
    <col min="14094" max="14094" width="10.85546875" style="1648" customWidth="1"/>
    <col min="14095" max="14335" width="9.140625" style="1648"/>
    <col min="14336" max="14336" width="4.140625" style="1648" customWidth="1"/>
    <col min="14337" max="14337" width="26.7109375" style="1648" customWidth="1"/>
    <col min="14338" max="14339" width="7.7109375" style="1648" customWidth="1"/>
    <col min="14340" max="14340" width="8.140625" style="1648" customWidth="1"/>
    <col min="14341" max="14341" width="7.5703125" style="1648" customWidth="1"/>
    <col min="14342" max="14342" width="7.42578125" style="1648" customWidth="1"/>
    <col min="14343" max="14343" width="7.5703125" style="1648" customWidth="1"/>
    <col min="14344" max="14344" width="9.28515625" style="1648" customWidth="1"/>
    <col min="14345" max="14349" width="8.140625" style="1648" customWidth="1"/>
    <col min="14350" max="14350" width="10.85546875" style="1648" customWidth="1"/>
    <col min="14351" max="14591" width="9.140625" style="1648"/>
    <col min="14592" max="14592" width="4.140625" style="1648" customWidth="1"/>
    <col min="14593" max="14593" width="26.7109375" style="1648" customWidth="1"/>
    <col min="14594" max="14595" width="7.7109375" style="1648" customWidth="1"/>
    <col min="14596" max="14596" width="8.140625" style="1648" customWidth="1"/>
    <col min="14597" max="14597" width="7.5703125" style="1648" customWidth="1"/>
    <col min="14598" max="14598" width="7.42578125" style="1648" customWidth="1"/>
    <col min="14599" max="14599" width="7.5703125" style="1648" customWidth="1"/>
    <col min="14600" max="14600" width="9.28515625" style="1648" customWidth="1"/>
    <col min="14601" max="14605" width="8.140625" style="1648" customWidth="1"/>
    <col min="14606" max="14606" width="10.85546875" style="1648" customWidth="1"/>
    <col min="14607" max="14847" width="9.140625" style="1648"/>
    <col min="14848" max="14848" width="4.140625" style="1648" customWidth="1"/>
    <col min="14849" max="14849" width="26.7109375" style="1648" customWidth="1"/>
    <col min="14850" max="14851" width="7.7109375" style="1648" customWidth="1"/>
    <col min="14852" max="14852" width="8.140625" style="1648" customWidth="1"/>
    <col min="14853" max="14853" width="7.5703125" style="1648" customWidth="1"/>
    <col min="14854" max="14854" width="7.42578125" style="1648" customWidth="1"/>
    <col min="14855" max="14855" width="7.5703125" style="1648" customWidth="1"/>
    <col min="14856" max="14856" width="9.28515625" style="1648" customWidth="1"/>
    <col min="14857" max="14861" width="8.140625" style="1648" customWidth="1"/>
    <col min="14862" max="14862" width="10.85546875" style="1648" customWidth="1"/>
    <col min="14863" max="15103" width="9.140625" style="1648"/>
    <col min="15104" max="15104" width="4.140625" style="1648" customWidth="1"/>
    <col min="15105" max="15105" width="26.7109375" style="1648" customWidth="1"/>
    <col min="15106" max="15107" width="7.7109375" style="1648" customWidth="1"/>
    <col min="15108" max="15108" width="8.140625" style="1648" customWidth="1"/>
    <col min="15109" max="15109" width="7.5703125" style="1648" customWidth="1"/>
    <col min="15110" max="15110" width="7.42578125" style="1648" customWidth="1"/>
    <col min="15111" max="15111" width="7.5703125" style="1648" customWidth="1"/>
    <col min="15112" max="15112" width="9.28515625" style="1648" customWidth="1"/>
    <col min="15113" max="15117" width="8.140625" style="1648" customWidth="1"/>
    <col min="15118" max="15118" width="10.85546875" style="1648" customWidth="1"/>
    <col min="15119" max="15359" width="9.140625" style="1648"/>
    <col min="15360" max="15360" width="4.140625" style="1648" customWidth="1"/>
    <col min="15361" max="15361" width="26.7109375" style="1648" customWidth="1"/>
    <col min="15362" max="15363" width="7.7109375" style="1648" customWidth="1"/>
    <col min="15364" max="15364" width="8.140625" style="1648" customWidth="1"/>
    <col min="15365" max="15365" width="7.5703125" style="1648" customWidth="1"/>
    <col min="15366" max="15366" width="7.42578125" style="1648" customWidth="1"/>
    <col min="15367" max="15367" width="7.5703125" style="1648" customWidth="1"/>
    <col min="15368" max="15368" width="9.28515625" style="1648" customWidth="1"/>
    <col min="15369" max="15373" width="8.140625" style="1648" customWidth="1"/>
    <col min="15374" max="15374" width="10.85546875" style="1648" customWidth="1"/>
    <col min="15375" max="15615" width="9.140625" style="1648"/>
    <col min="15616" max="15616" width="4.140625" style="1648" customWidth="1"/>
    <col min="15617" max="15617" width="26.7109375" style="1648" customWidth="1"/>
    <col min="15618" max="15619" width="7.7109375" style="1648" customWidth="1"/>
    <col min="15620" max="15620" width="8.140625" style="1648" customWidth="1"/>
    <col min="15621" max="15621" width="7.5703125" style="1648" customWidth="1"/>
    <col min="15622" max="15622" width="7.42578125" style="1648" customWidth="1"/>
    <col min="15623" max="15623" width="7.5703125" style="1648" customWidth="1"/>
    <col min="15624" max="15624" width="9.28515625" style="1648" customWidth="1"/>
    <col min="15625" max="15629" width="8.140625" style="1648" customWidth="1"/>
    <col min="15630" max="15630" width="10.85546875" style="1648" customWidth="1"/>
    <col min="15631" max="15871" width="9.140625" style="1648"/>
    <col min="15872" max="15872" width="4.140625" style="1648" customWidth="1"/>
    <col min="15873" max="15873" width="26.7109375" style="1648" customWidth="1"/>
    <col min="15874" max="15875" width="7.7109375" style="1648" customWidth="1"/>
    <col min="15876" max="15876" width="8.140625" style="1648" customWidth="1"/>
    <col min="15877" max="15877" width="7.5703125" style="1648" customWidth="1"/>
    <col min="15878" max="15878" width="7.42578125" style="1648" customWidth="1"/>
    <col min="15879" max="15879" width="7.5703125" style="1648" customWidth="1"/>
    <col min="15880" max="15880" width="9.28515625" style="1648" customWidth="1"/>
    <col min="15881" max="15885" width="8.140625" style="1648" customWidth="1"/>
    <col min="15886" max="15886" width="10.85546875" style="1648" customWidth="1"/>
    <col min="15887" max="16127" width="9.140625" style="1648"/>
    <col min="16128" max="16128" width="4.140625" style="1648" customWidth="1"/>
    <col min="16129" max="16129" width="26.7109375" style="1648" customWidth="1"/>
    <col min="16130" max="16131" width="7.7109375" style="1648" customWidth="1"/>
    <col min="16132" max="16132" width="8.140625" style="1648" customWidth="1"/>
    <col min="16133" max="16133" width="7.5703125" style="1648" customWidth="1"/>
    <col min="16134" max="16134" width="7.42578125" style="1648" customWidth="1"/>
    <col min="16135" max="16135" width="7.5703125" style="1648" customWidth="1"/>
    <col min="16136" max="16136" width="9.28515625" style="1648" customWidth="1"/>
    <col min="16137" max="16141" width="8.140625" style="1648" customWidth="1"/>
    <col min="16142" max="16142" width="10.85546875" style="1648" customWidth="1"/>
    <col min="16143" max="16384" width="9.140625" style="1648"/>
  </cols>
  <sheetData>
    <row r="1" spans="1:15" ht="31.5" customHeight="1">
      <c r="A1" s="1915" t="s">
        <v>1231</v>
      </c>
      <c r="B1" s="1916"/>
      <c r="C1" s="1916"/>
      <c r="D1" s="1916"/>
      <c r="E1" s="1916"/>
      <c r="F1" s="1916"/>
      <c r="G1" s="1916"/>
      <c r="H1" s="1916"/>
      <c r="I1" s="1916"/>
      <c r="J1" s="1916"/>
      <c r="K1" s="1916"/>
      <c r="L1" s="1916"/>
      <c r="M1" s="1916"/>
      <c r="N1" s="1916"/>
      <c r="O1" s="1916"/>
    </row>
    <row r="2" spans="1:15">
      <c r="A2" s="1917" t="s">
        <v>1210</v>
      </c>
      <c r="B2" s="1918"/>
      <c r="C2" s="1918"/>
      <c r="D2" s="1918"/>
      <c r="E2" s="1918"/>
      <c r="F2" s="1918"/>
      <c r="G2" s="1918"/>
      <c r="H2" s="1918"/>
      <c r="I2" s="1918"/>
      <c r="J2" s="1918"/>
      <c r="K2" s="1918"/>
      <c r="L2" s="1918"/>
      <c r="M2" s="1918"/>
      <c r="N2" s="1918"/>
      <c r="O2" s="1918"/>
    </row>
    <row r="3" spans="1:15" s="1649" customFormat="1" ht="26.1" customHeight="1" thickBot="1">
      <c r="B3" s="1648"/>
      <c r="C3" s="1648"/>
      <c r="D3" s="1648"/>
      <c r="E3" s="1648"/>
      <c r="F3" s="1648"/>
      <c r="G3" s="1648"/>
      <c r="H3" s="1648"/>
      <c r="I3" s="1648"/>
      <c r="J3" s="1648"/>
      <c r="K3" s="1648"/>
      <c r="L3" s="1648"/>
      <c r="M3" s="1648"/>
      <c r="N3" s="1648"/>
      <c r="O3" s="1650" t="s">
        <v>1232</v>
      </c>
    </row>
    <row r="4" spans="1:15" s="1654" customFormat="1" ht="15" customHeight="1" thickBot="1">
      <c r="A4" s="1651" t="s">
        <v>1090</v>
      </c>
      <c r="B4" s="1652" t="s">
        <v>682</v>
      </c>
      <c r="C4" s="1652" t="s">
        <v>1211</v>
      </c>
      <c r="D4" s="1652" t="s">
        <v>1212</v>
      </c>
      <c r="E4" s="1652" t="s">
        <v>1213</v>
      </c>
      <c r="F4" s="1652" t="s">
        <v>1214</v>
      </c>
      <c r="G4" s="1652" t="s">
        <v>1215</v>
      </c>
      <c r="H4" s="1652" t="s">
        <v>1216</v>
      </c>
      <c r="I4" s="1652" t="s">
        <v>1217</v>
      </c>
      <c r="J4" s="1652" t="s">
        <v>1218</v>
      </c>
      <c r="K4" s="1652" t="s">
        <v>1219</v>
      </c>
      <c r="L4" s="1652" t="s">
        <v>1220</v>
      </c>
      <c r="M4" s="1652" t="s">
        <v>1221</v>
      </c>
      <c r="N4" s="1652" t="s">
        <v>1222</v>
      </c>
      <c r="O4" s="1653" t="s">
        <v>1154</v>
      </c>
    </row>
    <row r="5" spans="1:15" s="1654" customFormat="1" ht="16.5" thickBot="1">
      <c r="A5" s="1655"/>
      <c r="B5" s="1898" t="s">
        <v>692</v>
      </c>
      <c r="C5" s="1899"/>
      <c r="D5" s="1899"/>
      <c r="E5" s="1899"/>
      <c r="F5" s="1899"/>
      <c r="G5" s="1899"/>
      <c r="H5" s="1899"/>
      <c r="I5" s="1899"/>
      <c r="J5" s="1899"/>
      <c r="K5" s="1899"/>
      <c r="L5" s="1899"/>
      <c r="M5" s="1899"/>
      <c r="N5" s="1899"/>
      <c r="O5" s="1900"/>
    </row>
    <row r="6" spans="1:15" s="1661" customFormat="1">
      <c r="A6" s="1656" t="s">
        <v>693</v>
      </c>
      <c r="B6" s="1657" t="s">
        <v>1223</v>
      </c>
      <c r="C6" s="1658">
        <v>43905273</v>
      </c>
      <c r="D6" s="1659">
        <f>C16-C27</f>
        <v>37324348</v>
      </c>
      <c r="E6" s="1659">
        <f t="shared" ref="E6:N6" si="0">D16-D27</f>
        <v>15266215</v>
      </c>
      <c r="F6" s="1659">
        <f t="shared" si="0"/>
        <v>33798249</v>
      </c>
      <c r="G6" s="1659">
        <f t="shared" si="0"/>
        <v>67048616</v>
      </c>
      <c r="H6" s="1659">
        <f t="shared" si="0"/>
        <v>88580650</v>
      </c>
      <c r="I6" s="1659">
        <f t="shared" si="0"/>
        <v>85831017</v>
      </c>
      <c r="J6" s="1659">
        <f t="shared" si="0"/>
        <v>83986380</v>
      </c>
      <c r="K6" s="1659">
        <f t="shared" si="0"/>
        <v>80236747</v>
      </c>
      <c r="L6" s="1659">
        <f t="shared" si="0"/>
        <v>102369113</v>
      </c>
      <c r="M6" s="1659">
        <f t="shared" si="0"/>
        <v>96998650</v>
      </c>
      <c r="N6" s="1659">
        <f t="shared" si="0"/>
        <v>94249017</v>
      </c>
      <c r="O6" s="1660" t="s">
        <v>1224</v>
      </c>
    </row>
    <row r="7" spans="1:15" s="1661" customFormat="1" ht="22.5">
      <c r="A7" s="1662" t="s">
        <v>707</v>
      </c>
      <c r="B7" s="1663" t="s">
        <v>1008</v>
      </c>
      <c r="C7" s="1664">
        <v>13672457</v>
      </c>
      <c r="D7" s="1664">
        <v>13672457</v>
      </c>
      <c r="E7" s="1664">
        <v>13672457</v>
      </c>
      <c r="F7" s="1664">
        <v>13672457</v>
      </c>
      <c r="G7" s="1664">
        <v>13672457</v>
      </c>
      <c r="H7" s="1664">
        <v>13672457</v>
      </c>
      <c r="I7" s="1664">
        <v>13672457</v>
      </c>
      <c r="J7" s="1664">
        <v>13672457</v>
      </c>
      <c r="K7" s="1664">
        <v>13672457</v>
      </c>
      <c r="L7" s="1664">
        <v>13672457</v>
      </c>
      <c r="M7" s="1664">
        <v>13672457</v>
      </c>
      <c r="N7" s="1664">
        <f>13672457-1</f>
        <v>13672456</v>
      </c>
      <c r="O7" s="1665">
        <f t="shared" ref="O7:O15" si="1">SUM(C7:N7)</f>
        <v>164069483</v>
      </c>
    </row>
    <row r="8" spans="1:15" s="1661" customFormat="1" ht="14.1" customHeight="1">
      <c r="A8" s="1662" t="s">
        <v>721</v>
      </c>
      <c r="B8" s="1663" t="s">
        <v>1225</v>
      </c>
      <c r="C8" s="1664">
        <v>519583</v>
      </c>
      <c r="D8" s="1664">
        <v>519583</v>
      </c>
      <c r="E8" s="1664">
        <v>519583</v>
      </c>
      <c r="F8" s="1664">
        <v>519583</v>
      </c>
      <c r="G8" s="1664">
        <v>519583</v>
      </c>
      <c r="H8" s="1664">
        <v>519583</v>
      </c>
      <c r="I8" s="1664">
        <v>519583</v>
      </c>
      <c r="J8" s="1664">
        <v>519583</v>
      </c>
      <c r="K8" s="1664">
        <v>519583</v>
      </c>
      <c r="L8" s="1664">
        <v>519583</v>
      </c>
      <c r="M8" s="1664">
        <v>519583</v>
      </c>
      <c r="N8" s="1664">
        <f>519583+4</f>
        <v>519587</v>
      </c>
      <c r="O8" s="1665">
        <f t="shared" si="1"/>
        <v>6235000</v>
      </c>
    </row>
    <row r="9" spans="1:15" s="1661" customFormat="1" ht="14.1" customHeight="1">
      <c r="A9" s="1662" t="s">
        <v>897</v>
      </c>
      <c r="B9" s="1666" t="s">
        <v>1226</v>
      </c>
      <c r="C9" s="1667"/>
      <c r="D9" s="1667"/>
      <c r="E9" s="1667"/>
      <c r="F9" s="1667"/>
      <c r="G9" s="1667"/>
      <c r="H9" s="1667"/>
      <c r="I9" s="1667"/>
      <c r="J9" s="1667"/>
      <c r="K9" s="1667"/>
      <c r="L9" s="1667"/>
      <c r="M9" s="1667"/>
      <c r="N9" s="1667"/>
      <c r="O9" s="1665">
        <f t="shared" si="1"/>
        <v>0</v>
      </c>
    </row>
    <row r="10" spans="1:15" s="1661" customFormat="1" ht="14.1" customHeight="1">
      <c r="A10" s="1662" t="s">
        <v>750</v>
      </c>
      <c r="B10" s="1668" t="s">
        <v>282</v>
      </c>
      <c r="C10" s="1664"/>
      <c r="D10" s="1664"/>
      <c r="E10" s="1664">
        <v>24281667</v>
      </c>
      <c r="F10" s="1664"/>
      <c r="G10" s="1664">
        <v>24281667</v>
      </c>
      <c r="H10" s="1664"/>
      <c r="I10" s="1664"/>
      <c r="J10" s="1664"/>
      <c r="K10" s="1664">
        <v>24281666</v>
      </c>
      <c r="L10" s="1664"/>
      <c r="M10" s="1664"/>
      <c r="N10" s="1664"/>
      <c r="O10" s="1665">
        <f t="shared" si="1"/>
        <v>72845000</v>
      </c>
    </row>
    <row r="11" spans="1:15" s="1661" customFormat="1" ht="14.1" customHeight="1">
      <c r="A11" s="1662" t="s">
        <v>772</v>
      </c>
      <c r="B11" s="1668" t="s">
        <v>89</v>
      </c>
      <c r="C11" s="1664">
        <v>7398450</v>
      </c>
      <c r="D11" s="1664">
        <v>7398450</v>
      </c>
      <c r="E11" s="1664">
        <v>7398450</v>
      </c>
      <c r="F11" s="1664">
        <v>7398450</v>
      </c>
      <c r="G11" s="1664">
        <v>7398450</v>
      </c>
      <c r="H11" s="1664">
        <v>7398450</v>
      </c>
      <c r="I11" s="1664">
        <v>7398450</v>
      </c>
      <c r="J11" s="1664">
        <v>7398450</v>
      </c>
      <c r="K11" s="1664">
        <v>7398450</v>
      </c>
      <c r="L11" s="1664">
        <v>7398450</v>
      </c>
      <c r="M11" s="1664">
        <v>7398450</v>
      </c>
      <c r="N11" s="1664">
        <v>7398450</v>
      </c>
      <c r="O11" s="1665">
        <f t="shared" si="1"/>
        <v>88781400</v>
      </c>
    </row>
    <row r="12" spans="1:15" s="1661" customFormat="1">
      <c r="A12" s="1662" t="s">
        <v>908</v>
      </c>
      <c r="B12" s="1668" t="s">
        <v>168</v>
      </c>
      <c r="C12" s="1664"/>
      <c r="D12" s="1664"/>
      <c r="E12" s="1664"/>
      <c r="F12" s="1664">
        <v>35000000</v>
      </c>
      <c r="G12" s="1664"/>
      <c r="H12" s="1664"/>
      <c r="I12" s="1664"/>
      <c r="J12" s="1664"/>
      <c r="K12" s="1664"/>
      <c r="L12" s="1664"/>
      <c r="M12" s="1664"/>
      <c r="N12" s="1664"/>
      <c r="O12" s="1665">
        <f t="shared" si="1"/>
        <v>35000000</v>
      </c>
    </row>
    <row r="13" spans="1:15" s="1661" customFormat="1" ht="14.1" customHeight="1">
      <c r="A13" s="1662" t="s">
        <v>793</v>
      </c>
      <c r="B13" s="1668" t="s">
        <v>983</v>
      </c>
      <c r="C13" s="1664"/>
      <c r="D13" s="1664"/>
      <c r="E13" s="1664"/>
      <c r="F13" s="1664"/>
      <c r="G13" s="1664"/>
      <c r="H13" s="1664"/>
      <c r="I13" s="1664"/>
      <c r="J13" s="1664"/>
      <c r="K13" s="1664"/>
      <c r="L13" s="1664"/>
      <c r="M13" s="1664"/>
      <c r="N13" s="1664"/>
      <c r="O13" s="1665">
        <f t="shared" si="1"/>
        <v>0</v>
      </c>
    </row>
    <row r="14" spans="1:15" s="1654" customFormat="1" ht="15.95" customHeight="1">
      <c r="A14" s="1662" t="s">
        <v>803</v>
      </c>
      <c r="B14" s="1663" t="s">
        <v>984</v>
      </c>
      <c r="C14" s="1664"/>
      <c r="D14" s="1664"/>
      <c r="E14" s="1664"/>
      <c r="F14" s="1664"/>
      <c r="G14" s="1664"/>
      <c r="H14" s="1664"/>
      <c r="I14" s="1664"/>
      <c r="J14" s="1664"/>
      <c r="K14" s="1664"/>
      <c r="L14" s="1664"/>
      <c r="M14" s="1664"/>
      <c r="N14" s="1664"/>
      <c r="O14" s="1665">
        <f t="shared" si="1"/>
        <v>0</v>
      </c>
    </row>
    <row r="15" spans="1:15" s="1654" customFormat="1" ht="15" customHeight="1" thickBot="1">
      <c r="A15" s="1662" t="s">
        <v>920</v>
      </c>
      <c r="B15" s="1668" t="s">
        <v>151</v>
      </c>
      <c r="C15" s="1664"/>
      <c r="D15" s="1664"/>
      <c r="E15" s="1664"/>
      <c r="F15" s="1664"/>
      <c r="G15" s="1664"/>
      <c r="H15" s="1664"/>
      <c r="I15" s="1664"/>
      <c r="J15" s="1664"/>
      <c r="K15" s="1664"/>
      <c r="L15" s="1664"/>
      <c r="M15" s="1664"/>
      <c r="N15" s="1664"/>
      <c r="O15" s="1665">
        <f t="shared" si="1"/>
        <v>0</v>
      </c>
    </row>
    <row r="16" spans="1:15" s="1661" customFormat="1" ht="14.1" customHeight="1" thickBot="1">
      <c r="A16" s="1655" t="s">
        <v>1014</v>
      </c>
      <c r="B16" s="1669" t="s">
        <v>1227</v>
      </c>
      <c r="C16" s="1670">
        <f t="shared" ref="C16:N16" si="2">SUM(C6:C15)</f>
        <v>65495763</v>
      </c>
      <c r="D16" s="1670">
        <f t="shared" si="2"/>
        <v>58914838</v>
      </c>
      <c r="E16" s="1670">
        <f t="shared" si="2"/>
        <v>61138372</v>
      </c>
      <c r="F16" s="1670">
        <f t="shared" si="2"/>
        <v>90388739</v>
      </c>
      <c r="G16" s="1670">
        <f t="shared" si="2"/>
        <v>112920773</v>
      </c>
      <c r="H16" s="1670">
        <f t="shared" si="2"/>
        <v>110171140</v>
      </c>
      <c r="I16" s="1670">
        <f t="shared" si="2"/>
        <v>107421507</v>
      </c>
      <c r="J16" s="1670">
        <f t="shared" si="2"/>
        <v>105576870</v>
      </c>
      <c r="K16" s="1670">
        <f t="shared" si="2"/>
        <v>126108903</v>
      </c>
      <c r="L16" s="1670">
        <f t="shared" si="2"/>
        <v>123959603</v>
      </c>
      <c r="M16" s="1670">
        <f t="shared" si="2"/>
        <v>118589140</v>
      </c>
      <c r="N16" s="1670">
        <f t="shared" si="2"/>
        <v>115839510</v>
      </c>
      <c r="O16" s="1671">
        <f>C6+O7+O8+O9+O10+O11+O12+O13+O14+O15</f>
        <v>410836156</v>
      </c>
    </row>
    <row r="17" spans="1:15" s="1661" customFormat="1" ht="27" customHeight="1" thickBot="1">
      <c r="A17" s="1655"/>
      <c r="B17" s="1898" t="s">
        <v>853</v>
      </c>
      <c r="C17" s="1919"/>
      <c r="D17" s="1919"/>
      <c r="E17" s="1919"/>
      <c r="F17" s="1919"/>
      <c r="G17" s="1919"/>
      <c r="H17" s="1919"/>
      <c r="I17" s="1919"/>
      <c r="J17" s="1919"/>
      <c r="K17" s="1919"/>
      <c r="L17" s="1919"/>
      <c r="M17" s="1919"/>
      <c r="N17" s="1919"/>
      <c r="O17" s="1920"/>
    </row>
    <row r="18" spans="1:15" s="1661" customFormat="1" ht="14.1" customHeight="1">
      <c r="A18" s="1672" t="s">
        <v>1015</v>
      </c>
      <c r="B18" s="1673" t="s">
        <v>23</v>
      </c>
      <c r="C18" s="1667">
        <v>12348728</v>
      </c>
      <c r="D18" s="1667">
        <v>12348728</v>
      </c>
      <c r="E18" s="1667">
        <v>12348728</v>
      </c>
      <c r="F18" s="1667">
        <v>12348728</v>
      </c>
      <c r="G18" s="1667">
        <v>12348728</v>
      </c>
      <c r="H18" s="1667">
        <v>12348728</v>
      </c>
      <c r="I18" s="1667">
        <v>12348728</v>
      </c>
      <c r="J18" s="1667">
        <v>12348728</v>
      </c>
      <c r="K18" s="1667">
        <v>12348728</v>
      </c>
      <c r="L18" s="1667">
        <v>12348728</v>
      </c>
      <c r="M18" s="1667">
        <v>12348728</v>
      </c>
      <c r="N18" s="1667">
        <f>12348728+4</f>
        <v>12348732</v>
      </c>
      <c r="O18" s="1674">
        <f t="shared" ref="O18:O24" si="3">SUM(C18:N18)</f>
        <v>148184740</v>
      </c>
    </row>
    <row r="19" spans="1:15" s="1661" customFormat="1" ht="27" customHeight="1">
      <c r="A19" s="1662" t="s">
        <v>1016</v>
      </c>
      <c r="B19" s="1663" t="s">
        <v>30</v>
      </c>
      <c r="C19" s="1664">
        <v>2418758</v>
      </c>
      <c r="D19" s="1664">
        <v>2418758</v>
      </c>
      <c r="E19" s="1664">
        <v>2418758</v>
      </c>
      <c r="F19" s="1664">
        <v>2418758</v>
      </c>
      <c r="G19" s="1664">
        <v>2418758</v>
      </c>
      <c r="H19" s="1664">
        <v>2418758</v>
      </c>
      <c r="I19" s="1664">
        <v>2418758</v>
      </c>
      <c r="J19" s="1664">
        <v>2418758</v>
      </c>
      <c r="K19" s="1664">
        <v>2418758</v>
      </c>
      <c r="L19" s="1664">
        <v>2418758</v>
      </c>
      <c r="M19" s="1664">
        <v>2418758</v>
      </c>
      <c r="N19" s="1664">
        <f>2418758+2</f>
        <v>2418760</v>
      </c>
      <c r="O19" s="1665">
        <f t="shared" si="3"/>
        <v>29025098</v>
      </c>
    </row>
    <row r="20" spans="1:15" s="1661" customFormat="1" ht="14.1" customHeight="1">
      <c r="A20" s="1662" t="s">
        <v>1019</v>
      </c>
      <c r="B20" s="1668" t="s">
        <v>59</v>
      </c>
      <c r="C20" s="1664">
        <v>7864471</v>
      </c>
      <c r="D20" s="1664">
        <v>7864471</v>
      </c>
      <c r="E20" s="1664">
        <v>7864471</v>
      </c>
      <c r="F20" s="1664">
        <v>7864471</v>
      </c>
      <c r="G20" s="1664">
        <v>7864471</v>
      </c>
      <c r="H20" s="1664">
        <v>7864471</v>
      </c>
      <c r="I20" s="1664">
        <v>7864471</v>
      </c>
      <c r="J20" s="1664">
        <v>7864471</v>
      </c>
      <c r="K20" s="1664">
        <v>7864471</v>
      </c>
      <c r="L20" s="1664">
        <v>7864471</v>
      </c>
      <c r="M20" s="1664">
        <v>7864471</v>
      </c>
      <c r="N20" s="1664">
        <f>7864471-2</f>
        <v>7864469</v>
      </c>
      <c r="O20" s="1665">
        <f t="shared" si="3"/>
        <v>94373650</v>
      </c>
    </row>
    <row r="21" spans="1:15" s="1661" customFormat="1" ht="14.1" customHeight="1">
      <c r="A21" s="1662" t="s">
        <v>1022</v>
      </c>
      <c r="B21" s="1668" t="s">
        <v>1228</v>
      </c>
      <c r="C21" s="1664"/>
      <c r="D21" s="1664"/>
      <c r="E21" s="1664">
        <v>199833</v>
      </c>
      <c r="F21" s="1664">
        <v>199833</v>
      </c>
      <c r="G21" s="1664">
        <v>199833</v>
      </c>
      <c r="H21" s="1664">
        <v>199833</v>
      </c>
      <c r="I21" s="1664">
        <v>199833</v>
      </c>
      <c r="J21" s="1664">
        <v>199833</v>
      </c>
      <c r="K21" s="1664">
        <v>599500</v>
      </c>
      <c r="L21" s="1664">
        <v>199833</v>
      </c>
      <c r="M21" s="1664">
        <v>199833</v>
      </c>
      <c r="N21" s="1664">
        <f>199833+3</f>
        <v>199836</v>
      </c>
      <c r="O21" s="1665">
        <f t="shared" si="3"/>
        <v>2398000</v>
      </c>
    </row>
    <row r="22" spans="1:15" s="1661" customFormat="1">
      <c r="A22" s="1662" t="s">
        <v>1025</v>
      </c>
      <c r="B22" s="1668" t="s">
        <v>63</v>
      </c>
      <c r="C22" s="1664"/>
      <c r="D22" s="1664">
        <v>1016666</v>
      </c>
      <c r="E22" s="1664">
        <v>4508333</v>
      </c>
      <c r="F22" s="1664">
        <v>508333</v>
      </c>
      <c r="G22" s="1664">
        <v>508333</v>
      </c>
      <c r="H22" s="1664">
        <v>1508333</v>
      </c>
      <c r="I22" s="1664">
        <v>603337</v>
      </c>
      <c r="J22" s="1664">
        <v>1508333</v>
      </c>
      <c r="K22" s="1664">
        <v>508333</v>
      </c>
      <c r="L22" s="1664">
        <v>2508333</v>
      </c>
      <c r="M22" s="1664">
        <v>1508333</v>
      </c>
      <c r="N22" s="1664">
        <v>2508333</v>
      </c>
      <c r="O22" s="1665">
        <f t="shared" si="3"/>
        <v>17195000</v>
      </c>
    </row>
    <row r="23" spans="1:15" s="1661" customFormat="1" ht="14.1" customHeight="1">
      <c r="A23" s="1662" t="s">
        <v>1028</v>
      </c>
      <c r="B23" s="1668" t="s">
        <v>72</v>
      </c>
      <c r="C23" s="1664"/>
      <c r="D23" s="1664">
        <v>20000000</v>
      </c>
      <c r="E23" s="1664"/>
      <c r="F23" s="1664"/>
      <c r="G23" s="1664">
        <v>1000000</v>
      </c>
      <c r="H23" s="1664"/>
      <c r="I23" s="1664"/>
      <c r="J23" s="1664">
        <v>1000000</v>
      </c>
      <c r="K23" s="1664"/>
      <c r="L23" s="1664">
        <v>1620830</v>
      </c>
      <c r="M23" s="1664"/>
      <c r="N23" s="1664"/>
      <c r="O23" s="1665">
        <f t="shared" si="3"/>
        <v>23620830</v>
      </c>
    </row>
    <row r="24" spans="1:15" s="1661" customFormat="1" ht="14.1" customHeight="1">
      <c r="A24" s="1662" t="s">
        <v>1031</v>
      </c>
      <c r="B24" s="1663" t="s">
        <v>172</v>
      </c>
      <c r="C24" s="1664"/>
      <c r="D24" s="1664"/>
      <c r="E24" s="1664"/>
      <c r="F24" s="1664"/>
      <c r="G24" s="1664"/>
      <c r="H24" s="1664"/>
      <c r="I24" s="1664"/>
      <c r="J24" s="1664"/>
      <c r="K24" s="1664"/>
      <c r="L24" s="1664"/>
      <c r="M24" s="1664"/>
      <c r="N24" s="1664"/>
      <c r="O24" s="1665">
        <f t="shared" si="3"/>
        <v>0</v>
      </c>
    </row>
    <row r="25" spans="1:15" s="1661" customFormat="1" ht="14.1" customHeight="1">
      <c r="A25" s="1662" t="s">
        <v>1034</v>
      </c>
      <c r="B25" s="1668" t="s">
        <v>880</v>
      </c>
      <c r="C25" s="1664"/>
      <c r="D25" s="1664"/>
      <c r="E25" s="1664"/>
      <c r="F25" s="1664"/>
      <c r="G25" s="1664"/>
      <c r="H25" s="1664"/>
      <c r="I25" s="1664"/>
      <c r="J25" s="1664"/>
      <c r="K25" s="1664"/>
      <c r="L25" s="1664"/>
      <c r="M25" s="1664"/>
      <c r="N25" s="1664"/>
      <c r="O25" s="1665">
        <f>SUM(C25:N25)</f>
        <v>0</v>
      </c>
    </row>
    <row r="26" spans="1:15" s="1654" customFormat="1" ht="15.95" customHeight="1" thickBot="1">
      <c r="A26" s="1662" t="s">
        <v>1037</v>
      </c>
      <c r="B26" s="1668" t="s">
        <v>157</v>
      </c>
      <c r="C26" s="1664">
        <v>5539458</v>
      </c>
      <c r="D26" s="1664"/>
      <c r="E26" s="1664"/>
      <c r="F26" s="1664"/>
      <c r="G26" s="1664"/>
      <c r="H26" s="1664"/>
      <c r="I26" s="1664"/>
      <c r="J26" s="1664"/>
      <c r="K26" s="1664"/>
      <c r="L26" s="1664"/>
      <c r="M26" s="1664"/>
      <c r="N26" s="1664"/>
      <c r="O26" s="1665">
        <f>SUM(C26:N26)</f>
        <v>5539458</v>
      </c>
    </row>
    <row r="27" spans="1:15" ht="16.5" thickBot="1">
      <c r="A27" s="1675" t="s">
        <v>1040</v>
      </c>
      <c r="B27" s="1669" t="s">
        <v>1229</v>
      </c>
      <c r="C27" s="1670">
        <f t="shared" ref="C27:N27" si="4">SUM(C18:C26)</f>
        <v>28171415</v>
      </c>
      <c r="D27" s="1670">
        <f t="shared" si="4"/>
        <v>43648623</v>
      </c>
      <c r="E27" s="1670">
        <f t="shared" si="4"/>
        <v>27340123</v>
      </c>
      <c r="F27" s="1670">
        <f t="shared" si="4"/>
        <v>23340123</v>
      </c>
      <c r="G27" s="1670">
        <f t="shared" si="4"/>
        <v>24340123</v>
      </c>
      <c r="H27" s="1670">
        <f t="shared" si="4"/>
        <v>24340123</v>
      </c>
      <c r="I27" s="1670">
        <f t="shared" si="4"/>
        <v>23435127</v>
      </c>
      <c r="J27" s="1670">
        <f t="shared" si="4"/>
        <v>25340123</v>
      </c>
      <c r="K27" s="1670">
        <f t="shared" si="4"/>
        <v>23739790</v>
      </c>
      <c r="L27" s="1670">
        <f t="shared" si="4"/>
        <v>26960953</v>
      </c>
      <c r="M27" s="1670">
        <f t="shared" si="4"/>
        <v>24340123</v>
      </c>
      <c r="N27" s="1670">
        <f t="shared" si="4"/>
        <v>25340130</v>
      </c>
      <c r="O27" s="1676">
        <f>SUM(C27:N27)</f>
        <v>320336776</v>
      </c>
    </row>
    <row r="28" spans="1:15" ht="16.5" thickBot="1">
      <c r="A28" s="1675" t="s">
        <v>1043</v>
      </c>
      <c r="B28" s="1677" t="s">
        <v>1230</v>
      </c>
      <c r="C28" s="1678">
        <f t="shared" ref="C28:N28" si="5">C16-C27</f>
        <v>37324348</v>
      </c>
      <c r="D28" s="1678">
        <f t="shared" si="5"/>
        <v>15266215</v>
      </c>
      <c r="E28" s="1678">
        <f t="shared" si="5"/>
        <v>33798249</v>
      </c>
      <c r="F28" s="1678">
        <f t="shared" si="5"/>
        <v>67048616</v>
      </c>
      <c r="G28" s="1678">
        <f t="shared" si="5"/>
        <v>88580650</v>
      </c>
      <c r="H28" s="1678">
        <f t="shared" si="5"/>
        <v>85831017</v>
      </c>
      <c r="I28" s="1678">
        <f t="shared" si="5"/>
        <v>83986380</v>
      </c>
      <c r="J28" s="1678">
        <f t="shared" si="5"/>
        <v>80236747</v>
      </c>
      <c r="K28" s="1678">
        <f t="shared" si="5"/>
        <v>102369113</v>
      </c>
      <c r="L28" s="1678">
        <f t="shared" si="5"/>
        <v>96998650</v>
      </c>
      <c r="M28" s="1678">
        <f t="shared" si="5"/>
        <v>94249017</v>
      </c>
      <c r="N28" s="1678">
        <f t="shared" si="5"/>
        <v>90499380</v>
      </c>
      <c r="O28" s="1679" t="s">
        <v>1224</v>
      </c>
    </row>
    <row r="29" spans="1:15">
      <c r="B29" s="1680"/>
      <c r="C29" s="1681"/>
      <c r="D29" s="1681"/>
      <c r="O29" s="1648"/>
    </row>
    <row r="30" spans="1:15">
      <c r="O30" s="1648"/>
    </row>
    <row r="31" spans="1:15">
      <c r="O31" s="1648"/>
    </row>
    <row r="32" spans="1:15">
      <c r="O32" s="1648"/>
    </row>
    <row r="33" spans="15:15">
      <c r="O33" s="1648"/>
    </row>
    <row r="34" spans="15:15">
      <c r="O34" s="1648"/>
    </row>
    <row r="35" spans="15:15">
      <c r="O35" s="1648"/>
    </row>
    <row r="36" spans="15:15">
      <c r="O36" s="1648"/>
    </row>
    <row r="37" spans="15:15">
      <c r="O37" s="1648"/>
    </row>
    <row r="38" spans="15:15">
      <c r="O38" s="1648"/>
    </row>
    <row r="39" spans="15:15">
      <c r="O39" s="1648"/>
    </row>
    <row r="40" spans="15:15">
      <c r="O40" s="1648"/>
    </row>
    <row r="41" spans="15:15">
      <c r="O41" s="1648"/>
    </row>
    <row r="42" spans="15:15">
      <c r="O42" s="1648"/>
    </row>
    <row r="43" spans="15:15">
      <c r="O43" s="1648"/>
    </row>
    <row r="44" spans="15:15">
      <c r="O44" s="1648"/>
    </row>
    <row r="45" spans="15:15">
      <c r="O45" s="1648"/>
    </row>
    <row r="46" spans="15:15">
      <c r="O46" s="1648"/>
    </row>
    <row r="47" spans="15:15">
      <c r="O47" s="1648"/>
    </row>
    <row r="48" spans="15:15">
      <c r="O48" s="1648"/>
    </row>
    <row r="49" spans="15:15">
      <c r="O49" s="1648"/>
    </row>
    <row r="50" spans="15:15">
      <c r="O50" s="1648"/>
    </row>
    <row r="51" spans="15:15">
      <c r="O51" s="1648"/>
    </row>
    <row r="52" spans="15:15">
      <c r="O52" s="1648"/>
    </row>
    <row r="53" spans="15:15">
      <c r="O53" s="1648"/>
    </row>
    <row r="54" spans="15:15">
      <c r="O54" s="1648"/>
    </row>
    <row r="55" spans="15:15">
      <c r="O55" s="1648"/>
    </row>
    <row r="56" spans="15:15">
      <c r="O56" s="1648"/>
    </row>
    <row r="57" spans="15:15">
      <c r="O57" s="1648"/>
    </row>
    <row r="58" spans="15:15">
      <c r="O58" s="1648"/>
    </row>
    <row r="59" spans="15:15">
      <c r="O59" s="1648"/>
    </row>
    <row r="60" spans="15:15">
      <c r="O60" s="1648"/>
    </row>
    <row r="61" spans="15:15">
      <c r="O61" s="1648"/>
    </row>
    <row r="62" spans="15:15">
      <c r="O62" s="1648"/>
    </row>
    <row r="63" spans="15:15">
      <c r="O63" s="1648"/>
    </row>
    <row r="64" spans="15:15">
      <c r="O64" s="1648"/>
    </row>
    <row r="65" spans="15:15">
      <c r="O65" s="1648"/>
    </row>
    <row r="66" spans="15:15">
      <c r="O66" s="1648"/>
    </row>
    <row r="67" spans="15:15">
      <c r="O67" s="1648"/>
    </row>
    <row r="68" spans="15:15">
      <c r="O68" s="1648"/>
    </row>
    <row r="69" spans="15:15">
      <c r="O69" s="1648"/>
    </row>
    <row r="70" spans="15:15">
      <c r="O70" s="1648"/>
    </row>
    <row r="71" spans="15:15">
      <c r="O71" s="1648"/>
    </row>
    <row r="72" spans="15:15">
      <c r="O72" s="1648"/>
    </row>
    <row r="73" spans="15:15">
      <c r="O73" s="1648"/>
    </row>
    <row r="74" spans="15:15">
      <c r="O74" s="1648"/>
    </row>
    <row r="75" spans="15:15">
      <c r="O75" s="1648"/>
    </row>
    <row r="76" spans="15:15">
      <c r="O76" s="1648"/>
    </row>
    <row r="77" spans="15:15">
      <c r="O77" s="1648"/>
    </row>
    <row r="78" spans="15:15">
      <c r="O78" s="1648"/>
    </row>
    <row r="79" spans="15:15">
      <c r="O79" s="1648"/>
    </row>
    <row r="80" spans="15:15">
      <c r="O80" s="1648"/>
    </row>
    <row r="81" spans="15:15">
      <c r="O81" s="1648"/>
    </row>
    <row r="82" spans="15:15">
      <c r="O82" s="1648"/>
    </row>
  </sheetData>
  <sheetProtection selectLockedCells="1" selectUnlockedCells="1"/>
  <mergeCells count="4">
    <mergeCell ref="A1:O1"/>
    <mergeCell ref="A2:O2"/>
    <mergeCell ref="B5:O5"/>
    <mergeCell ref="B17:O17"/>
  </mergeCells>
  <printOptions horizontalCentered="1"/>
  <pageMargins left="0.78740157480314965" right="0.78740157480314965" top="1.0687500000000001" bottom="0.98425196850393704" header="0.78740157480314965" footer="0.78740157480314965"/>
  <pageSetup paperSize="9" scale="75" orientation="landscape" r:id="rId1"/>
  <headerFooter alignWithMargins="0">
    <oddHeader>&amp;R&amp;"Times New Roman CE,Félkövér dőlt" 1. számú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AR204"/>
  <sheetViews>
    <sheetView workbookViewId="0">
      <selection activeCell="V195" sqref="V195"/>
    </sheetView>
  </sheetViews>
  <sheetFormatPr defaultRowHeight="15.75"/>
  <cols>
    <col min="1" max="1" width="39.42578125" customWidth="1"/>
    <col min="2" max="16" width="12.42578125" customWidth="1"/>
    <col min="17" max="17" width="15.5703125" customWidth="1"/>
    <col min="18" max="18" width="13.85546875" customWidth="1"/>
    <col min="19" max="19" width="12.42578125" customWidth="1"/>
    <col min="20" max="20" width="22" customWidth="1"/>
    <col min="21" max="21" width="12.42578125" customWidth="1"/>
    <col min="22" max="23" width="12.28515625" customWidth="1"/>
    <col min="24" max="25" width="10.42578125" customWidth="1"/>
    <col min="26" max="26" width="17.140625" customWidth="1"/>
    <col min="27" max="28" width="19" customWidth="1"/>
    <col min="29" max="35" width="12.42578125" customWidth="1"/>
    <col min="36" max="36" width="17.140625" customWidth="1"/>
    <col min="37" max="37" width="22.28515625" customWidth="1"/>
    <col min="38" max="38" width="18.7109375" customWidth="1"/>
    <col min="39" max="39" width="15.140625" style="722" customWidth="1"/>
    <col min="40" max="40" width="15.5703125" style="174" customWidth="1"/>
    <col min="41" max="41" width="11" style="174" bestFit="1" customWidth="1"/>
    <col min="42" max="42" width="14" customWidth="1"/>
    <col min="43" max="43" width="25.5703125" style="1051" customWidth="1"/>
    <col min="44" max="44" width="16.42578125" style="1048" customWidth="1"/>
    <col min="260" max="260" width="39.42578125" customWidth="1"/>
    <col min="261" max="276" width="12.42578125" customWidth="1"/>
    <col min="277" max="277" width="15.5703125" customWidth="1"/>
    <col min="278" max="278" width="11.7109375" customWidth="1"/>
    <col min="279" max="279" width="12.42578125" customWidth="1"/>
    <col min="280" max="280" width="22" customWidth="1"/>
    <col min="281" max="281" width="12.42578125" customWidth="1"/>
    <col min="282" max="282" width="12.28515625" customWidth="1"/>
    <col min="283" max="284" width="10.42578125" customWidth="1"/>
    <col min="285" max="285" width="17.140625" customWidth="1"/>
    <col min="286" max="287" width="19" customWidth="1"/>
    <col min="288" max="291" width="12.42578125" customWidth="1"/>
    <col min="292" max="292" width="17.140625" customWidth="1"/>
    <col min="293" max="293" width="22.28515625" customWidth="1"/>
    <col min="294" max="294" width="18.7109375" customWidth="1"/>
    <col min="295" max="295" width="14" customWidth="1"/>
    <col min="296" max="296" width="15.5703125" customWidth="1"/>
    <col min="297" max="297" width="11" bestFit="1" customWidth="1"/>
    <col min="298" max="298" width="9.85546875" bestFit="1" customWidth="1"/>
    <col min="516" max="516" width="39.42578125" customWidth="1"/>
    <col min="517" max="532" width="12.42578125" customWidth="1"/>
    <col min="533" max="533" width="15.5703125" customWidth="1"/>
    <col min="534" max="534" width="11.7109375" customWidth="1"/>
    <col min="535" max="535" width="12.42578125" customWidth="1"/>
    <col min="536" max="536" width="22" customWidth="1"/>
    <col min="537" max="537" width="12.42578125" customWidth="1"/>
    <col min="538" max="538" width="12.28515625" customWidth="1"/>
    <col min="539" max="540" width="10.42578125" customWidth="1"/>
    <col min="541" max="541" width="17.140625" customWidth="1"/>
    <col min="542" max="543" width="19" customWidth="1"/>
    <col min="544" max="547" width="12.42578125" customWidth="1"/>
    <col min="548" max="548" width="17.140625" customWidth="1"/>
    <col min="549" max="549" width="22.28515625" customWidth="1"/>
    <col min="550" max="550" width="18.7109375" customWidth="1"/>
    <col min="551" max="551" width="14" customWidth="1"/>
    <col min="552" max="552" width="15.5703125" customWidth="1"/>
    <col min="553" max="553" width="11" bestFit="1" customWidth="1"/>
    <col min="554" max="554" width="9.85546875" bestFit="1" customWidth="1"/>
    <col min="772" max="772" width="39.42578125" customWidth="1"/>
    <col min="773" max="788" width="12.42578125" customWidth="1"/>
    <col min="789" max="789" width="15.5703125" customWidth="1"/>
    <col min="790" max="790" width="11.7109375" customWidth="1"/>
    <col min="791" max="791" width="12.42578125" customWidth="1"/>
    <col min="792" max="792" width="22" customWidth="1"/>
    <col min="793" max="793" width="12.42578125" customWidth="1"/>
    <col min="794" max="794" width="12.28515625" customWidth="1"/>
    <col min="795" max="796" width="10.42578125" customWidth="1"/>
    <col min="797" max="797" width="17.140625" customWidth="1"/>
    <col min="798" max="799" width="19" customWidth="1"/>
    <col min="800" max="803" width="12.42578125" customWidth="1"/>
    <col min="804" max="804" width="17.140625" customWidth="1"/>
    <col min="805" max="805" width="22.28515625" customWidth="1"/>
    <col min="806" max="806" width="18.7109375" customWidth="1"/>
    <col min="807" max="807" width="14" customWidth="1"/>
    <col min="808" max="808" width="15.5703125" customWidth="1"/>
    <col min="809" max="809" width="11" bestFit="1" customWidth="1"/>
    <col min="810" max="810" width="9.85546875" bestFit="1" customWidth="1"/>
    <col min="1028" max="1028" width="39.42578125" customWidth="1"/>
    <col min="1029" max="1044" width="12.42578125" customWidth="1"/>
    <col min="1045" max="1045" width="15.5703125" customWidth="1"/>
    <col min="1046" max="1046" width="11.7109375" customWidth="1"/>
    <col min="1047" max="1047" width="12.42578125" customWidth="1"/>
    <col min="1048" max="1048" width="22" customWidth="1"/>
    <col min="1049" max="1049" width="12.42578125" customWidth="1"/>
    <col min="1050" max="1050" width="12.28515625" customWidth="1"/>
    <col min="1051" max="1052" width="10.42578125" customWidth="1"/>
    <col min="1053" max="1053" width="17.140625" customWidth="1"/>
    <col min="1054" max="1055" width="19" customWidth="1"/>
    <col min="1056" max="1059" width="12.42578125" customWidth="1"/>
    <col min="1060" max="1060" width="17.140625" customWidth="1"/>
    <col min="1061" max="1061" width="22.28515625" customWidth="1"/>
    <col min="1062" max="1062" width="18.7109375" customWidth="1"/>
    <col min="1063" max="1063" width="14" customWidth="1"/>
    <col min="1064" max="1064" width="15.5703125" customWidth="1"/>
    <col min="1065" max="1065" width="11" bestFit="1" customWidth="1"/>
    <col min="1066" max="1066" width="9.85546875" bestFit="1" customWidth="1"/>
    <col min="1284" max="1284" width="39.42578125" customWidth="1"/>
    <col min="1285" max="1300" width="12.42578125" customWidth="1"/>
    <col min="1301" max="1301" width="15.5703125" customWidth="1"/>
    <col min="1302" max="1302" width="11.7109375" customWidth="1"/>
    <col min="1303" max="1303" width="12.42578125" customWidth="1"/>
    <col min="1304" max="1304" width="22" customWidth="1"/>
    <col min="1305" max="1305" width="12.42578125" customWidth="1"/>
    <col min="1306" max="1306" width="12.28515625" customWidth="1"/>
    <col min="1307" max="1308" width="10.42578125" customWidth="1"/>
    <col min="1309" max="1309" width="17.140625" customWidth="1"/>
    <col min="1310" max="1311" width="19" customWidth="1"/>
    <col min="1312" max="1315" width="12.42578125" customWidth="1"/>
    <col min="1316" max="1316" width="17.140625" customWidth="1"/>
    <col min="1317" max="1317" width="22.28515625" customWidth="1"/>
    <col min="1318" max="1318" width="18.7109375" customWidth="1"/>
    <col min="1319" max="1319" width="14" customWidth="1"/>
    <col min="1320" max="1320" width="15.5703125" customWidth="1"/>
    <col min="1321" max="1321" width="11" bestFit="1" customWidth="1"/>
    <col min="1322" max="1322" width="9.85546875" bestFit="1" customWidth="1"/>
    <col min="1540" max="1540" width="39.42578125" customWidth="1"/>
    <col min="1541" max="1556" width="12.42578125" customWidth="1"/>
    <col min="1557" max="1557" width="15.5703125" customWidth="1"/>
    <col min="1558" max="1558" width="11.7109375" customWidth="1"/>
    <col min="1559" max="1559" width="12.42578125" customWidth="1"/>
    <col min="1560" max="1560" width="22" customWidth="1"/>
    <col min="1561" max="1561" width="12.42578125" customWidth="1"/>
    <col min="1562" max="1562" width="12.28515625" customWidth="1"/>
    <col min="1563" max="1564" width="10.42578125" customWidth="1"/>
    <col min="1565" max="1565" width="17.140625" customWidth="1"/>
    <col min="1566" max="1567" width="19" customWidth="1"/>
    <col min="1568" max="1571" width="12.42578125" customWidth="1"/>
    <col min="1572" max="1572" width="17.140625" customWidth="1"/>
    <col min="1573" max="1573" width="22.28515625" customWidth="1"/>
    <col min="1574" max="1574" width="18.7109375" customWidth="1"/>
    <col min="1575" max="1575" width="14" customWidth="1"/>
    <col min="1576" max="1576" width="15.5703125" customWidth="1"/>
    <col min="1577" max="1577" width="11" bestFit="1" customWidth="1"/>
    <col min="1578" max="1578" width="9.85546875" bestFit="1" customWidth="1"/>
    <col min="1796" max="1796" width="39.42578125" customWidth="1"/>
    <col min="1797" max="1812" width="12.42578125" customWidth="1"/>
    <col min="1813" max="1813" width="15.5703125" customWidth="1"/>
    <col min="1814" max="1814" width="11.7109375" customWidth="1"/>
    <col min="1815" max="1815" width="12.42578125" customWidth="1"/>
    <col min="1816" max="1816" width="22" customWidth="1"/>
    <col min="1817" max="1817" width="12.42578125" customWidth="1"/>
    <col min="1818" max="1818" width="12.28515625" customWidth="1"/>
    <col min="1819" max="1820" width="10.42578125" customWidth="1"/>
    <col min="1821" max="1821" width="17.140625" customWidth="1"/>
    <col min="1822" max="1823" width="19" customWidth="1"/>
    <col min="1824" max="1827" width="12.42578125" customWidth="1"/>
    <col min="1828" max="1828" width="17.140625" customWidth="1"/>
    <col min="1829" max="1829" width="22.28515625" customWidth="1"/>
    <col min="1830" max="1830" width="18.7109375" customWidth="1"/>
    <col min="1831" max="1831" width="14" customWidth="1"/>
    <col min="1832" max="1832" width="15.5703125" customWidth="1"/>
    <col min="1833" max="1833" width="11" bestFit="1" customWidth="1"/>
    <col min="1834" max="1834" width="9.85546875" bestFit="1" customWidth="1"/>
    <col min="2052" max="2052" width="39.42578125" customWidth="1"/>
    <col min="2053" max="2068" width="12.42578125" customWidth="1"/>
    <col min="2069" max="2069" width="15.5703125" customWidth="1"/>
    <col min="2070" max="2070" width="11.7109375" customWidth="1"/>
    <col min="2071" max="2071" width="12.42578125" customWidth="1"/>
    <col min="2072" max="2072" width="22" customWidth="1"/>
    <col min="2073" max="2073" width="12.42578125" customWidth="1"/>
    <col min="2074" max="2074" width="12.28515625" customWidth="1"/>
    <col min="2075" max="2076" width="10.42578125" customWidth="1"/>
    <col min="2077" max="2077" width="17.140625" customWidth="1"/>
    <col min="2078" max="2079" width="19" customWidth="1"/>
    <col min="2080" max="2083" width="12.42578125" customWidth="1"/>
    <col min="2084" max="2084" width="17.140625" customWidth="1"/>
    <col min="2085" max="2085" width="22.28515625" customWidth="1"/>
    <col min="2086" max="2086" width="18.7109375" customWidth="1"/>
    <col min="2087" max="2087" width="14" customWidth="1"/>
    <col min="2088" max="2088" width="15.5703125" customWidth="1"/>
    <col min="2089" max="2089" width="11" bestFit="1" customWidth="1"/>
    <col min="2090" max="2090" width="9.85546875" bestFit="1" customWidth="1"/>
    <col min="2308" max="2308" width="39.42578125" customWidth="1"/>
    <col min="2309" max="2324" width="12.42578125" customWidth="1"/>
    <col min="2325" max="2325" width="15.5703125" customWidth="1"/>
    <col min="2326" max="2326" width="11.7109375" customWidth="1"/>
    <col min="2327" max="2327" width="12.42578125" customWidth="1"/>
    <col min="2328" max="2328" width="22" customWidth="1"/>
    <col min="2329" max="2329" width="12.42578125" customWidth="1"/>
    <col min="2330" max="2330" width="12.28515625" customWidth="1"/>
    <col min="2331" max="2332" width="10.42578125" customWidth="1"/>
    <col min="2333" max="2333" width="17.140625" customWidth="1"/>
    <col min="2334" max="2335" width="19" customWidth="1"/>
    <col min="2336" max="2339" width="12.42578125" customWidth="1"/>
    <col min="2340" max="2340" width="17.140625" customWidth="1"/>
    <col min="2341" max="2341" width="22.28515625" customWidth="1"/>
    <col min="2342" max="2342" width="18.7109375" customWidth="1"/>
    <col min="2343" max="2343" width="14" customWidth="1"/>
    <col min="2344" max="2344" width="15.5703125" customWidth="1"/>
    <col min="2345" max="2345" width="11" bestFit="1" customWidth="1"/>
    <col min="2346" max="2346" width="9.85546875" bestFit="1" customWidth="1"/>
    <col min="2564" max="2564" width="39.42578125" customWidth="1"/>
    <col min="2565" max="2580" width="12.42578125" customWidth="1"/>
    <col min="2581" max="2581" width="15.5703125" customWidth="1"/>
    <col min="2582" max="2582" width="11.7109375" customWidth="1"/>
    <col min="2583" max="2583" width="12.42578125" customWidth="1"/>
    <col min="2584" max="2584" width="22" customWidth="1"/>
    <col min="2585" max="2585" width="12.42578125" customWidth="1"/>
    <col min="2586" max="2586" width="12.28515625" customWidth="1"/>
    <col min="2587" max="2588" width="10.42578125" customWidth="1"/>
    <col min="2589" max="2589" width="17.140625" customWidth="1"/>
    <col min="2590" max="2591" width="19" customWidth="1"/>
    <col min="2592" max="2595" width="12.42578125" customWidth="1"/>
    <col min="2596" max="2596" width="17.140625" customWidth="1"/>
    <col min="2597" max="2597" width="22.28515625" customWidth="1"/>
    <col min="2598" max="2598" width="18.7109375" customWidth="1"/>
    <col min="2599" max="2599" width="14" customWidth="1"/>
    <col min="2600" max="2600" width="15.5703125" customWidth="1"/>
    <col min="2601" max="2601" width="11" bestFit="1" customWidth="1"/>
    <col min="2602" max="2602" width="9.85546875" bestFit="1" customWidth="1"/>
    <col min="2820" max="2820" width="39.42578125" customWidth="1"/>
    <col min="2821" max="2836" width="12.42578125" customWidth="1"/>
    <col min="2837" max="2837" width="15.5703125" customWidth="1"/>
    <col min="2838" max="2838" width="11.7109375" customWidth="1"/>
    <col min="2839" max="2839" width="12.42578125" customWidth="1"/>
    <col min="2840" max="2840" width="22" customWidth="1"/>
    <col min="2841" max="2841" width="12.42578125" customWidth="1"/>
    <col min="2842" max="2842" width="12.28515625" customWidth="1"/>
    <col min="2843" max="2844" width="10.42578125" customWidth="1"/>
    <col min="2845" max="2845" width="17.140625" customWidth="1"/>
    <col min="2846" max="2847" width="19" customWidth="1"/>
    <col min="2848" max="2851" width="12.42578125" customWidth="1"/>
    <col min="2852" max="2852" width="17.140625" customWidth="1"/>
    <col min="2853" max="2853" width="22.28515625" customWidth="1"/>
    <col min="2854" max="2854" width="18.7109375" customWidth="1"/>
    <col min="2855" max="2855" width="14" customWidth="1"/>
    <col min="2856" max="2856" width="15.5703125" customWidth="1"/>
    <col min="2857" max="2857" width="11" bestFit="1" customWidth="1"/>
    <col min="2858" max="2858" width="9.85546875" bestFit="1" customWidth="1"/>
    <col min="3076" max="3076" width="39.42578125" customWidth="1"/>
    <col min="3077" max="3092" width="12.42578125" customWidth="1"/>
    <col min="3093" max="3093" width="15.5703125" customWidth="1"/>
    <col min="3094" max="3094" width="11.7109375" customWidth="1"/>
    <col min="3095" max="3095" width="12.42578125" customWidth="1"/>
    <col min="3096" max="3096" width="22" customWidth="1"/>
    <col min="3097" max="3097" width="12.42578125" customWidth="1"/>
    <col min="3098" max="3098" width="12.28515625" customWidth="1"/>
    <col min="3099" max="3100" width="10.42578125" customWidth="1"/>
    <col min="3101" max="3101" width="17.140625" customWidth="1"/>
    <col min="3102" max="3103" width="19" customWidth="1"/>
    <col min="3104" max="3107" width="12.42578125" customWidth="1"/>
    <col min="3108" max="3108" width="17.140625" customWidth="1"/>
    <col min="3109" max="3109" width="22.28515625" customWidth="1"/>
    <col min="3110" max="3110" width="18.7109375" customWidth="1"/>
    <col min="3111" max="3111" width="14" customWidth="1"/>
    <col min="3112" max="3112" width="15.5703125" customWidth="1"/>
    <col min="3113" max="3113" width="11" bestFit="1" customWidth="1"/>
    <col min="3114" max="3114" width="9.85546875" bestFit="1" customWidth="1"/>
    <col min="3332" max="3332" width="39.42578125" customWidth="1"/>
    <col min="3333" max="3348" width="12.42578125" customWidth="1"/>
    <col min="3349" max="3349" width="15.5703125" customWidth="1"/>
    <col min="3350" max="3350" width="11.7109375" customWidth="1"/>
    <col min="3351" max="3351" width="12.42578125" customWidth="1"/>
    <col min="3352" max="3352" width="22" customWidth="1"/>
    <col min="3353" max="3353" width="12.42578125" customWidth="1"/>
    <col min="3354" max="3354" width="12.28515625" customWidth="1"/>
    <col min="3355" max="3356" width="10.42578125" customWidth="1"/>
    <col min="3357" max="3357" width="17.140625" customWidth="1"/>
    <col min="3358" max="3359" width="19" customWidth="1"/>
    <col min="3360" max="3363" width="12.42578125" customWidth="1"/>
    <col min="3364" max="3364" width="17.140625" customWidth="1"/>
    <col min="3365" max="3365" width="22.28515625" customWidth="1"/>
    <col min="3366" max="3366" width="18.7109375" customWidth="1"/>
    <col min="3367" max="3367" width="14" customWidth="1"/>
    <col min="3368" max="3368" width="15.5703125" customWidth="1"/>
    <col min="3369" max="3369" width="11" bestFit="1" customWidth="1"/>
    <col min="3370" max="3370" width="9.85546875" bestFit="1" customWidth="1"/>
    <col min="3588" max="3588" width="39.42578125" customWidth="1"/>
    <col min="3589" max="3604" width="12.42578125" customWidth="1"/>
    <col min="3605" max="3605" width="15.5703125" customWidth="1"/>
    <col min="3606" max="3606" width="11.7109375" customWidth="1"/>
    <col min="3607" max="3607" width="12.42578125" customWidth="1"/>
    <col min="3608" max="3608" width="22" customWidth="1"/>
    <col min="3609" max="3609" width="12.42578125" customWidth="1"/>
    <col min="3610" max="3610" width="12.28515625" customWidth="1"/>
    <col min="3611" max="3612" width="10.42578125" customWidth="1"/>
    <col min="3613" max="3613" width="17.140625" customWidth="1"/>
    <col min="3614" max="3615" width="19" customWidth="1"/>
    <col min="3616" max="3619" width="12.42578125" customWidth="1"/>
    <col min="3620" max="3620" width="17.140625" customWidth="1"/>
    <col min="3621" max="3621" width="22.28515625" customWidth="1"/>
    <col min="3622" max="3622" width="18.7109375" customWidth="1"/>
    <col min="3623" max="3623" width="14" customWidth="1"/>
    <col min="3624" max="3624" width="15.5703125" customWidth="1"/>
    <col min="3625" max="3625" width="11" bestFit="1" customWidth="1"/>
    <col min="3626" max="3626" width="9.85546875" bestFit="1" customWidth="1"/>
    <col min="3844" max="3844" width="39.42578125" customWidth="1"/>
    <col min="3845" max="3860" width="12.42578125" customWidth="1"/>
    <col min="3861" max="3861" width="15.5703125" customWidth="1"/>
    <col min="3862" max="3862" width="11.7109375" customWidth="1"/>
    <col min="3863" max="3863" width="12.42578125" customWidth="1"/>
    <col min="3864" max="3864" width="22" customWidth="1"/>
    <col min="3865" max="3865" width="12.42578125" customWidth="1"/>
    <col min="3866" max="3866" width="12.28515625" customWidth="1"/>
    <col min="3867" max="3868" width="10.42578125" customWidth="1"/>
    <col min="3869" max="3869" width="17.140625" customWidth="1"/>
    <col min="3870" max="3871" width="19" customWidth="1"/>
    <col min="3872" max="3875" width="12.42578125" customWidth="1"/>
    <col min="3876" max="3876" width="17.140625" customWidth="1"/>
    <col min="3877" max="3877" width="22.28515625" customWidth="1"/>
    <col min="3878" max="3878" width="18.7109375" customWidth="1"/>
    <col min="3879" max="3879" width="14" customWidth="1"/>
    <col min="3880" max="3880" width="15.5703125" customWidth="1"/>
    <col min="3881" max="3881" width="11" bestFit="1" customWidth="1"/>
    <col min="3882" max="3882" width="9.85546875" bestFit="1" customWidth="1"/>
    <col min="4100" max="4100" width="39.42578125" customWidth="1"/>
    <col min="4101" max="4116" width="12.42578125" customWidth="1"/>
    <col min="4117" max="4117" width="15.5703125" customWidth="1"/>
    <col min="4118" max="4118" width="11.7109375" customWidth="1"/>
    <col min="4119" max="4119" width="12.42578125" customWidth="1"/>
    <col min="4120" max="4120" width="22" customWidth="1"/>
    <col min="4121" max="4121" width="12.42578125" customWidth="1"/>
    <col min="4122" max="4122" width="12.28515625" customWidth="1"/>
    <col min="4123" max="4124" width="10.42578125" customWidth="1"/>
    <col min="4125" max="4125" width="17.140625" customWidth="1"/>
    <col min="4126" max="4127" width="19" customWidth="1"/>
    <col min="4128" max="4131" width="12.42578125" customWidth="1"/>
    <col min="4132" max="4132" width="17.140625" customWidth="1"/>
    <col min="4133" max="4133" width="22.28515625" customWidth="1"/>
    <col min="4134" max="4134" width="18.7109375" customWidth="1"/>
    <col min="4135" max="4135" width="14" customWidth="1"/>
    <col min="4136" max="4136" width="15.5703125" customWidth="1"/>
    <col min="4137" max="4137" width="11" bestFit="1" customWidth="1"/>
    <col min="4138" max="4138" width="9.85546875" bestFit="1" customWidth="1"/>
    <col min="4356" max="4356" width="39.42578125" customWidth="1"/>
    <col min="4357" max="4372" width="12.42578125" customWidth="1"/>
    <col min="4373" max="4373" width="15.5703125" customWidth="1"/>
    <col min="4374" max="4374" width="11.7109375" customWidth="1"/>
    <col min="4375" max="4375" width="12.42578125" customWidth="1"/>
    <col min="4376" max="4376" width="22" customWidth="1"/>
    <col min="4377" max="4377" width="12.42578125" customWidth="1"/>
    <col min="4378" max="4378" width="12.28515625" customWidth="1"/>
    <col min="4379" max="4380" width="10.42578125" customWidth="1"/>
    <col min="4381" max="4381" width="17.140625" customWidth="1"/>
    <col min="4382" max="4383" width="19" customWidth="1"/>
    <col min="4384" max="4387" width="12.42578125" customWidth="1"/>
    <col min="4388" max="4388" width="17.140625" customWidth="1"/>
    <col min="4389" max="4389" width="22.28515625" customWidth="1"/>
    <col min="4390" max="4390" width="18.7109375" customWidth="1"/>
    <col min="4391" max="4391" width="14" customWidth="1"/>
    <col min="4392" max="4392" width="15.5703125" customWidth="1"/>
    <col min="4393" max="4393" width="11" bestFit="1" customWidth="1"/>
    <col min="4394" max="4394" width="9.85546875" bestFit="1" customWidth="1"/>
    <col min="4612" max="4612" width="39.42578125" customWidth="1"/>
    <col min="4613" max="4628" width="12.42578125" customWidth="1"/>
    <col min="4629" max="4629" width="15.5703125" customWidth="1"/>
    <col min="4630" max="4630" width="11.7109375" customWidth="1"/>
    <col min="4631" max="4631" width="12.42578125" customWidth="1"/>
    <col min="4632" max="4632" width="22" customWidth="1"/>
    <col min="4633" max="4633" width="12.42578125" customWidth="1"/>
    <col min="4634" max="4634" width="12.28515625" customWidth="1"/>
    <col min="4635" max="4636" width="10.42578125" customWidth="1"/>
    <col min="4637" max="4637" width="17.140625" customWidth="1"/>
    <col min="4638" max="4639" width="19" customWidth="1"/>
    <col min="4640" max="4643" width="12.42578125" customWidth="1"/>
    <col min="4644" max="4644" width="17.140625" customWidth="1"/>
    <col min="4645" max="4645" width="22.28515625" customWidth="1"/>
    <col min="4646" max="4646" width="18.7109375" customWidth="1"/>
    <col min="4647" max="4647" width="14" customWidth="1"/>
    <col min="4648" max="4648" width="15.5703125" customWidth="1"/>
    <col min="4649" max="4649" width="11" bestFit="1" customWidth="1"/>
    <col min="4650" max="4650" width="9.85546875" bestFit="1" customWidth="1"/>
    <col min="4868" max="4868" width="39.42578125" customWidth="1"/>
    <col min="4869" max="4884" width="12.42578125" customWidth="1"/>
    <col min="4885" max="4885" width="15.5703125" customWidth="1"/>
    <col min="4886" max="4886" width="11.7109375" customWidth="1"/>
    <col min="4887" max="4887" width="12.42578125" customWidth="1"/>
    <col min="4888" max="4888" width="22" customWidth="1"/>
    <col min="4889" max="4889" width="12.42578125" customWidth="1"/>
    <col min="4890" max="4890" width="12.28515625" customWidth="1"/>
    <col min="4891" max="4892" width="10.42578125" customWidth="1"/>
    <col min="4893" max="4893" width="17.140625" customWidth="1"/>
    <col min="4894" max="4895" width="19" customWidth="1"/>
    <col min="4896" max="4899" width="12.42578125" customWidth="1"/>
    <col min="4900" max="4900" width="17.140625" customWidth="1"/>
    <col min="4901" max="4901" width="22.28515625" customWidth="1"/>
    <col min="4902" max="4902" width="18.7109375" customWidth="1"/>
    <col min="4903" max="4903" width="14" customWidth="1"/>
    <col min="4904" max="4904" width="15.5703125" customWidth="1"/>
    <col min="4905" max="4905" width="11" bestFit="1" customWidth="1"/>
    <col min="4906" max="4906" width="9.85546875" bestFit="1" customWidth="1"/>
    <col min="5124" max="5124" width="39.42578125" customWidth="1"/>
    <col min="5125" max="5140" width="12.42578125" customWidth="1"/>
    <col min="5141" max="5141" width="15.5703125" customWidth="1"/>
    <col min="5142" max="5142" width="11.7109375" customWidth="1"/>
    <col min="5143" max="5143" width="12.42578125" customWidth="1"/>
    <col min="5144" max="5144" width="22" customWidth="1"/>
    <col min="5145" max="5145" width="12.42578125" customWidth="1"/>
    <col min="5146" max="5146" width="12.28515625" customWidth="1"/>
    <col min="5147" max="5148" width="10.42578125" customWidth="1"/>
    <col min="5149" max="5149" width="17.140625" customWidth="1"/>
    <col min="5150" max="5151" width="19" customWidth="1"/>
    <col min="5152" max="5155" width="12.42578125" customWidth="1"/>
    <col min="5156" max="5156" width="17.140625" customWidth="1"/>
    <col min="5157" max="5157" width="22.28515625" customWidth="1"/>
    <col min="5158" max="5158" width="18.7109375" customWidth="1"/>
    <col min="5159" max="5159" width="14" customWidth="1"/>
    <col min="5160" max="5160" width="15.5703125" customWidth="1"/>
    <col min="5161" max="5161" width="11" bestFit="1" customWidth="1"/>
    <col min="5162" max="5162" width="9.85546875" bestFit="1" customWidth="1"/>
    <col min="5380" max="5380" width="39.42578125" customWidth="1"/>
    <col min="5381" max="5396" width="12.42578125" customWidth="1"/>
    <col min="5397" max="5397" width="15.5703125" customWidth="1"/>
    <col min="5398" max="5398" width="11.7109375" customWidth="1"/>
    <col min="5399" max="5399" width="12.42578125" customWidth="1"/>
    <col min="5400" max="5400" width="22" customWidth="1"/>
    <col min="5401" max="5401" width="12.42578125" customWidth="1"/>
    <col min="5402" max="5402" width="12.28515625" customWidth="1"/>
    <col min="5403" max="5404" width="10.42578125" customWidth="1"/>
    <col min="5405" max="5405" width="17.140625" customWidth="1"/>
    <col min="5406" max="5407" width="19" customWidth="1"/>
    <col min="5408" max="5411" width="12.42578125" customWidth="1"/>
    <col min="5412" max="5412" width="17.140625" customWidth="1"/>
    <col min="5413" max="5413" width="22.28515625" customWidth="1"/>
    <col min="5414" max="5414" width="18.7109375" customWidth="1"/>
    <col min="5415" max="5415" width="14" customWidth="1"/>
    <col min="5416" max="5416" width="15.5703125" customWidth="1"/>
    <col min="5417" max="5417" width="11" bestFit="1" customWidth="1"/>
    <col min="5418" max="5418" width="9.85546875" bestFit="1" customWidth="1"/>
    <col min="5636" max="5636" width="39.42578125" customWidth="1"/>
    <col min="5637" max="5652" width="12.42578125" customWidth="1"/>
    <col min="5653" max="5653" width="15.5703125" customWidth="1"/>
    <col min="5654" max="5654" width="11.7109375" customWidth="1"/>
    <col min="5655" max="5655" width="12.42578125" customWidth="1"/>
    <col min="5656" max="5656" width="22" customWidth="1"/>
    <col min="5657" max="5657" width="12.42578125" customWidth="1"/>
    <col min="5658" max="5658" width="12.28515625" customWidth="1"/>
    <col min="5659" max="5660" width="10.42578125" customWidth="1"/>
    <col min="5661" max="5661" width="17.140625" customWidth="1"/>
    <col min="5662" max="5663" width="19" customWidth="1"/>
    <col min="5664" max="5667" width="12.42578125" customWidth="1"/>
    <col min="5668" max="5668" width="17.140625" customWidth="1"/>
    <col min="5669" max="5669" width="22.28515625" customWidth="1"/>
    <col min="5670" max="5670" width="18.7109375" customWidth="1"/>
    <col min="5671" max="5671" width="14" customWidth="1"/>
    <col min="5672" max="5672" width="15.5703125" customWidth="1"/>
    <col min="5673" max="5673" width="11" bestFit="1" customWidth="1"/>
    <col min="5674" max="5674" width="9.85546875" bestFit="1" customWidth="1"/>
    <col min="5892" max="5892" width="39.42578125" customWidth="1"/>
    <col min="5893" max="5908" width="12.42578125" customWidth="1"/>
    <col min="5909" max="5909" width="15.5703125" customWidth="1"/>
    <col min="5910" max="5910" width="11.7109375" customWidth="1"/>
    <col min="5911" max="5911" width="12.42578125" customWidth="1"/>
    <col min="5912" max="5912" width="22" customWidth="1"/>
    <col min="5913" max="5913" width="12.42578125" customWidth="1"/>
    <col min="5914" max="5914" width="12.28515625" customWidth="1"/>
    <col min="5915" max="5916" width="10.42578125" customWidth="1"/>
    <col min="5917" max="5917" width="17.140625" customWidth="1"/>
    <col min="5918" max="5919" width="19" customWidth="1"/>
    <col min="5920" max="5923" width="12.42578125" customWidth="1"/>
    <col min="5924" max="5924" width="17.140625" customWidth="1"/>
    <col min="5925" max="5925" width="22.28515625" customWidth="1"/>
    <col min="5926" max="5926" width="18.7109375" customWidth="1"/>
    <col min="5927" max="5927" width="14" customWidth="1"/>
    <col min="5928" max="5928" width="15.5703125" customWidth="1"/>
    <col min="5929" max="5929" width="11" bestFit="1" customWidth="1"/>
    <col min="5930" max="5930" width="9.85546875" bestFit="1" customWidth="1"/>
    <col min="6148" max="6148" width="39.42578125" customWidth="1"/>
    <col min="6149" max="6164" width="12.42578125" customWidth="1"/>
    <col min="6165" max="6165" width="15.5703125" customWidth="1"/>
    <col min="6166" max="6166" width="11.7109375" customWidth="1"/>
    <col min="6167" max="6167" width="12.42578125" customWidth="1"/>
    <col min="6168" max="6168" width="22" customWidth="1"/>
    <col min="6169" max="6169" width="12.42578125" customWidth="1"/>
    <col min="6170" max="6170" width="12.28515625" customWidth="1"/>
    <col min="6171" max="6172" width="10.42578125" customWidth="1"/>
    <col min="6173" max="6173" width="17.140625" customWidth="1"/>
    <col min="6174" max="6175" width="19" customWidth="1"/>
    <col min="6176" max="6179" width="12.42578125" customWidth="1"/>
    <col min="6180" max="6180" width="17.140625" customWidth="1"/>
    <col min="6181" max="6181" width="22.28515625" customWidth="1"/>
    <col min="6182" max="6182" width="18.7109375" customWidth="1"/>
    <col min="6183" max="6183" width="14" customWidth="1"/>
    <col min="6184" max="6184" width="15.5703125" customWidth="1"/>
    <col min="6185" max="6185" width="11" bestFit="1" customWidth="1"/>
    <col min="6186" max="6186" width="9.85546875" bestFit="1" customWidth="1"/>
    <col min="6404" max="6404" width="39.42578125" customWidth="1"/>
    <col min="6405" max="6420" width="12.42578125" customWidth="1"/>
    <col min="6421" max="6421" width="15.5703125" customWidth="1"/>
    <col min="6422" max="6422" width="11.7109375" customWidth="1"/>
    <col min="6423" max="6423" width="12.42578125" customWidth="1"/>
    <col min="6424" max="6424" width="22" customWidth="1"/>
    <col min="6425" max="6425" width="12.42578125" customWidth="1"/>
    <col min="6426" max="6426" width="12.28515625" customWidth="1"/>
    <col min="6427" max="6428" width="10.42578125" customWidth="1"/>
    <col min="6429" max="6429" width="17.140625" customWidth="1"/>
    <col min="6430" max="6431" width="19" customWidth="1"/>
    <col min="6432" max="6435" width="12.42578125" customWidth="1"/>
    <col min="6436" max="6436" width="17.140625" customWidth="1"/>
    <col min="6437" max="6437" width="22.28515625" customWidth="1"/>
    <col min="6438" max="6438" width="18.7109375" customWidth="1"/>
    <col min="6439" max="6439" width="14" customWidth="1"/>
    <col min="6440" max="6440" width="15.5703125" customWidth="1"/>
    <col min="6441" max="6441" width="11" bestFit="1" customWidth="1"/>
    <col min="6442" max="6442" width="9.85546875" bestFit="1" customWidth="1"/>
    <col min="6660" max="6660" width="39.42578125" customWidth="1"/>
    <col min="6661" max="6676" width="12.42578125" customWidth="1"/>
    <col min="6677" max="6677" width="15.5703125" customWidth="1"/>
    <col min="6678" max="6678" width="11.7109375" customWidth="1"/>
    <col min="6679" max="6679" width="12.42578125" customWidth="1"/>
    <col min="6680" max="6680" width="22" customWidth="1"/>
    <col min="6681" max="6681" width="12.42578125" customWidth="1"/>
    <col min="6682" max="6682" width="12.28515625" customWidth="1"/>
    <col min="6683" max="6684" width="10.42578125" customWidth="1"/>
    <col min="6685" max="6685" width="17.140625" customWidth="1"/>
    <col min="6686" max="6687" width="19" customWidth="1"/>
    <col min="6688" max="6691" width="12.42578125" customWidth="1"/>
    <col min="6692" max="6692" width="17.140625" customWidth="1"/>
    <col min="6693" max="6693" width="22.28515625" customWidth="1"/>
    <col min="6694" max="6694" width="18.7109375" customWidth="1"/>
    <col min="6695" max="6695" width="14" customWidth="1"/>
    <col min="6696" max="6696" width="15.5703125" customWidth="1"/>
    <col min="6697" max="6697" width="11" bestFit="1" customWidth="1"/>
    <col min="6698" max="6698" width="9.85546875" bestFit="1" customWidth="1"/>
    <col min="6916" max="6916" width="39.42578125" customWidth="1"/>
    <col min="6917" max="6932" width="12.42578125" customWidth="1"/>
    <col min="6933" max="6933" width="15.5703125" customWidth="1"/>
    <col min="6934" max="6934" width="11.7109375" customWidth="1"/>
    <col min="6935" max="6935" width="12.42578125" customWidth="1"/>
    <col min="6936" max="6936" width="22" customWidth="1"/>
    <col min="6937" max="6937" width="12.42578125" customWidth="1"/>
    <col min="6938" max="6938" width="12.28515625" customWidth="1"/>
    <col min="6939" max="6940" width="10.42578125" customWidth="1"/>
    <col min="6941" max="6941" width="17.140625" customWidth="1"/>
    <col min="6942" max="6943" width="19" customWidth="1"/>
    <col min="6944" max="6947" width="12.42578125" customWidth="1"/>
    <col min="6948" max="6948" width="17.140625" customWidth="1"/>
    <col min="6949" max="6949" width="22.28515625" customWidth="1"/>
    <col min="6950" max="6950" width="18.7109375" customWidth="1"/>
    <col min="6951" max="6951" width="14" customWidth="1"/>
    <col min="6952" max="6952" width="15.5703125" customWidth="1"/>
    <col min="6953" max="6953" width="11" bestFit="1" customWidth="1"/>
    <col min="6954" max="6954" width="9.85546875" bestFit="1" customWidth="1"/>
    <col min="7172" max="7172" width="39.42578125" customWidth="1"/>
    <col min="7173" max="7188" width="12.42578125" customWidth="1"/>
    <col min="7189" max="7189" width="15.5703125" customWidth="1"/>
    <col min="7190" max="7190" width="11.7109375" customWidth="1"/>
    <col min="7191" max="7191" width="12.42578125" customWidth="1"/>
    <col min="7192" max="7192" width="22" customWidth="1"/>
    <col min="7193" max="7193" width="12.42578125" customWidth="1"/>
    <col min="7194" max="7194" width="12.28515625" customWidth="1"/>
    <col min="7195" max="7196" width="10.42578125" customWidth="1"/>
    <col min="7197" max="7197" width="17.140625" customWidth="1"/>
    <col min="7198" max="7199" width="19" customWidth="1"/>
    <col min="7200" max="7203" width="12.42578125" customWidth="1"/>
    <col min="7204" max="7204" width="17.140625" customWidth="1"/>
    <col min="7205" max="7205" width="22.28515625" customWidth="1"/>
    <col min="7206" max="7206" width="18.7109375" customWidth="1"/>
    <col min="7207" max="7207" width="14" customWidth="1"/>
    <col min="7208" max="7208" width="15.5703125" customWidth="1"/>
    <col min="7209" max="7209" width="11" bestFit="1" customWidth="1"/>
    <col min="7210" max="7210" width="9.85546875" bestFit="1" customWidth="1"/>
    <col min="7428" max="7428" width="39.42578125" customWidth="1"/>
    <col min="7429" max="7444" width="12.42578125" customWidth="1"/>
    <col min="7445" max="7445" width="15.5703125" customWidth="1"/>
    <col min="7446" max="7446" width="11.7109375" customWidth="1"/>
    <col min="7447" max="7447" width="12.42578125" customWidth="1"/>
    <col min="7448" max="7448" width="22" customWidth="1"/>
    <col min="7449" max="7449" width="12.42578125" customWidth="1"/>
    <col min="7450" max="7450" width="12.28515625" customWidth="1"/>
    <col min="7451" max="7452" width="10.42578125" customWidth="1"/>
    <col min="7453" max="7453" width="17.140625" customWidth="1"/>
    <col min="7454" max="7455" width="19" customWidth="1"/>
    <col min="7456" max="7459" width="12.42578125" customWidth="1"/>
    <col min="7460" max="7460" width="17.140625" customWidth="1"/>
    <col min="7461" max="7461" width="22.28515625" customWidth="1"/>
    <col min="7462" max="7462" width="18.7109375" customWidth="1"/>
    <col min="7463" max="7463" width="14" customWidth="1"/>
    <col min="7464" max="7464" width="15.5703125" customWidth="1"/>
    <col min="7465" max="7465" width="11" bestFit="1" customWidth="1"/>
    <col min="7466" max="7466" width="9.85546875" bestFit="1" customWidth="1"/>
    <col min="7684" max="7684" width="39.42578125" customWidth="1"/>
    <col min="7685" max="7700" width="12.42578125" customWidth="1"/>
    <col min="7701" max="7701" width="15.5703125" customWidth="1"/>
    <col min="7702" max="7702" width="11.7109375" customWidth="1"/>
    <col min="7703" max="7703" width="12.42578125" customWidth="1"/>
    <col min="7704" max="7704" width="22" customWidth="1"/>
    <col min="7705" max="7705" width="12.42578125" customWidth="1"/>
    <col min="7706" max="7706" width="12.28515625" customWidth="1"/>
    <col min="7707" max="7708" width="10.42578125" customWidth="1"/>
    <col min="7709" max="7709" width="17.140625" customWidth="1"/>
    <col min="7710" max="7711" width="19" customWidth="1"/>
    <col min="7712" max="7715" width="12.42578125" customWidth="1"/>
    <col min="7716" max="7716" width="17.140625" customWidth="1"/>
    <col min="7717" max="7717" width="22.28515625" customWidth="1"/>
    <col min="7718" max="7718" width="18.7109375" customWidth="1"/>
    <col min="7719" max="7719" width="14" customWidth="1"/>
    <col min="7720" max="7720" width="15.5703125" customWidth="1"/>
    <col min="7721" max="7721" width="11" bestFit="1" customWidth="1"/>
    <col min="7722" max="7722" width="9.85546875" bestFit="1" customWidth="1"/>
    <col min="7940" max="7940" width="39.42578125" customWidth="1"/>
    <col min="7941" max="7956" width="12.42578125" customWidth="1"/>
    <col min="7957" max="7957" width="15.5703125" customWidth="1"/>
    <col min="7958" max="7958" width="11.7109375" customWidth="1"/>
    <col min="7959" max="7959" width="12.42578125" customWidth="1"/>
    <col min="7960" max="7960" width="22" customWidth="1"/>
    <col min="7961" max="7961" width="12.42578125" customWidth="1"/>
    <col min="7962" max="7962" width="12.28515625" customWidth="1"/>
    <col min="7963" max="7964" width="10.42578125" customWidth="1"/>
    <col min="7965" max="7965" width="17.140625" customWidth="1"/>
    <col min="7966" max="7967" width="19" customWidth="1"/>
    <col min="7968" max="7971" width="12.42578125" customWidth="1"/>
    <col min="7972" max="7972" width="17.140625" customWidth="1"/>
    <col min="7973" max="7973" width="22.28515625" customWidth="1"/>
    <col min="7974" max="7974" width="18.7109375" customWidth="1"/>
    <col min="7975" max="7975" width="14" customWidth="1"/>
    <col min="7976" max="7976" width="15.5703125" customWidth="1"/>
    <col min="7977" max="7977" width="11" bestFit="1" customWidth="1"/>
    <col min="7978" max="7978" width="9.85546875" bestFit="1" customWidth="1"/>
    <col min="8196" max="8196" width="39.42578125" customWidth="1"/>
    <col min="8197" max="8212" width="12.42578125" customWidth="1"/>
    <col min="8213" max="8213" width="15.5703125" customWidth="1"/>
    <col min="8214" max="8214" width="11.7109375" customWidth="1"/>
    <col min="8215" max="8215" width="12.42578125" customWidth="1"/>
    <col min="8216" max="8216" width="22" customWidth="1"/>
    <col min="8217" max="8217" width="12.42578125" customWidth="1"/>
    <col min="8218" max="8218" width="12.28515625" customWidth="1"/>
    <col min="8219" max="8220" width="10.42578125" customWidth="1"/>
    <col min="8221" max="8221" width="17.140625" customWidth="1"/>
    <col min="8222" max="8223" width="19" customWidth="1"/>
    <col min="8224" max="8227" width="12.42578125" customWidth="1"/>
    <col min="8228" max="8228" width="17.140625" customWidth="1"/>
    <col min="8229" max="8229" width="22.28515625" customWidth="1"/>
    <col min="8230" max="8230" width="18.7109375" customWidth="1"/>
    <col min="8231" max="8231" width="14" customWidth="1"/>
    <col min="8232" max="8232" width="15.5703125" customWidth="1"/>
    <col min="8233" max="8233" width="11" bestFit="1" customWidth="1"/>
    <col min="8234" max="8234" width="9.85546875" bestFit="1" customWidth="1"/>
    <col min="8452" max="8452" width="39.42578125" customWidth="1"/>
    <col min="8453" max="8468" width="12.42578125" customWidth="1"/>
    <col min="8469" max="8469" width="15.5703125" customWidth="1"/>
    <col min="8470" max="8470" width="11.7109375" customWidth="1"/>
    <col min="8471" max="8471" width="12.42578125" customWidth="1"/>
    <col min="8472" max="8472" width="22" customWidth="1"/>
    <col min="8473" max="8473" width="12.42578125" customWidth="1"/>
    <col min="8474" max="8474" width="12.28515625" customWidth="1"/>
    <col min="8475" max="8476" width="10.42578125" customWidth="1"/>
    <col min="8477" max="8477" width="17.140625" customWidth="1"/>
    <col min="8478" max="8479" width="19" customWidth="1"/>
    <col min="8480" max="8483" width="12.42578125" customWidth="1"/>
    <col min="8484" max="8484" width="17.140625" customWidth="1"/>
    <col min="8485" max="8485" width="22.28515625" customWidth="1"/>
    <col min="8486" max="8486" width="18.7109375" customWidth="1"/>
    <col min="8487" max="8487" width="14" customWidth="1"/>
    <col min="8488" max="8488" width="15.5703125" customWidth="1"/>
    <col min="8489" max="8489" width="11" bestFit="1" customWidth="1"/>
    <col min="8490" max="8490" width="9.85546875" bestFit="1" customWidth="1"/>
    <col min="8708" max="8708" width="39.42578125" customWidth="1"/>
    <col min="8709" max="8724" width="12.42578125" customWidth="1"/>
    <col min="8725" max="8725" width="15.5703125" customWidth="1"/>
    <col min="8726" max="8726" width="11.7109375" customWidth="1"/>
    <col min="8727" max="8727" width="12.42578125" customWidth="1"/>
    <col min="8728" max="8728" width="22" customWidth="1"/>
    <col min="8729" max="8729" width="12.42578125" customWidth="1"/>
    <col min="8730" max="8730" width="12.28515625" customWidth="1"/>
    <col min="8731" max="8732" width="10.42578125" customWidth="1"/>
    <col min="8733" max="8733" width="17.140625" customWidth="1"/>
    <col min="8734" max="8735" width="19" customWidth="1"/>
    <col min="8736" max="8739" width="12.42578125" customWidth="1"/>
    <col min="8740" max="8740" width="17.140625" customWidth="1"/>
    <col min="8741" max="8741" width="22.28515625" customWidth="1"/>
    <col min="8742" max="8742" width="18.7109375" customWidth="1"/>
    <col min="8743" max="8743" width="14" customWidth="1"/>
    <col min="8744" max="8744" width="15.5703125" customWidth="1"/>
    <col min="8745" max="8745" width="11" bestFit="1" customWidth="1"/>
    <col min="8746" max="8746" width="9.85546875" bestFit="1" customWidth="1"/>
    <col min="8964" max="8964" width="39.42578125" customWidth="1"/>
    <col min="8965" max="8980" width="12.42578125" customWidth="1"/>
    <col min="8981" max="8981" width="15.5703125" customWidth="1"/>
    <col min="8982" max="8982" width="11.7109375" customWidth="1"/>
    <col min="8983" max="8983" width="12.42578125" customWidth="1"/>
    <col min="8984" max="8984" width="22" customWidth="1"/>
    <col min="8985" max="8985" width="12.42578125" customWidth="1"/>
    <col min="8986" max="8986" width="12.28515625" customWidth="1"/>
    <col min="8987" max="8988" width="10.42578125" customWidth="1"/>
    <col min="8989" max="8989" width="17.140625" customWidth="1"/>
    <col min="8990" max="8991" width="19" customWidth="1"/>
    <col min="8992" max="8995" width="12.42578125" customWidth="1"/>
    <col min="8996" max="8996" width="17.140625" customWidth="1"/>
    <col min="8997" max="8997" width="22.28515625" customWidth="1"/>
    <col min="8998" max="8998" width="18.7109375" customWidth="1"/>
    <col min="8999" max="8999" width="14" customWidth="1"/>
    <col min="9000" max="9000" width="15.5703125" customWidth="1"/>
    <col min="9001" max="9001" width="11" bestFit="1" customWidth="1"/>
    <col min="9002" max="9002" width="9.85546875" bestFit="1" customWidth="1"/>
    <col min="9220" max="9220" width="39.42578125" customWidth="1"/>
    <col min="9221" max="9236" width="12.42578125" customWidth="1"/>
    <col min="9237" max="9237" width="15.5703125" customWidth="1"/>
    <col min="9238" max="9238" width="11.7109375" customWidth="1"/>
    <col min="9239" max="9239" width="12.42578125" customWidth="1"/>
    <col min="9240" max="9240" width="22" customWidth="1"/>
    <col min="9241" max="9241" width="12.42578125" customWidth="1"/>
    <col min="9242" max="9242" width="12.28515625" customWidth="1"/>
    <col min="9243" max="9244" width="10.42578125" customWidth="1"/>
    <col min="9245" max="9245" width="17.140625" customWidth="1"/>
    <col min="9246" max="9247" width="19" customWidth="1"/>
    <col min="9248" max="9251" width="12.42578125" customWidth="1"/>
    <col min="9252" max="9252" width="17.140625" customWidth="1"/>
    <col min="9253" max="9253" width="22.28515625" customWidth="1"/>
    <col min="9254" max="9254" width="18.7109375" customWidth="1"/>
    <col min="9255" max="9255" width="14" customWidth="1"/>
    <col min="9256" max="9256" width="15.5703125" customWidth="1"/>
    <col min="9257" max="9257" width="11" bestFit="1" customWidth="1"/>
    <col min="9258" max="9258" width="9.85546875" bestFit="1" customWidth="1"/>
    <col min="9476" max="9476" width="39.42578125" customWidth="1"/>
    <col min="9477" max="9492" width="12.42578125" customWidth="1"/>
    <col min="9493" max="9493" width="15.5703125" customWidth="1"/>
    <col min="9494" max="9494" width="11.7109375" customWidth="1"/>
    <col min="9495" max="9495" width="12.42578125" customWidth="1"/>
    <col min="9496" max="9496" width="22" customWidth="1"/>
    <col min="9497" max="9497" width="12.42578125" customWidth="1"/>
    <col min="9498" max="9498" width="12.28515625" customWidth="1"/>
    <col min="9499" max="9500" width="10.42578125" customWidth="1"/>
    <col min="9501" max="9501" width="17.140625" customWidth="1"/>
    <col min="9502" max="9503" width="19" customWidth="1"/>
    <col min="9504" max="9507" width="12.42578125" customWidth="1"/>
    <col min="9508" max="9508" width="17.140625" customWidth="1"/>
    <col min="9509" max="9509" width="22.28515625" customWidth="1"/>
    <col min="9510" max="9510" width="18.7109375" customWidth="1"/>
    <col min="9511" max="9511" width="14" customWidth="1"/>
    <col min="9512" max="9512" width="15.5703125" customWidth="1"/>
    <col min="9513" max="9513" width="11" bestFit="1" customWidth="1"/>
    <col min="9514" max="9514" width="9.85546875" bestFit="1" customWidth="1"/>
    <col min="9732" max="9732" width="39.42578125" customWidth="1"/>
    <col min="9733" max="9748" width="12.42578125" customWidth="1"/>
    <col min="9749" max="9749" width="15.5703125" customWidth="1"/>
    <col min="9750" max="9750" width="11.7109375" customWidth="1"/>
    <col min="9751" max="9751" width="12.42578125" customWidth="1"/>
    <col min="9752" max="9752" width="22" customWidth="1"/>
    <col min="9753" max="9753" width="12.42578125" customWidth="1"/>
    <col min="9754" max="9754" width="12.28515625" customWidth="1"/>
    <col min="9755" max="9756" width="10.42578125" customWidth="1"/>
    <col min="9757" max="9757" width="17.140625" customWidth="1"/>
    <col min="9758" max="9759" width="19" customWidth="1"/>
    <col min="9760" max="9763" width="12.42578125" customWidth="1"/>
    <col min="9764" max="9764" width="17.140625" customWidth="1"/>
    <col min="9765" max="9765" width="22.28515625" customWidth="1"/>
    <col min="9766" max="9766" width="18.7109375" customWidth="1"/>
    <col min="9767" max="9767" width="14" customWidth="1"/>
    <col min="9768" max="9768" width="15.5703125" customWidth="1"/>
    <col min="9769" max="9769" width="11" bestFit="1" customWidth="1"/>
    <col min="9770" max="9770" width="9.85546875" bestFit="1" customWidth="1"/>
    <col min="9988" max="9988" width="39.42578125" customWidth="1"/>
    <col min="9989" max="10004" width="12.42578125" customWidth="1"/>
    <col min="10005" max="10005" width="15.5703125" customWidth="1"/>
    <col min="10006" max="10006" width="11.7109375" customWidth="1"/>
    <col min="10007" max="10007" width="12.42578125" customWidth="1"/>
    <col min="10008" max="10008" width="22" customWidth="1"/>
    <col min="10009" max="10009" width="12.42578125" customWidth="1"/>
    <col min="10010" max="10010" width="12.28515625" customWidth="1"/>
    <col min="10011" max="10012" width="10.42578125" customWidth="1"/>
    <col min="10013" max="10013" width="17.140625" customWidth="1"/>
    <col min="10014" max="10015" width="19" customWidth="1"/>
    <col min="10016" max="10019" width="12.42578125" customWidth="1"/>
    <col min="10020" max="10020" width="17.140625" customWidth="1"/>
    <col min="10021" max="10021" width="22.28515625" customWidth="1"/>
    <col min="10022" max="10022" width="18.7109375" customWidth="1"/>
    <col min="10023" max="10023" width="14" customWidth="1"/>
    <col min="10024" max="10024" width="15.5703125" customWidth="1"/>
    <col min="10025" max="10025" width="11" bestFit="1" customWidth="1"/>
    <col min="10026" max="10026" width="9.85546875" bestFit="1" customWidth="1"/>
    <col min="10244" max="10244" width="39.42578125" customWidth="1"/>
    <col min="10245" max="10260" width="12.42578125" customWidth="1"/>
    <col min="10261" max="10261" width="15.5703125" customWidth="1"/>
    <col min="10262" max="10262" width="11.7109375" customWidth="1"/>
    <col min="10263" max="10263" width="12.42578125" customWidth="1"/>
    <col min="10264" max="10264" width="22" customWidth="1"/>
    <col min="10265" max="10265" width="12.42578125" customWidth="1"/>
    <col min="10266" max="10266" width="12.28515625" customWidth="1"/>
    <col min="10267" max="10268" width="10.42578125" customWidth="1"/>
    <col min="10269" max="10269" width="17.140625" customWidth="1"/>
    <col min="10270" max="10271" width="19" customWidth="1"/>
    <col min="10272" max="10275" width="12.42578125" customWidth="1"/>
    <col min="10276" max="10276" width="17.140625" customWidth="1"/>
    <col min="10277" max="10277" width="22.28515625" customWidth="1"/>
    <col min="10278" max="10278" width="18.7109375" customWidth="1"/>
    <col min="10279" max="10279" width="14" customWidth="1"/>
    <col min="10280" max="10280" width="15.5703125" customWidth="1"/>
    <col min="10281" max="10281" width="11" bestFit="1" customWidth="1"/>
    <col min="10282" max="10282" width="9.85546875" bestFit="1" customWidth="1"/>
    <col min="10500" max="10500" width="39.42578125" customWidth="1"/>
    <col min="10501" max="10516" width="12.42578125" customWidth="1"/>
    <col min="10517" max="10517" width="15.5703125" customWidth="1"/>
    <col min="10518" max="10518" width="11.7109375" customWidth="1"/>
    <col min="10519" max="10519" width="12.42578125" customWidth="1"/>
    <col min="10520" max="10520" width="22" customWidth="1"/>
    <col min="10521" max="10521" width="12.42578125" customWidth="1"/>
    <col min="10522" max="10522" width="12.28515625" customWidth="1"/>
    <col min="10523" max="10524" width="10.42578125" customWidth="1"/>
    <col min="10525" max="10525" width="17.140625" customWidth="1"/>
    <col min="10526" max="10527" width="19" customWidth="1"/>
    <col min="10528" max="10531" width="12.42578125" customWidth="1"/>
    <col min="10532" max="10532" width="17.140625" customWidth="1"/>
    <col min="10533" max="10533" width="22.28515625" customWidth="1"/>
    <col min="10534" max="10534" width="18.7109375" customWidth="1"/>
    <col min="10535" max="10535" width="14" customWidth="1"/>
    <col min="10536" max="10536" width="15.5703125" customWidth="1"/>
    <col min="10537" max="10537" width="11" bestFit="1" customWidth="1"/>
    <col min="10538" max="10538" width="9.85546875" bestFit="1" customWidth="1"/>
    <col min="10756" max="10756" width="39.42578125" customWidth="1"/>
    <col min="10757" max="10772" width="12.42578125" customWidth="1"/>
    <col min="10773" max="10773" width="15.5703125" customWidth="1"/>
    <col min="10774" max="10774" width="11.7109375" customWidth="1"/>
    <col min="10775" max="10775" width="12.42578125" customWidth="1"/>
    <col min="10776" max="10776" width="22" customWidth="1"/>
    <col min="10777" max="10777" width="12.42578125" customWidth="1"/>
    <col min="10778" max="10778" width="12.28515625" customWidth="1"/>
    <col min="10779" max="10780" width="10.42578125" customWidth="1"/>
    <col min="10781" max="10781" width="17.140625" customWidth="1"/>
    <col min="10782" max="10783" width="19" customWidth="1"/>
    <col min="10784" max="10787" width="12.42578125" customWidth="1"/>
    <col min="10788" max="10788" width="17.140625" customWidth="1"/>
    <col min="10789" max="10789" width="22.28515625" customWidth="1"/>
    <col min="10790" max="10790" width="18.7109375" customWidth="1"/>
    <col min="10791" max="10791" width="14" customWidth="1"/>
    <col min="10792" max="10792" width="15.5703125" customWidth="1"/>
    <col min="10793" max="10793" width="11" bestFit="1" customWidth="1"/>
    <col min="10794" max="10794" width="9.85546875" bestFit="1" customWidth="1"/>
    <col min="11012" max="11012" width="39.42578125" customWidth="1"/>
    <col min="11013" max="11028" width="12.42578125" customWidth="1"/>
    <col min="11029" max="11029" width="15.5703125" customWidth="1"/>
    <col min="11030" max="11030" width="11.7109375" customWidth="1"/>
    <col min="11031" max="11031" width="12.42578125" customWidth="1"/>
    <col min="11032" max="11032" width="22" customWidth="1"/>
    <col min="11033" max="11033" width="12.42578125" customWidth="1"/>
    <col min="11034" max="11034" width="12.28515625" customWidth="1"/>
    <col min="11035" max="11036" width="10.42578125" customWidth="1"/>
    <col min="11037" max="11037" width="17.140625" customWidth="1"/>
    <col min="11038" max="11039" width="19" customWidth="1"/>
    <col min="11040" max="11043" width="12.42578125" customWidth="1"/>
    <col min="11044" max="11044" width="17.140625" customWidth="1"/>
    <col min="11045" max="11045" width="22.28515625" customWidth="1"/>
    <col min="11046" max="11046" width="18.7109375" customWidth="1"/>
    <col min="11047" max="11047" width="14" customWidth="1"/>
    <col min="11048" max="11048" width="15.5703125" customWidth="1"/>
    <col min="11049" max="11049" width="11" bestFit="1" customWidth="1"/>
    <col min="11050" max="11050" width="9.85546875" bestFit="1" customWidth="1"/>
    <col min="11268" max="11268" width="39.42578125" customWidth="1"/>
    <col min="11269" max="11284" width="12.42578125" customWidth="1"/>
    <col min="11285" max="11285" width="15.5703125" customWidth="1"/>
    <col min="11286" max="11286" width="11.7109375" customWidth="1"/>
    <col min="11287" max="11287" width="12.42578125" customWidth="1"/>
    <col min="11288" max="11288" width="22" customWidth="1"/>
    <col min="11289" max="11289" width="12.42578125" customWidth="1"/>
    <col min="11290" max="11290" width="12.28515625" customWidth="1"/>
    <col min="11291" max="11292" width="10.42578125" customWidth="1"/>
    <col min="11293" max="11293" width="17.140625" customWidth="1"/>
    <col min="11294" max="11295" width="19" customWidth="1"/>
    <col min="11296" max="11299" width="12.42578125" customWidth="1"/>
    <col min="11300" max="11300" width="17.140625" customWidth="1"/>
    <col min="11301" max="11301" width="22.28515625" customWidth="1"/>
    <col min="11302" max="11302" width="18.7109375" customWidth="1"/>
    <col min="11303" max="11303" width="14" customWidth="1"/>
    <col min="11304" max="11304" width="15.5703125" customWidth="1"/>
    <col min="11305" max="11305" width="11" bestFit="1" customWidth="1"/>
    <col min="11306" max="11306" width="9.85546875" bestFit="1" customWidth="1"/>
    <col min="11524" max="11524" width="39.42578125" customWidth="1"/>
    <col min="11525" max="11540" width="12.42578125" customWidth="1"/>
    <col min="11541" max="11541" width="15.5703125" customWidth="1"/>
    <col min="11542" max="11542" width="11.7109375" customWidth="1"/>
    <col min="11543" max="11543" width="12.42578125" customWidth="1"/>
    <col min="11544" max="11544" width="22" customWidth="1"/>
    <col min="11545" max="11545" width="12.42578125" customWidth="1"/>
    <col min="11546" max="11546" width="12.28515625" customWidth="1"/>
    <col min="11547" max="11548" width="10.42578125" customWidth="1"/>
    <col min="11549" max="11549" width="17.140625" customWidth="1"/>
    <col min="11550" max="11551" width="19" customWidth="1"/>
    <col min="11552" max="11555" width="12.42578125" customWidth="1"/>
    <col min="11556" max="11556" width="17.140625" customWidth="1"/>
    <col min="11557" max="11557" width="22.28515625" customWidth="1"/>
    <col min="11558" max="11558" width="18.7109375" customWidth="1"/>
    <col min="11559" max="11559" width="14" customWidth="1"/>
    <col min="11560" max="11560" width="15.5703125" customWidth="1"/>
    <col min="11561" max="11561" width="11" bestFit="1" customWidth="1"/>
    <col min="11562" max="11562" width="9.85546875" bestFit="1" customWidth="1"/>
    <col min="11780" max="11780" width="39.42578125" customWidth="1"/>
    <col min="11781" max="11796" width="12.42578125" customWidth="1"/>
    <col min="11797" max="11797" width="15.5703125" customWidth="1"/>
    <col min="11798" max="11798" width="11.7109375" customWidth="1"/>
    <col min="11799" max="11799" width="12.42578125" customWidth="1"/>
    <col min="11800" max="11800" width="22" customWidth="1"/>
    <col min="11801" max="11801" width="12.42578125" customWidth="1"/>
    <col min="11802" max="11802" width="12.28515625" customWidth="1"/>
    <col min="11803" max="11804" width="10.42578125" customWidth="1"/>
    <col min="11805" max="11805" width="17.140625" customWidth="1"/>
    <col min="11806" max="11807" width="19" customWidth="1"/>
    <col min="11808" max="11811" width="12.42578125" customWidth="1"/>
    <col min="11812" max="11812" width="17.140625" customWidth="1"/>
    <col min="11813" max="11813" width="22.28515625" customWidth="1"/>
    <col min="11814" max="11814" width="18.7109375" customWidth="1"/>
    <col min="11815" max="11815" width="14" customWidth="1"/>
    <col min="11816" max="11816" width="15.5703125" customWidth="1"/>
    <col min="11817" max="11817" width="11" bestFit="1" customWidth="1"/>
    <col min="11818" max="11818" width="9.85546875" bestFit="1" customWidth="1"/>
    <col min="12036" max="12036" width="39.42578125" customWidth="1"/>
    <col min="12037" max="12052" width="12.42578125" customWidth="1"/>
    <col min="12053" max="12053" width="15.5703125" customWidth="1"/>
    <col min="12054" max="12054" width="11.7109375" customWidth="1"/>
    <col min="12055" max="12055" width="12.42578125" customWidth="1"/>
    <col min="12056" max="12056" width="22" customWidth="1"/>
    <col min="12057" max="12057" width="12.42578125" customWidth="1"/>
    <col min="12058" max="12058" width="12.28515625" customWidth="1"/>
    <col min="12059" max="12060" width="10.42578125" customWidth="1"/>
    <col min="12061" max="12061" width="17.140625" customWidth="1"/>
    <col min="12062" max="12063" width="19" customWidth="1"/>
    <col min="12064" max="12067" width="12.42578125" customWidth="1"/>
    <col min="12068" max="12068" width="17.140625" customWidth="1"/>
    <col min="12069" max="12069" width="22.28515625" customWidth="1"/>
    <col min="12070" max="12070" width="18.7109375" customWidth="1"/>
    <col min="12071" max="12071" width="14" customWidth="1"/>
    <col min="12072" max="12072" width="15.5703125" customWidth="1"/>
    <col min="12073" max="12073" width="11" bestFit="1" customWidth="1"/>
    <col min="12074" max="12074" width="9.85546875" bestFit="1" customWidth="1"/>
    <col min="12292" max="12292" width="39.42578125" customWidth="1"/>
    <col min="12293" max="12308" width="12.42578125" customWidth="1"/>
    <col min="12309" max="12309" width="15.5703125" customWidth="1"/>
    <col min="12310" max="12310" width="11.7109375" customWidth="1"/>
    <col min="12311" max="12311" width="12.42578125" customWidth="1"/>
    <col min="12312" max="12312" width="22" customWidth="1"/>
    <col min="12313" max="12313" width="12.42578125" customWidth="1"/>
    <col min="12314" max="12314" width="12.28515625" customWidth="1"/>
    <col min="12315" max="12316" width="10.42578125" customWidth="1"/>
    <col min="12317" max="12317" width="17.140625" customWidth="1"/>
    <col min="12318" max="12319" width="19" customWidth="1"/>
    <col min="12320" max="12323" width="12.42578125" customWidth="1"/>
    <col min="12324" max="12324" width="17.140625" customWidth="1"/>
    <col min="12325" max="12325" width="22.28515625" customWidth="1"/>
    <col min="12326" max="12326" width="18.7109375" customWidth="1"/>
    <col min="12327" max="12327" width="14" customWidth="1"/>
    <col min="12328" max="12328" width="15.5703125" customWidth="1"/>
    <col min="12329" max="12329" width="11" bestFit="1" customWidth="1"/>
    <col min="12330" max="12330" width="9.85546875" bestFit="1" customWidth="1"/>
    <col min="12548" max="12548" width="39.42578125" customWidth="1"/>
    <col min="12549" max="12564" width="12.42578125" customWidth="1"/>
    <col min="12565" max="12565" width="15.5703125" customWidth="1"/>
    <col min="12566" max="12566" width="11.7109375" customWidth="1"/>
    <col min="12567" max="12567" width="12.42578125" customWidth="1"/>
    <col min="12568" max="12568" width="22" customWidth="1"/>
    <col min="12569" max="12569" width="12.42578125" customWidth="1"/>
    <col min="12570" max="12570" width="12.28515625" customWidth="1"/>
    <col min="12571" max="12572" width="10.42578125" customWidth="1"/>
    <col min="12573" max="12573" width="17.140625" customWidth="1"/>
    <col min="12574" max="12575" width="19" customWidth="1"/>
    <col min="12576" max="12579" width="12.42578125" customWidth="1"/>
    <col min="12580" max="12580" width="17.140625" customWidth="1"/>
    <col min="12581" max="12581" width="22.28515625" customWidth="1"/>
    <col min="12582" max="12582" width="18.7109375" customWidth="1"/>
    <col min="12583" max="12583" width="14" customWidth="1"/>
    <col min="12584" max="12584" width="15.5703125" customWidth="1"/>
    <col min="12585" max="12585" width="11" bestFit="1" customWidth="1"/>
    <col min="12586" max="12586" width="9.85546875" bestFit="1" customWidth="1"/>
    <col min="12804" max="12804" width="39.42578125" customWidth="1"/>
    <col min="12805" max="12820" width="12.42578125" customWidth="1"/>
    <col min="12821" max="12821" width="15.5703125" customWidth="1"/>
    <col min="12822" max="12822" width="11.7109375" customWidth="1"/>
    <col min="12823" max="12823" width="12.42578125" customWidth="1"/>
    <col min="12824" max="12824" width="22" customWidth="1"/>
    <col min="12825" max="12825" width="12.42578125" customWidth="1"/>
    <col min="12826" max="12826" width="12.28515625" customWidth="1"/>
    <col min="12827" max="12828" width="10.42578125" customWidth="1"/>
    <col min="12829" max="12829" width="17.140625" customWidth="1"/>
    <col min="12830" max="12831" width="19" customWidth="1"/>
    <col min="12832" max="12835" width="12.42578125" customWidth="1"/>
    <col min="12836" max="12836" width="17.140625" customWidth="1"/>
    <col min="12837" max="12837" width="22.28515625" customWidth="1"/>
    <col min="12838" max="12838" width="18.7109375" customWidth="1"/>
    <col min="12839" max="12839" width="14" customWidth="1"/>
    <col min="12840" max="12840" width="15.5703125" customWidth="1"/>
    <col min="12841" max="12841" width="11" bestFit="1" customWidth="1"/>
    <col min="12842" max="12842" width="9.85546875" bestFit="1" customWidth="1"/>
    <col min="13060" max="13060" width="39.42578125" customWidth="1"/>
    <col min="13061" max="13076" width="12.42578125" customWidth="1"/>
    <col min="13077" max="13077" width="15.5703125" customWidth="1"/>
    <col min="13078" max="13078" width="11.7109375" customWidth="1"/>
    <col min="13079" max="13079" width="12.42578125" customWidth="1"/>
    <col min="13080" max="13080" width="22" customWidth="1"/>
    <col min="13081" max="13081" width="12.42578125" customWidth="1"/>
    <col min="13082" max="13082" width="12.28515625" customWidth="1"/>
    <col min="13083" max="13084" width="10.42578125" customWidth="1"/>
    <col min="13085" max="13085" width="17.140625" customWidth="1"/>
    <col min="13086" max="13087" width="19" customWidth="1"/>
    <col min="13088" max="13091" width="12.42578125" customWidth="1"/>
    <col min="13092" max="13092" width="17.140625" customWidth="1"/>
    <col min="13093" max="13093" width="22.28515625" customWidth="1"/>
    <col min="13094" max="13094" width="18.7109375" customWidth="1"/>
    <col min="13095" max="13095" width="14" customWidth="1"/>
    <col min="13096" max="13096" width="15.5703125" customWidth="1"/>
    <col min="13097" max="13097" width="11" bestFit="1" customWidth="1"/>
    <col min="13098" max="13098" width="9.85546875" bestFit="1" customWidth="1"/>
    <col min="13316" max="13316" width="39.42578125" customWidth="1"/>
    <col min="13317" max="13332" width="12.42578125" customWidth="1"/>
    <col min="13333" max="13333" width="15.5703125" customWidth="1"/>
    <col min="13334" max="13334" width="11.7109375" customWidth="1"/>
    <col min="13335" max="13335" width="12.42578125" customWidth="1"/>
    <col min="13336" max="13336" width="22" customWidth="1"/>
    <col min="13337" max="13337" width="12.42578125" customWidth="1"/>
    <col min="13338" max="13338" width="12.28515625" customWidth="1"/>
    <col min="13339" max="13340" width="10.42578125" customWidth="1"/>
    <col min="13341" max="13341" width="17.140625" customWidth="1"/>
    <col min="13342" max="13343" width="19" customWidth="1"/>
    <col min="13344" max="13347" width="12.42578125" customWidth="1"/>
    <col min="13348" max="13348" width="17.140625" customWidth="1"/>
    <col min="13349" max="13349" width="22.28515625" customWidth="1"/>
    <col min="13350" max="13350" width="18.7109375" customWidth="1"/>
    <col min="13351" max="13351" width="14" customWidth="1"/>
    <col min="13352" max="13352" width="15.5703125" customWidth="1"/>
    <col min="13353" max="13353" width="11" bestFit="1" customWidth="1"/>
    <col min="13354" max="13354" width="9.85546875" bestFit="1" customWidth="1"/>
    <col min="13572" max="13572" width="39.42578125" customWidth="1"/>
    <col min="13573" max="13588" width="12.42578125" customWidth="1"/>
    <col min="13589" max="13589" width="15.5703125" customWidth="1"/>
    <col min="13590" max="13590" width="11.7109375" customWidth="1"/>
    <col min="13591" max="13591" width="12.42578125" customWidth="1"/>
    <col min="13592" max="13592" width="22" customWidth="1"/>
    <col min="13593" max="13593" width="12.42578125" customWidth="1"/>
    <col min="13594" max="13594" width="12.28515625" customWidth="1"/>
    <col min="13595" max="13596" width="10.42578125" customWidth="1"/>
    <col min="13597" max="13597" width="17.140625" customWidth="1"/>
    <col min="13598" max="13599" width="19" customWidth="1"/>
    <col min="13600" max="13603" width="12.42578125" customWidth="1"/>
    <col min="13604" max="13604" width="17.140625" customWidth="1"/>
    <col min="13605" max="13605" width="22.28515625" customWidth="1"/>
    <col min="13606" max="13606" width="18.7109375" customWidth="1"/>
    <col min="13607" max="13607" width="14" customWidth="1"/>
    <col min="13608" max="13608" width="15.5703125" customWidth="1"/>
    <col min="13609" max="13609" width="11" bestFit="1" customWidth="1"/>
    <col min="13610" max="13610" width="9.85546875" bestFit="1" customWidth="1"/>
    <col min="13828" max="13828" width="39.42578125" customWidth="1"/>
    <col min="13829" max="13844" width="12.42578125" customWidth="1"/>
    <col min="13845" max="13845" width="15.5703125" customWidth="1"/>
    <col min="13846" max="13846" width="11.7109375" customWidth="1"/>
    <col min="13847" max="13847" width="12.42578125" customWidth="1"/>
    <col min="13848" max="13848" width="22" customWidth="1"/>
    <col min="13849" max="13849" width="12.42578125" customWidth="1"/>
    <col min="13850" max="13850" width="12.28515625" customWidth="1"/>
    <col min="13851" max="13852" width="10.42578125" customWidth="1"/>
    <col min="13853" max="13853" width="17.140625" customWidth="1"/>
    <col min="13854" max="13855" width="19" customWidth="1"/>
    <col min="13856" max="13859" width="12.42578125" customWidth="1"/>
    <col min="13860" max="13860" width="17.140625" customWidth="1"/>
    <col min="13861" max="13861" width="22.28515625" customWidth="1"/>
    <col min="13862" max="13862" width="18.7109375" customWidth="1"/>
    <col min="13863" max="13863" width="14" customWidth="1"/>
    <col min="13864" max="13864" width="15.5703125" customWidth="1"/>
    <col min="13865" max="13865" width="11" bestFit="1" customWidth="1"/>
    <col min="13866" max="13866" width="9.85546875" bestFit="1" customWidth="1"/>
    <col min="14084" max="14084" width="39.42578125" customWidth="1"/>
    <col min="14085" max="14100" width="12.42578125" customWidth="1"/>
    <col min="14101" max="14101" width="15.5703125" customWidth="1"/>
    <col min="14102" max="14102" width="11.7109375" customWidth="1"/>
    <col min="14103" max="14103" width="12.42578125" customWidth="1"/>
    <col min="14104" max="14104" width="22" customWidth="1"/>
    <col min="14105" max="14105" width="12.42578125" customWidth="1"/>
    <col min="14106" max="14106" width="12.28515625" customWidth="1"/>
    <col min="14107" max="14108" width="10.42578125" customWidth="1"/>
    <col min="14109" max="14109" width="17.140625" customWidth="1"/>
    <col min="14110" max="14111" width="19" customWidth="1"/>
    <col min="14112" max="14115" width="12.42578125" customWidth="1"/>
    <col min="14116" max="14116" width="17.140625" customWidth="1"/>
    <col min="14117" max="14117" width="22.28515625" customWidth="1"/>
    <col min="14118" max="14118" width="18.7109375" customWidth="1"/>
    <col min="14119" max="14119" width="14" customWidth="1"/>
    <col min="14120" max="14120" width="15.5703125" customWidth="1"/>
    <col min="14121" max="14121" width="11" bestFit="1" customWidth="1"/>
    <col min="14122" max="14122" width="9.85546875" bestFit="1" customWidth="1"/>
    <col min="14340" max="14340" width="39.42578125" customWidth="1"/>
    <col min="14341" max="14356" width="12.42578125" customWidth="1"/>
    <col min="14357" max="14357" width="15.5703125" customWidth="1"/>
    <col min="14358" max="14358" width="11.7109375" customWidth="1"/>
    <col min="14359" max="14359" width="12.42578125" customWidth="1"/>
    <col min="14360" max="14360" width="22" customWidth="1"/>
    <col min="14361" max="14361" width="12.42578125" customWidth="1"/>
    <col min="14362" max="14362" width="12.28515625" customWidth="1"/>
    <col min="14363" max="14364" width="10.42578125" customWidth="1"/>
    <col min="14365" max="14365" width="17.140625" customWidth="1"/>
    <col min="14366" max="14367" width="19" customWidth="1"/>
    <col min="14368" max="14371" width="12.42578125" customWidth="1"/>
    <col min="14372" max="14372" width="17.140625" customWidth="1"/>
    <col min="14373" max="14373" width="22.28515625" customWidth="1"/>
    <col min="14374" max="14374" width="18.7109375" customWidth="1"/>
    <col min="14375" max="14375" width="14" customWidth="1"/>
    <col min="14376" max="14376" width="15.5703125" customWidth="1"/>
    <col min="14377" max="14377" width="11" bestFit="1" customWidth="1"/>
    <col min="14378" max="14378" width="9.85546875" bestFit="1" customWidth="1"/>
    <col min="14596" max="14596" width="39.42578125" customWidth="1"/>
    <col min="14597" max="14612" width="12.42578125" customWidth="1"/>
    <col min="14613" max="14613" width="15.5703125" customWidth="1"/>
    <col min="14614" max="14614" width="11.7109375" customWidth="1"/>
    <col min="14615" max="14615" width="12.42578125" customWidth="1"/>
    <col min="14616" max="14616" width="22" customWidth="1"/>
    <col min="14617" max="14617" width="12.42578125" customWidth="1"/>
    <col min="14618" max="14618" width="12.28515625" customWidth="1"/>
    <col min="14619" max="14620" width="10.42578125" customWidth="1"/>
    <col min="14621" max="14621" width="17.140625" customWidth="1"/>
    <col min="14622" max="14623" width="19" customWidth="1"/>
    <col min="14624" max="14627" width="12.42578125" customWidth="1"/>
    <col min="14628" max="14628" width="17.140625" customWidth="1"/>
    <col min="14629" max="14629" width="22.28515625" customWidth="1"/>
    <col min="14630" max="14630" width="18.7109375" customWidth="1"/>
    <col min="14631" max="14631" width="14" customWidth="1"/>
    <col min="14632" max="14632" width="15.5703125" customWidth="1"/>
    <col min="14633" max="14633" width="11" bestFit="1" customWidth="1"/>
    <col min="14634" max="14634" width="9.85546875" bestFit="1" customWidth="1"/>
    <col min="14852" max="14852" width="39.42578125" customWidth="1"/>
    <col min="14853" max="14868" width="12.42578125" customWidth="1"/>
    <col min="14869" max="14869" width="15.5703125" customWidth="1"/>
    <col min="14870" max="14870" width="11.7109375" customWidth="1"/>
    <col min="14871" max="14871" width="12.42578125" customWidth="1"/>
    <col min="14872" max="14872" width="22" customWidth="1"/>
    <col min="14873" max="14873" width="12.42578125" customWidth="1"/>
    <col min="14874" max="14874" width="12.28515625" customWidth="1"/>
    <col min="14875" max="14876" width="10.42578125" customWidth="1"/>
    <col min="14877" max="14877" width="17.140625" customWidth="1"/>
    <col min="14878" max="14879" width="19" customWidth="1"/>
    <col min="14880" max="14883" width="12.42578125" customWidth="1"/>
    <col min="14884" max="14884" width="17.140625" customWidth="1"/>
    <col min="14885" max="14885" width="22.28515625" customWidth="1"/>
    <col min="14886" max="14886" width="18.7109375" customWidth="1"/>
    <col min="14887" max="14887" width="14" customWidth="1"/>
    <col min="14888" max="14888" width="15.5703125" customWidth="1"/>
    <col min="14889" max="14889" width="11" bestFit="1" customWidth="1"/>
    <col min="14890" max="14890" width="9.85546875" bestFit="1" customWidth="1"/>
    <col min="15108" max="15108" width="39.42578125" customWidth="1"/>
    <col min="15109" max="15124" width="12.42578125" customWidth="1"/>
    <col min="15125" max="15125" width="15.5703125" customWidth="1"/>
    <col min="15126" max="15126" width="11.7109375" customWidth="1"/>
    <col min="15127" max="15127" width="12.42578125" customWidth="1"/>
    <col min="15128" max="15128" width="22" customWidth="1"/>
    <col min="15129" max="15129" width="12.42578125" customWidth="1"/>
    <col min="15130" max="15130" width="12.28515625" customWidth="1"/>
    <col min="15131" max="15132" width="10.42578125" customWidth="1"/>
    <col min="15133" max="15133" width="17.140625" customWidth="1"/>
    <col min="15134" max="15135" width="19" customWidth="1"/>
    <col min="15136" max="15139" width="12.42578125" customWidth="1"/>
    <col min="15140" max="15140" width="17.140625" customWidth="1"/>
    <col min="15141" max="15141" width="22.28515625" customWidth="1"/>
    <col min="15142" max="15142" width="18.7109375" customWidth="1"/>
    <col min="15143" max="15143" width="14" customWidth="1"/>
    <col min="15144" max="15144" width="15.5703125" customWidth="1"/>
    <col min="15145" max="15145" width="11" bestFit="1" customWidth="1"/>
    <col min="15146" max="15146" width="9.85546875" bestFit="1" customWidth="1"/>
    <col min="15364" max="15364" width="39.42578125" customWidth="1"/>
    <col min="15365" max="15380" width="12.42578125" customWidth="1"/>
    <col min="15381" max="15381" width="15.5703125" customWidth="1"/>
    <col min="15382" max="15382" width="11.7109375" customWidth="1"/>
    <col min="15383" max="15383" width="12.42578125" customWidth="1"/>
    <col min="15384" max="15384" width="22" customWidth="1"/>
    <col min="15385" max="15385" width="12.42578125" customWidth="1"/>
    <col min="15386" max="15386" width="12.28515625" customWidth="1"/>
    <col min="15387" max="15388" width="10.42578125" customWidth="1"/>
    <col min="15389" max="15389" width="17.140625" customWidth="1"/>
    <col min="15390" max="15391" width="19" customWidth="1"/>
    <col min="15392" max="15395" width="12.42578125" customWidth="1"/>
    <col min="15396" max="15396" width="17.140625" customWidth="1"/>
    <col min="15397" max="15397" width="22.28515625" customWidth="1"/>
    <col min="15398" max="15398" width="18.7109375" customWidth="1"/>
    <col min="15399" max="15399" width="14" customWidth="1"/>
    <col min="15400" max="15400" width="15.5703125" customWidth="1"/>
    <col min="15401" max="15401" width="11" bestFit="1" customWidth="1"/>
    <col min="15402" max="15402" width="9.85546875" bestFit="1" customWidth="1"/>
    <col min="15620" max="15620" width="39.42578125" customWidth="1"/>
    <col min="15621" max="15636" width="12.42578125" customWidth="1"/>
    <col min="15637" max="15637" width="15.5703125" customWidth="1"/>
    <col min="15638" max="15638" width="11.7109375" customWidth="1"/>
    <col min="15639" max="15639" width="12.42578125" customWidth="1"/>
    <col min="15640" max="15640" width="22" customWidth="1"/>
    <col min="15641" max="15641" width="12.42578125" customWidth="1"/>
    <col min="15642" max="15642" width="12.28515625" customWidth="1"/>
    <col min="15643" max="15644" width="10.42578125" customWidth="1"/>
    <col min="15645" max="15645" width="17.140625" customWidth="1"/>
    <col min="15646" max="15647" width="19" customWidth="1"/>
    <col min="15648" max="15651" width="12.42578125" customWidth="1"/>
    <col min="15652" max="15652" width="17.140625" customWidth="1"/>
    <col min="15653" max="15653" width="22.28515625" customWidth="1"/>
    <col min="15654" max="15654" width="18.7109375" customWidth="1"/>
    <col min="15655" max="15655" width="14" customWidth="1"/>
    <col min="15656" max="15656" width="15.5703125" customWidth="1"/>
    <col min="15657" max="15657" width="11" bestFit="1" customWidth="1"/>
    <col min="15658" max="15658" width="9.85546875" bestFit="1" customWidth="1"/>
    <col min="15876" max="15876" width="39.42578125" customWidth="1"/>
    <col min="15877" max="15892" width="12.42578125" customWidth="1"/>
    <col min="15893" max="15893" width="15.5703125" customWidth="1"/>
    <col min="15894" max="15894" width="11.7109375" customWidth="1"/>
    <col min="15895" max="15895" width="12.42578125" customWidth="1"/>
    <col min="15896" max="15896" width="22" customWidth="1"/>
    <col min="15897" max="15897" width="12.42578125" customWidth="1"/>
    <col min="15898" max="15898" width="12.28515625" customWidth="1"/>
    <col min="15899" max="15900" width="10.42578125" customWidth="1"/>
    <col min="15901" max="15901" width="17.140625" customWidth="1"/>
    <col min="15902" max="15903" width="19" customWidth="1"/>
    <col min="15904" max="15907" width="12.42578125" customWidth="1"/>
    <col min="15908" max="15908" width="17.140625" customWidth="1"/>
    <col min="15909" max="15909" width="22.28515625" customWidth="1"/>
    <col min="15910" max="15910" width="18.7109375" customWidth="1"/>
    <col min="15911" max="15911" width="14" customWidth="1"/>
    <col min="15912" max="15912" width="15.5703125" customWidth="1"/>
    <col min="15913" max="15913" width="11" bestFit="1" customWidth="1"/>
    <col min="15914" max="15914" width="9.85546875" bestFit="1" customWidth="1"/>
    <col min="16132" max="16132" width="39.42578125" customWidth="1"/>
    <col min="16133" max="16148" width="12.42578125" customWidth="1"/>
    <col min="16149" max="16149" width="15.5703125" customWidth="1"/>
    <col min="16150" max="16150" width="11.7109375" customWidth="1"/>
    <col min="16151" max="16151" width="12.42578125" customWidth="1"/>
    <col min="16152" max="16152" width="22" customWidth="1"/>
    <col min="16153" max="16153" width="12.42578125" customWidth="1"/>
    <col min="16154" max="16154" width="12.28515625" customWidth="1"/>
    <col min="16155" max="16156" width="10.42578125" customWidth="1"/>
    <col min="16157" max="16157" width="17.140625" customWidth="1"/>
    <col min="16158" max="16159" width="19" customWidth="1"/>
    <col min="16160" max="16163" width="12.42578125" customWidth="1"/>
    <col min="16164" max="16164" width="17.140625" customWidth="1"/>
    <col min="16165" max="16165" width="22.28515625" customWidth="1"/>
    <col min="16166" max="16166" width="18.7109375" customWidth="1"/>
    <col min="16167" max="16167" width="14" customWidth="1"/>
    <col min="16168" max="16168" width="15.5703125" customWidth="1"/>
    <col min="16169" max="16169" width="11" bestFit="1" customWidth="1"/>
    <col min="16170" max="16170" width="9.85546875" bestFit="1" customWidth="1"/>
  </cols>
  <sheetData>
    <row r="1" spans="1:44" ht="19.5" thickBot="1">
      <c r="A1" s="1786" t="s">
        <v>497</v>
      </c>
      <c r="B1" s="1787"/>
      <c r="C1" s="1787"/>
      <c r="D1" s="1787"/>
      <c r="E1" s="1787"/>
      <c r="F1" s="1787"/>
      <c r="G1" s="1787"/>
      <c r="H1" s="1787"/>
      <c r="I1" s="1787"/>
      <c r="J1" s="1787"/>
      <c r="K1" s="1787"/>
      <c r="L1" s="1787"/>
      <c r="M1" s="1787"/>
      <c r="N1" s="1787"/>
      <c r="O1" s="1787"/>
      <c r="P1" s="1787"/>
      <c r="Q1" s="1787"/>
      <c r="R1" s="1787"/>
      <c r="S1" s="1787"/>
      <c r="T1" s="1787"/>
      <c r="U1" s="1787"/>
      <c r="V1" s="1787"/>
      <c r="W1" s="1787"/>
      <c r="X1" s="1787"/>
      <c r="Y1" s="1787"/>
      <c r="Z1" s="1787"/>
      <c r="AA1" s="1787"/>
      <c r="AB1" s="1787"/>
      <c r="AC1" s="1787"/>
      <c r="AD1" s="1787"/>
      <c r="AE1" s="1787"/>
      <c r="AF1" s="1787"/>
      <c r="AG1" s="1787"/>
      <c r="AH1" s="1787"/>
      <c r="AI1" s="1787"/>
      <c r="AJ1" s="1787"/>
      <c r="AK1" s="1787"/>
      <c r="AL1" s="1787"/>
      <c r="AM1" s="1788"/>
    </row>
    <row r="2" spans="1:44">
      <c r="A2" s="1789" t="s">
        <v>550</v>
      </c>
      <c r="B2" s="1791" t="s">
        <v>498</v>
      </c>
      <c r="C2" s="1792"/>
      <c r="D2" s="1792"/>
      <c r="E2" s="1792"/>
      <c r="F2" s="1792"/>
      <c r="G2" s="1792"/>
      <c r="H2" s="1792"/>
      <c r="I2" s="1792"/>
      <c r="J2" s="1792"/>
      <c r="K2" s="1792"/>
      <c r="L2" s="1792"/>
      <c r="M2" s="1792"/>
      <c r="N2" s="1792"/>
      <c r="O2" s="1792"/>
      <c r="P2" s="1792"/>
      <c r="Q2" s="1792"/>
      <c r="R2" s="1792"/>
      <c r="S2" s="1792"/>
      <c r="T2" s="1793"/>
      <c r="U2" s="1794" t="s">
        <v>499</v>
      </c>
      <c r="V2" s="1794"/>
      <c r="W2" s="1794"/>
      <c r="X2" s="1794"/>
      <c r="Y2" s="1794"/>
      <c r="Z2" s="1795"/>
      <c r="AA2" s="1804" t="s">
        <v>500</v>
      </c>
      <c r="AB2" s="1798" t="s">
        <v>289</v>
      </c>
      <c r="AC2" s="1800" t="s">
        <v>501</v>
      </c>
      <c r="AD2" s="1800"/>
      <c r="AE2" s="1800"/>
      <c r="AF2" s="1800"/>
      <c r="AG2" s="1800"/>
      <c r="AH2" s="1800"/>
      <c r="AI2" s="1800"/>
      <c r="AJ2" s="1801"/>
      <c r="AK2" s="1815" t="s">
        <v>502</v>
      </c>
      <c r="AL2" s="1815" t="s">
        <v>503</v>
      </c>
      <c r="AM2" s="1811" t="s">
        <v>293</v>
      </c>
    </row>
    <row r="3" spans="1:44" ht="60.75" thickBot="1">
      <c r="A3" s="1790"/>
      <c r="B3" s="729" t="s">
        <v>551</v>
      </c>
      <c r="C3" s="176" t="s">
        <v>505</v>
      </c>
      <c r="D3" s="1016" t="s">
        <v>506</v>
      </c>
      <c r="E3" s="176" t="s">
        <v>504</v>
      </c>
      <c r="F3" s="176" t="s">
        <v>507</v>
      </c>
      <c r="G3" s="176" t="s">
        <v>508</v>
      </c>
      <c r="H3" s="176" t="s">
        <v>509</v>
      </c>
      <c r="I3" s="176" t="s">
        <v>510</v>
      </c>
      <c r="J3" s="176" t="s">
        <v>512</v>
      </c>
      <c r="K3" s="176" t="s">
        <v>513</v>
      </c>
      <c r="L3" s="730" t="s">
        <v>514</v>
      </c>
      <c r="M3" s="730" t="s">
        <v>515</v>
      </c>
      <c r="N3" s="730" t="s">
        <v>516</v>
      </c>
      <c r="O3" s="730" t="s">
        <v>517</v>
      </c>
      <c r="P3" s="730" t="s">
        <v>518</v>
      </c>
      <c r="Q3" s="731" t="s">
        <v>519</v>
      </c>
      <c r="R3" s="731" t="s">
        <v>520</v>
      </c>
      <c r="S3" s="732" t="s">
        <v>521</v>
      </c>
      <c r="T3" s="733" t="s">
        <v>293</v>
      </c>
      <c r="U3" s="178" t="s">
        <v>553</v>
      </c>
      <c r="V3" s="179" t="s">
        <v>560</v>
      </c>
      <c r="W3" s="179" t="s">
        <v>561</v>
      </c>
      <c r="X3" s="179" t="s">
        <v>555</v>
      </c>
      <c r="Y3" s="179" t="s">
        <v>510</v>
      </c>
      <c r="Z3" s="180" t="s">
        <v>293</v>
      </c>
      <c r="AA3" s="1805"/>
      <c r="AB3" s="1814"/>
      <c r="AC3" s="734" t="s">
        <v>522</v>
      </c>
      <c r="AD3" s="185" t="s">
        <v>523</v>
      </c>
      <c r="AE3" s="185" t="s">
        <v>511</v>
      </c>
      <c r="AF3" s="185" t="s">
        <v>524</v>
      </c>
      <c r="AG3" s="185" t="s">
        <v>554</v>
      </c>
      <c r="AH3" s="185" t="s">
        <v>552</v>
      </c>
      <c r="AI3" s="1018" t="s">
        <v>525</v>
      </c>
      <c r="AJ3" s="186" t="s">
        <v>293</v>
      </c>
      <c r="AK3" s="1816"/>
      <c r="AL3" s="1816"/>
      <c r="AM3" s="1812"/>
      <c r="AN3" s="187" t="s">
        <v>549</v>
      </c>
      <c r="AQ3" s="1052" t="s">
        <v>565</v>
      </c>
      <c r="AR3" s="1049" t="s">
        <v>566</v>
      </c>
    </row>
    <row r="4" spans="1:44" ht="30">
      <c r="A4" s="188" t="s">
        <v>304</v>
      </c>
      <c r="B4" s="735">
        <f>542030*11</f>
        <v>5962330</v>
      </c>
      <c r="C4" s="190">
        <f>411076+(374535*11)</f>
        <v>4530961</v>
      </c>
      <c r="D4" s="190">
        <f>180500+(195000*11)</f>
        <v>2325500</v>
      </c>
      <c r="E4" s="190">
        <f>301455+(319725*11)</f>
        <v>3818430</v>
      </c>
      <c r="F4" s="190">
        <f>337995+(347130*11)</f>
        <v>4156425</v>
      </c>
      <c r="G4" s="190">
        <f>274049+(274050*11)</f>
        <v>3288599</v>
      </c>
      <c r="H4" s="190">
        <f>337995*12</f>
        <v>4055940</v>
      </c>
      <c r="I4" s="190">
        <f>246645+255780*11</f>
        <v>3060225</v>
      </c>
      <c r="J4" s="190">
        <f>255780*12</f>
        <v>3069360</v>
      </c>
      <c r="K4" s="190">
        <f>255780*12</f>
        <v>3069360</v>
      </c>
      <c r="L4" s="736">
        <f>228600+(243100*11)</f>
        <v>2902700</v>
      </c>
      <c r="M4" s="736">
        <f>198600+(213100*11)</f>
        <v>2542700</v>
      </c>
      <c r="N4" s="736">
        <f>228600+(243100*11)</f>
        <v>2902700</v>
      </c>
      <c r="O4" s="736">
        <f>198600+(213100*11)</f>
        <v>2542700</v>
      </c>
      <c r="P4" s="736">
        <f>198600+(213100*11)</f>
        <v>2542700</v>
      </c>
      <c r="Q4" s="737">
        <f>198600+(213100*11)</f>
        <v>2542700</v>
      </c>
      <c r="R4" s="737">
        <f>199800+(213100*8)</f>
        <v>1904600</v>
      </c>
      <c r="S4" s="738"/>
      <c r="T4" s="739">
        <f>SUM(B4:S4)</f>
        <v>55217930</v>
      </c>
      <c r="U4" s="192"/>
      <c r="V4" s="193"/>
      <c r="W4" s="193"/>
      <c r="X4" s="193"/>
      <c r="Y4" s="193"/>
      <c r="Z4" s="194">
        <f>SUM(U4:Y4)</f>
        <v>0</v>
      </c>
      <c r="AA4" s="301"/>
      <c r="AB4" s="740"/>
      <c r="AC4" s="741">
        <f>222066+(237564*11)</f>
        <v>2835270</v>
      </c>
      <c r="AD4" s="200">
        <f>219785+235284*11</f>
        <v>2807909</v>
      </c>
      <c r="AE4" s="200">
        <f>274050+283185*11</f>
        <v>3389085</v>
      </c>
      <c r="AF4" s="200">
        <f>197659+(212159*11)</f>
        <v>2531408</v>
      </c>
      <c r="AG4" s="200"/>
      <c r="AH4" s="200">
        <f>211395+231339*11</f>
        <v>2756124</v>
      </c>
      <c r="AI4" s="1019"/>
      <c r="AJ4" s="201">
        <f>SUM(AC4:AI4)</f>
        <v>14319796</v>
      </c>
      <c r="AK4" s="742"/>
      <c r="AL4" s="743"/>
      <c r="AM4" s="205">
        <f>T4+Z4+AB4+AK4+AL4+AJ4+AA4</f>
        <v>69537726</v>
      </c>
      <c r="AN4" s="206">
        <v>60623189</v>
      </c>
      <c r="AQ4" s="1053"/>
      <c r="AR4" s="468"/>
    </row>
    <row r="5" spans="1:44">
      <c r="A5" s="207" t="s">
        <v>305</v>
      </c>
      <c r="B5" s="735"/>
      <c r="C5" s="190"/>
      <c r="D5" s="190"/>
      <c r="E5" s="190"/>
      <c r="F5" s="190"/>
      <c r="G5" s="190"/>
      <c r="H5" s="190"/>
      <c r="I5" s="190"/>
      <c r="J5" s="190"/>
      <c r="K5" s="190"/>
      <c r="L5" s="736"/>
      <c r="M5" s="736"/>
      <c r="N5" s="736"/>
      <c r="O5" s="736"/>
      <c r="P5" s="736"/>
      <c r="Q5" s="737"/>
      <c r="R5" s="737"/>
      <c r="S5" s="738">
        <v>2744397</v>
      </c>
      <c r="T5" s="744">
        <f t="shared" ref="T5:T16" si="0">SUM(B5:S5)</f>
        <v>2744397</v>
      </c>
      <c r="U5" s="209"/>
      <c r="V5" s="210"/>
      <c r="W5" s="210"/>
      <c r="X5" s="210"/>
      <c r="Y5" s="210"/>
      <c r="Z5" s="211">
        <f>SUM(U5:V5)</f>
        <v>0</v>
      </c>
      <c r="AA5" s="231"/>
      <c r="AB5" s="745"/>
      <c r="AC5" s="746"/>
      <c r="AD5" s="217"/>
      <c r="AE5" s="217"/>
      <c r="AF5" s="217"/>
      <c r="AG5" s="217"/>
      <c r="AH5" s="217"/>
      <c r="AI5" s="1020">
        <v>715990</v>
      </c>
      <c r="AJ5" s="218">
        <f t="shared" ref="AJ5:AJ16" si="1">SUM(AC5:AI5)</f>
        <v>715990</v>
      </c>
      <c r="AK5" s="747"/>
      <c r="AL5" s="743"/>
      <c r="AM5" s="220">
        <f t="shared" ref="AM5:AM68" si="2">T5+Z5+AB5+AK5+AL5+AJ5+AA5</f>
        <v>3460387</v>
      </c>
      <c r="AN5" s="206">
        <v>2874700</v>
      </c>
      <c r="AQ5" s="1053"/>
      <c r="AR5" s="468"/>
    </row>
    <row r="6" spans="1:44" ht="30">
      <c r="A6" s="221" t="s">
        <v>306</v>
      </c>
      <c r="B6" s="748"/>
      <c r="C6" s="223"/>
      <c r="D6" s="223"/>
      <c r="E6" s="223"/>
      <c r="F6" s="223"/>
      <c r="G6" s="223"/>
      <c r="H6" s="223"/>
      <c r="I6" s="223"/>
      <c r="J6" s="223"/>
      <c r="K6" s="223"/>
      <c r="L6" s="749"/>
      <c r="M6" s="749"/>
      <c r="N6" s="749"/>
      <c r="O6" s="749"/>
      <c r="P6" s="749"/>
      <c r="Q6" s="750"/>
      <c r="R6" s="750"/>
      <c r="S6" s="751"/>
      <c r="T6" s="744">
        <f t="shared" si="0"/>
        <v>0</v>
      </c>
      <c r="U6" s="225"/>
      <c r="V6" s="226"/>
      <c r="W6" s="226"/>
      <c r="X6" s="226"/>
      <c r="Y6" s="226"/>
      <c r="Z6" s="211">
        <f>SUM(U6:V6)</f>
        <v>0</v>
      </c>
      <c r="AA6" s="231"/>
      <c r="AB6" s="745"/>
      <c r="AC6" s="752"/>
      <c r="AD6" s="230"/>
      <c r="AE6" s="230"/>
      <c r="AF6" s="230"/>
      <c r="AG6" s="230"/>
      <c r="AH6" s="230"/>
      <c r="AI6" s="1021"/>
      <c r="AJ6" s="218">
        <f t="shared" si="1"/>
        <v>0</v>
      </c>
      <c r="AK6" s="747"/>
      <c r="AL6" s="747"/>
      <c r="AM6" s="220">
        <f t="shared" si="2"/>
        <v>0</v>
      </c>
      <c r="AN6" s="206"/>
      <c r="AQ6" s="1053"/>
      <c r="AR6" s="468"/>
    </row>
    <row r="7" spans="1:44">
      <c r="A7" s="221" t="s">
        <v>307</v>
      </c>
      <c r="B7" s="748"/>
      <c r="C7" s="223"/>
      <c r="D7" s="223"/>
      <c r="E7" s="223"/>
      <c r="F7" s="223"/>
      <c r="G7" s="223"/>
      <c r="H7" s="223"/>
      <c r="I7" s="223"/>
      <c r="J7" s="223"/>
      <c r="K7" s="223"/>
      <c r="L7" s="749"/>
      <c r="M7" s="749"/>
      <c r="N7" s="749"/>
      <c r="O7" s="749"/>
      <c r="P7" s="749"/>
      <c r="Q7" s="750"/>
      <c r="R7" s="750"/>
      <c r="S7" s="751"/>
      <c r="T7" s="744">
        <f t="shared" si="0"/>
        <v>0</v>
      </c>
      <c r="U7" s="225"/>
      <c r="V7" s="226"/>
      <c r="W7" s="226"/>
      <c r="X7" s="226"/>
      <c r="Y7" s="226"/>
      <c r="Z7" s="211">
        <f>SUM(U7:V7)</f>
        <v>0</v>
      </c>
      <c r="AA7" s="231"/>
      <c r="AB7" s="745"/>
      <c r="AC7" s="752"/>
      <c r="AD7" s="230"/>
      <c r="AE7" s="230"/>
      <c r="AF7" s="230"/>
      <c r="AG7" s="230"/>
      <c r="AH7" s="230"/>
      <c r="AI7" s="1021"/>
      <c r="AJ7" s="218">
        <f t="shared" si="1"/>
        <v>0</v>
      </c>
      <c r="AK7" s="747"/>
      <c r="AL7" s="747"/>
      <c r="AM7" s="220">
        <f t="shared" si="2"/>
        <v>0</v>
      </c>
      <c r="AN7" s="206"/>
      <c r="AQ7" s="1053"/>
      <c r="AR7" s="468"/>
    </row>
    <row r="8" spans="1:44">
      <c r="A8" s="221" t="s">
        <v>308</v>
      </c>
      <c r="B8" s="748">
        <v>150000</v>
      </c>
      <c r="C8" s="223">
        <v>150000</v>
      </c>
      <c r="D8" s="223">
        <v>150000</v>
      </c>
      <c r="E8" s="223">
        <v>150000</v>
      </c>
      <c r="F8" s="223">
        <v>150000</v>
      </c>
      <c r="G8" s="223">
        <v>150000</v>
      </c>
      <c r="H8" s="223">
        <v>150000</v>
      </c>
      <c r="I8" s="223">
        <v>150000</v>
      </c>
      <c r="J8" s="223">
        <v>150000</v>
      </c>
      <c r="K8" s="223">
        <v>150000</v>
      </c>
      <c r="L8" s="749">
        <v>150000</v>
      </c>
      <c r="M8" s="749">
        <v>150000</v>
      </c>
      <c r="N8" s="749">
        <v>150000</v>
      </c>
      <c r="O8" s="749">
        <v>150000</v>
      </c>
      <c r="P8" s="749">
        <v>150000</v>
      </c>
      <c r="Q8" s="750">
        <v>150000</v>
      </c>
      <c r="R8" s="750">
        <v>100000</v>
      </c>
      <c r="S8" s="751"/>
      <c r="T8" s="744">
        <f t="shared" si="0"/>
        <v>2500000</v>
      </c>
      <c r="U8" s="225"/>
      <c r="V8" s="226"/>
      <c r="W8" s="226"/>
      <c r="X8" s="226"/>
      <c r="Y8" s="226"/>
      <c r="Z8" s="211">
        <f>SUM(U8:V8)</f>
        <v>0</v>
      </c>
      <c r="AA8" s="231"/>
      <c r="AB8" s="745"/>
      <c r="AC8" s="752">
        <v>150000</v>
      </c>
      <c r="AD8" s="230">
        <v>150000</v>
      </c>
      <c r="AE8" s="230">
        <v>150000</v>
      </c>
      <c r="AF8" s="230">
        <v>150000</v>
      </c>
      <c r="AG8" s="230"/>
      <c r="AH8" s="230">
        <v>150000</v>
      </c>
      <c r="AI8" s="1021"/>
      <c r="AJ8" s="218">
        <f t="shared" si="1"/>
        <v>750000</v>
      </c>
      <c r="AK8" s="747"/>
      <c r="AL8" s="747"/>
      <c r="AM8" s="220">
        <f t="shared" si="2"/>
        <v>3250000</v>
      </c>
      <c r="AN8" s="206">
        <v>3124128</v>
      </c>
      <c r="AQ8" s="1053"/>
      <c r="AR8" s="468"/>
    </row>
    <row r="9" spans="1:44">
      <c r="A9" s="221" t="s">
        <v>309</v>
      </c>
      <c r="B9" s="748"/>
      <c r="C9" s="223"/>
      <c r="D9" s="223"/>
      <c r="E9" s="223"/>
      <c r="F9" s="223"/>
      <c r="G9" s="223"/>
      <c r="H9" s="223"/>
      <c r="I9" s="223"/>
      <c r="J9" s="223"/>
      <c r="K9" s="223"/>
      <c r="L9" s="749"/>
      <c r="M9" s="749"/>
      <c r="N9" s="749"/>
      <c r="O9" s="749"/>
      <c r="P9" s="749"/>
      <c r="Q9" s="750"/>
      <c r="R9" s="750"/>
      <c r="S9" s="751"/>
      <c r="T9" s="744">
        <f t="shared" si="0"/>
        <v>0</v>
      </c>
      <c r="U9" s="225"/>
      <c r="V9" s="226"/>
      <c r="W9" s="226"/>
      <c r="X9" s="226"/>
      <c r="Y9" s="226"/>
      <c r="Z9" s="211"/>
      <c r="AA9" s="231"/>
      <c r="AB9" s="745"/>
      <c r="AC9" s="752"/>
      <c r="AD9" s="230"/>
      <c r="AE9" s="230"/>
      <c r="AF9" s="230"/>
      <c r="AG9" s="230"/>
      <c r="AH9" s="230"/>
      <c r="AI9" s="1021"/>
      <c r="AJ9" s="218">
        <f t="shared" si="1"/>
        <v>0</v>
      </c>
      <c r="AK9" s="747"/>
      <c r="AL9" s="747"/>
      <c r="AM9" s="220">
        <f t="shared" si="2"/>
        <v>0</v>
      </c>
      <c r="AN9" s="206"/>
      <c r="AQ9" s="1053"/>
      <c r="AR9" s="468"/>
    </row>
    <row r="10" spans="1:44">
      <c r="A10" s="221" t="s">
        <v>310</v>
      </c>
      <c r="B10" s="748"/>
      <c r="C10" s="223"/>
      <c r="D10" s="223"/>
      <c r="E10" s="223"/>
      <c r="F10" s="223">
        <f>3780*12</f>
        <v>45360</v>
      </c>
      <c r="G10" s="223"/>
      <c r="H10" s="223"/>
      <c r="I10" s="223"/>
      <c r="J10" s="223">
        <f>2400*12</f>
        <v>28800</v>
      </c>
      <c r="K10" s="223"/>
      <c r="L10" s="749"/>
      <c r="M10" s="749"/>
      <c r="N10" s="749"/>
      <c r="O10" s="749"/>
      <c r="P10" s="749"/>
      <c r="Q10" s="750">
        <f>3600*12</f>
        <v>43200</v>
      </c>
      <c r="R10" s="750"/>
      <c r="S10" s="751"/>
      <c r="T10" s="744">
        <f t="shared" si="0"/>
        <v>117360</v>
      </c>
      <c r="U10" s="225"/>
      <c r="V10" s="226"/>
      <c r="W10" s="226"/>
      <c r="X10" s="226"/>
      <c r="Y10" s="226"/>
      <c r="Z10" s="211">
        <f>SUM(U10:V10)</f>
        <v>0</v>
      </c>
      <c r="AA10" s="231"/>
      <c r="AB10" s="745"/>
      <c r="AC10" s="752"/>
      <c r="AD10" s="230"/>
      <c r="AE10" s="230"/>
      <c r="AF10" s="230"/>
      <c r="AG10" s="230"/>
      <c r="AH10" s="230"/>
      <c r="AI10" s="1021"/>
      <c r="AJ10" s="218">
        <f t="shared" si="1"/>
        <v>0</v>
      </c>
      <c r="AK10" s="747"/>
      <c r="AL10" s="747"/>
      <c r="AM10" s="220">
        <f t="shared" si="2"/>
        <v>117360</v>
      </c>
      <c r="AN10" s="206">
        <v>281100</v>
      </c>
      <c r="AQ10" s="1053"/>
      <c r="AR10" s="468"/>
    </row>
    <row r="11" spans="1:44">
      <c r="A11" s="221" t="s">
        <v>526</v>
      </c>
      <c r="B11" s="748"/>
      <c r="C11" s="223"/>
      <c r="D11" s="223"/>
      <c r="E11" s="223"/>
      <c r="F11" s="223"/>
      <c r="G11" s="223"/>
      <c r="H11" s="223"/>
      <c r="I11" s="223"/>
      <c r="J11" s="223"/>
      <c r="K11" s="223"/>
      <c r="L11" s="749"/>
      <c r="M11" s="749"/>
      <c r="N11" s="749"/>
      <c r="O11" s="749"/>
      <c r="P11" s="749"/>
      <c r="Q11" s="750"/>
      <c r="R11" s="750"/>
      <c r="S11" s="751"/>
      <c r="T11" s="744">
        <f t="shared" si="0"/>
        <v>0</v>
      </c>
      <c r="U11" s="225"/>
      <c r="V11" s="226"/>
      <c r="W11" s="226"/>
      <c r="X11" s="226"/>
      <c r="Y11" s="226"/>
      <c r="Z11" s="211"/>
      <c r="AA11" s="231"/>
      <c r="AB11" s="745"/>
      <c r="AC11" s="752"/>
      <c r="AD11" s="230"/>
      <c r="AE11" s="230"/>
      <c r="AF11" s="230"/>
      <c r="AG11" s="230"/>
      <c r="AH11" s="230"/>
      <c r="AI11" s="1021"/>
      <c r="AJ11" s="218">
        <f t="shared" si="1"/>
        <v>0</v>
      </c>
      <c r="AK11" s="747"/>
      <c r="AL11" s="747"/>
      <c r="AM11" s="220">
        <f t="shared" si="2"/>
        <v>0</v>
      </c>
      <c r="AN11" s="206"/>
      <c r="AQ11" s="1053"/>
      <c r="AR11" s="468"/>
    </row>
    <row r="12" spans="1:44" ht="30.75" thickBot="1">
      <c r="A12" s="232" t="s">
        <v>312</v>
      </c>
      <c r="B12" s="753"/>
      <c r="C12" s="234"/>
      <c r="D12" s="234"/>
      <c r="E12" s="234"/>
      <c r="F12" s="234"/>
      <c r="G12" s="234"/>
      <c r="H12" s="234"/>
      <c r="I12" s="234"/>
      <c r="J12" s="234"/>
      <c r="K12" s="234"/>
      <c r="L12" s="754"/>
      <c r="M12" s="754"/>
      <c r="N12" s="754"/>
      <c r="O12" s="754"/>
      <c r="P12" s="754"/>
      <c r="Q12" s="755"/>
      <c r="R12" s="755"/>
      <c r="S12" s="756">
        <v>200000</v>
      </c>
      <c r="T12" s="757">
        <f t="shared" si="0"/>
        <v>200000</v>
      </c>
      <c r="U12" s="236"/>
      <c r="V12" s="237"/>
      <c r="W12" s="237"/>
      <c r="X12" s="237"/>
      <c r="Y12" s="237"/>
      <c r="Z12" s="238">
        <f>SUM(U12:V12)</f>
        <v>0</v>
      </c>
      <c r="AA12" s="247"/>
      <c r="AB12" s="758"/>
      <c r="AC12" s="759"/>
      <c r="AD12" s="244"/>
      <c r="AE12" s="244"/>
      <c r="AF12" s="244"/>
      <c r="AG12" s="244"/>
      <c r="AH12" s="244"/>
      <c r="AI12" s="1022">
        <v>50000</v>
      </c>
      <c r="AJ12" s="309">
        <f t="shared" si="1"/>
        <v>50000</v>
      </c>
      <c r="AK12" s="760"/>
      <c r="AL12" s="760"/>
      <c r="AM12" s="249">
        <f t="shared" si="2"/>
        <v>250000</v>
      </c>
      <c r="AN12" s="206">
        <v>712051</v>
      </c>
      <c r="AQ12" s="1053"/>
      <c r="AR12" s="468"/>
    </row>
    <row r="13" spans="1:44" ht="16.5" thickBot="1">
      <c r="A13" s="250" t="s">
        <v>313</v>
      </c>
      <c r="B13" s="761">
        <f t="shared" ref="B13:Y13" si="3">SUM(B4:B12)</f>
        <v>6112330</v>
      </c>
      <c r="C13" s="252">
        <f t="shared" si="3"/>
        <v>4680961</v>
      </c>
      <c r="D13" s="252">
        <f t="shared" si="3"/>
        <v>2475500</v>
      </c>
      <c r="E13" s="252">
        <f t="shared" si="3"/>
        <v>3968430</v>
      </c>
      <c r="F13" s="252">
        <f t="shared" si="3"/>
        <v>4351785</v>
      </c>
      <c r="G13" s="252">
        <f t="shared" si="3"/>
        <v>3438599</v>
      </c>
      <c r="H13" s="252">
        <f t="shared" si="3"/>
        <v>4205940</v>
      </c>
      <c r="I13" s="252">
        <f t="shared" si="3"/>
        <v>3210225</v>
      </c>
      <c r="J13" s="252">
        <f t="shared" si="3"/>
        <v>3248160</v>
      </c>
      <c r="K13" s="252">
        <f t="shared" si="3"/>
        <v>3219360</v>
      </c>
      <c r="L13" s="762">
        <f t="shared" si="3"/>
        <v>3052700</v>
      </c>
      <c r="M13" s="762">
        <f t="shared" si="3"/>
        <v>2692700</v>
      </c>
      <c r="N13" s="762">
        <f t="shared" si="3"/>
        <v>3052700</v>
      </c>
      <c r="O13" s="762">
        <f t="shared" si="3"/>
        <v>2692700</v>
      </c>
      <c r="P13" s="762">
        <f t="shared" si="3"/>
        <v>2692700</v>
      </c>
      <c r="Q13" s="763">
        <f t="shared" si="3"/>
        <v>2735900</v>
      </c>
      <c r="R13" s="763">
        <f t="shared" si="3"/>
        <v>2004600</v>
      </c>
      <c r="S13" s="764">
        <f t="shared" si="3"/>
        <v>2944397</v>
      </c>
      <c r="T13" s="765">
        <f t="shared" si="3"/>
        <v>60779687</v>
      </c>
      <c r="U13" s="254">
        <f t="shared" si="3"/>
        <v>0</v>
      </c>
      <c r="V13" s="255">
        <f t="shared" si="3"/>
        <v>0</v>
      </c>
      <c r="W13" s="255">
        <f>SUM(W4:W12)</f>
        <v>0</v>
      </c>
      <c r="X13" s="255">
        <f t="shared" si="3"/>
        <v>0</v>
      </c>
      <c r="Y13" s="255">
        <f t="shared" si="3"/>
        <v>0</v>
      </c>
      <c r="Z13" s="256">
        <f>SUM(U13:X13)</f>
        <v>0</v>
      </c>
      <c r="AA13" s="265">
        <f t="shared" ref="AA13:AI13" si="4">SUM(AA4:AA12)</f>
        <v>0</v>
      </c>
      <c r="AB13" s="766">
        <f t="shared" si="4"/>
        <v>0</v>
      </c>
      <c r="AC13" s="767">
        <f t="shared" si="4"/>
        <v>2985270</v>
      </c>
      <c r="AD13" s="262">
        <f t="shared" si="4"/>
        <v>2957909</v>
      </c>
      <c r="AE13" s="262">
        <f>SUM(AE4:AE12)</f>
        <v>3539085</v>
      </c>
      <c r="AF13" s="262">
        <f t="shared" si="4"/>
        <v>2681408</v>
      </c>
      <c r="AG13" s="262">
        <f>SUM(AG4:AG12)</f>
        <v>0</v>
      </c>
      <c r="AH13" s="262">
        <f>SUM(AH4:AH12)</f>
        <v>2906124</v>
      </c>
      <c r="AI13" s="1023">
        <f t="shared" si="4"/>
        <v>765990</v>
      </c>
      <c r="AJ13" s="263">
        <f>SUM(AC13:AF13)</f>
        <v>12163672</v>
      </c>
      <c r="AK13" s="768">
        <f>SUM(AK4:AK12)</f>
        <v>0</v>
      </c>
      <c r="AL13" s="768">
        <f>SUM(AL4:AL12)</f>
        <v>0</v>
      </c>
      <c r="AM13" s="205">
        <f t="shared" si="2"/>
        <v>72943359</v>
      </c>
      <c r="AN13" s="206"/>
      <c r="AQ13" s="1053"/>
      <c r="AR13" s="468"/>
    </row>
    <row r="14" spans="1:44">
      <c r="A14" s="267" t="s">
        <v>314</v>
      </c>
      <c r="B14" s="769"/>
      <c r="C14" s="269"/>
      <c r="D14" s="270"/>
      <c r="E14" s="270"/>
      <c r="F14" s="270"/>
      <c r="G14" s="270"/>
      <c r="H14" s="270"/>
      <c r="I14" s="270"/>
      <c r="J14" s="270"/>
      <c r="K14" s="270"/>
      <c r="L14" s="770"/>
      <c r="M14" s="770"/>
      <c r="N14" s="770"/>
      <c r="O14" s="770"/>
      <c r="P14" s="770"/>
      <c r="Q14" s="771"/>
      <c r="R14" s="771"/>
      <c r="S14" s="772"/>
      <c r="T14" s="739">
        <f t="shared" si="0"/>
        <v>0</v>
      </c>
      <c r="U14" s="236"/>
      <c r="V14" s="237"/>
      <c r="W14" s="237"/>
      <c r="X14" s="274"/>
      <c r="Y14" s="274"/>
      <c r="Z14" s="194">
        <f>SUM(U14:V14)</f>
        <v>0</v>
      </c>
      <c r="AA14" s="301"/>
      <c r="AB14" s="740"/>
      <c r="AC14" s="759"/>
      <c r="AD14" s="244"/>
      <c r="AE14" s="244"/>
      <c r="AF14" s="244"/>
      <c r="AG14" s="244"/>
      <c r="AH14" s="244"/>
      <c r="AI14" s="1022"/>
      <c r="AJ14" s="201">
        <f t="shared" si="1"/>
        <v>0</v>
      </c>
      <c r="AK14" s="742"/>
      <c r="AL14" s="773"/>
      <c r="AM14" s="205">
        <f t="shared" si="2"/>
        <v>0</v>
      </c>
      <c r="AN14" s="206"/>
      <c r="AQ14" s="1053"/>
      <c r="AR14" s="468"/>
    </row>
    <row r="15" spans="1:44" ht="45">
      <c r="A15" s="232" t="s">
        <v>315</v>
      </c>
      <c r="B15" s="774"/>
      <c r="C15" s="269"/>
      <c r="D15" s="269"/>
      <c r="E15" s="269"/>
      <c r="F15" s="269"/>
      <c r="G15" s="269"/>
      <c r="H15" s="269"/>
      <c r="I15" s="269"/>
      <c r="J15" s="269"/>
      <c r="K15" s="269"/>
      <c r="L15" s="775"/>
      <c r="M15" s="775"/>
      <c r="N15" s="775"/>
      <c r="O15" s="775"/>
      <c r="P15" s="775"/>
      <c r="Q15" s="771"/>
      <c r="R15" s="771"/>
      <c r="S15" s="776"/>
      <c r="T15" s="744">
        <f t="shared" si="0"/>
        <v>0</v>
      </c>
      <c r="U15" s="225">
        <f>48000*12</f>
        <v>576000</v>
      </c>
      <c r="V15" s="226"/>
      <c r="W15" s="226"/>
      <c r="X15" s="226">
        <f>65000*12</f>
        <v>780000</v>
      </c>
      <c r="Y15" s="226">
        <f>20000*12</f>
        <v>240000</v>
      </c>
      <c r="Z15" s="211">
        <f>SUM(U15:Y15)</f>
        <v>1596000</v>
      </c>
      <c r="AA15" s="231"/>
      <c r="AB15" s="745"/>
      <c r="AC15" s="759"/>
      <c r="AD15" s="244"/>
      <c r="AE15" s="244"/>
      <c r="AF15" s="244"/>
      <c r="AG15" s="244">
        <f>35000*12</f>
        <v>420000</v>
      </c>
      <c r="AH15" s="244"/>
      <c r="AI15" s="1022"/>
      <c r="AJ15" s="218">
        <f t="shared" si="1"/>
        <v>420000</v>
      </c>
      <c r="AK15" s="747"/>
      <c r="AL15" s="760"/>
      <c r="AM15" s="220">
        <f t="shared" si="2"/>
        <v>2016000</v>
      </c>
      <c r="AN15" s="206">
        <v>1198886</v>
      </c>
      <c r="AQ15" s="1053"/>
      <c r="AR15" s="468"/>
    </row>
    <row r="16" spans="1:44" ht="30.75" thickBot="1">
      <c r="A16" s="232" t="s">
        <v>316</v>
      </c>
      <c r="B16" s="753"/>
      <c r="C16" s="234"/>
      <c r="D16" s="234"/>
      <c r="E16" s="234"/>
      <c r="F16" s="234"/>
      <c r="G16" s="234"/>
      <c r="H16" s="234"/>
      <c r="I16" s="234"/>
      <c r="J16" s="234"/>
      <c r="K16" s="234"/>
      <c r="L16" s="754"/>
      <c r="M16" s="754"/>
      <c r="N16" s="754"/>
      <c r="O16" s="754"/>
      <c r="P16" s="754"/>
      <c r="Q16" s="755"/>
      <c r="R16" s="755"/>
      <c r="S16" s="756"/>
      <c r="T16" s="757">
        <f t="shared" si="0"/>
        <v>0</v>
      </c>
      <c r="U16" s="273"/>
      <c r="V16" s="274"/>
      <c r="W16" s="274"/>
      <c r="X16" s="274"/>
      <c r="Y16" s="274"/>
      <c r="Z16" s="238">
        <f>SUM(U16:V16)</f>
        <v>0</v>
      </c>
      <c r="AA16" s="247"/>
      <c r="AB16" s="758"/>
      <c r="AC16" s="277"/>
      <c r="AD16" s="278"/>
      <c r="AE16" s="278"/>
      <c r="AF16" s="278"/>
      <c r="AG16" s="278"/>
      <c r="AH16" s="278"/>
      <c r="AI16" s="1024"/>
      <c r="AJ16" s="309">
        <f t="shared" si="1"/>
        <v>0</v>
      </c>
      <c r="AK16" s="760"/>
      <c r="AL16" s="760"/>
      <c r="AM16" s="249">
        <f t="shared" si="2"/>
        <v>0</v>
      </c>
      <c r="AN16" s="206"/>
      <c r="AQ16" s="1053"/>
      <c r="AR16" s="468"/>
    </row>
    <row r="17" spans="1:44" ht="16.5" thickBot="1">
      <c r="A17" s="250" t="s">
        <v>317</v>
      </c>
      <c r="B17" s="761">
        <f>SUM(B16:B16)</f>
        <v>0</v>
      </c>
      <c r="C17" s="252">
        <f>SUM(C16:C16)</f>
        <v>0</v>
      </c>
      <c r="D17" s="252">
        <f>SUM(D16:D16)</f>
        <v>0</v>
      </c>
      <c r="E17" s="252"/>
      <c r="F17" s="252"/>
      <c r="G17" s="252"/>
      <c r="H17" s="252"/>
      <c r="I17" s="252"/>
      <c r="J17" s="252">
        <f>SUM(J16:J16)</f>
        <v>0</v>
      </c>
      <c r="K17" s="252"/>
      <c r="L17" s="762">
        <f t="shared" ref="L17:Q17" si="5">SUM(L16:L16)</f>
        <v>0</v>
      </c>
      <c r="M17" s="762">
        <f t="shared" si="5"/>
        <v>0</v>
      </c>
      <c r="N17" s="762">
        <f t="shared" si="5"/>
        <v>0</v>
      </c>
      <c r="O17" s="762"/>
      <c r="P17" s="762"/>
      <c r="Q17" s="763">
        <f t="shared" si="5"/>
        <v>0</v>
      </c>
      <c r="R17" s="763"/>
      <c r="S17" s="764">
        <f>SUM(S16:S16)</f>
        <v>0</v>
      </c>
      <c r="T17" s="765">
        <f t="shared" ref="T17:Y17" si="6">SUM(T14:T16)</f>
        <v>0</v>
      </c>
      <c r="U17" s="254">
        <f t="shared" si="6"/>
        <v>576000</v>
      </c>
      <c r="V17" s="255">
        <f t="shared" si="6"/>
        <v>0</v>
      </c>
      <c r="W17" s="255">
        <f t="shared" si="6"/>
        <v>0</v>
      </c>
      <c r="X17" s="255">
        <f t="shared" si="6"/>
        <v>780000</v>
      </c>
      <c r="Y17" s="255">
        <f t="shared" si="6"/>
        <v>240000</v>
      </c>
      <c r="Z17" s="256">
        <f>SUM(U17:Y17)</f>
        <v>1596000</v>
      </c>
      <c r="AA17" s="265">
        <f t="shared" ref="AA17:AI17" si="7">SUM(AA14:AA16)</f>
        <v>0</v>
      </c>
      <c r="AB17" s="766">
        <f t="shared" si="7"/>
        <v>0</v>
      </c>
      <c r="AC17" s="767">
        <f t="shared" si="7"/>
        <v>0</v>
      </c>
      <c r="AD17" s="262">
        <f t="shared" si="7"/>
        <v>0</v>
      </c>
      <c r="AE17" s="262">
        <f>SUM(AE14:AE16)</f>
        <v>0</v>
      </c>
      <c r="AF17" s="262">
        <f t="shared" si="7"/>
        <v>0</v>
      </c>
      <c r="AG17" s="262">
        <f>SUM(AG14:AG16)</f>
        <v>420000</v>
      </c>
      <c r="AH17" s="262">
        <f>SUM(AH14:AH16)</f>
        <v>0</v>
      </c>
      <c r="AI17" s="1023">
        <f t="shared" si="7"/>
        <v>0</v>
      </c>
      <c r="AJ17" s="263">
        <f>SUM(AC17:AF17)</f>
        <v>0</v>
      </c>
      <c r="AK17" s="768">
        <f>SUM(AK14:AK16)</f>
        <v>0</v>
      </c>
      <c r="AL17" s="768">
        <f>SUM(AL14:AL16)</f>
        <v>0</v>
      </c>
      <c r="AM17" s="205">
        <f t="shared" si="2"/>
        <v>1596000</v>
      </c>
      <c r="AN17" s="206"/>
      <c r="AQ17" s="1053"/>
      <c r="AR17" s="468"/>
    </row>
    <row r="18" spans="1:44" ht="16.5" thickBot="1">
      <c r="A18" s="279" t="s">
        <v>318</v>
      </c>
      <c r="B18" s="777">
        <f t="shared" ref="B18:Y18" si="8">B13+B17</f>
        <v>6112330</v>
      </c>
      <c r="C18" s="281">
        <f t="shared" si="8"/>
        <v>4680961</v>
      </c>
      <c r="D18" s="281">
        <f t="shared" si="8"/>
        <v>2475500</v>
      </c>
      <c r="E18" s="281">
        <f t="shared" si="8"/>
        <v>3968430</v>
      </c>
      <c r="F18" s="281">
        <f t="shared" si="8"/>
        <v>4351785</v>
      </c>
      <c r="G18" s="281">
        <f t="shared" si="8"/>
        <v>3438599</v>
      </c>
      <c r="H18" s="281">
        <f t="shared" si="8"/>
        <v>4205940</v>
      </c>
      <c r="I18" s="281">
        <f t="shared" si="8"/>
        <v>3210225</v>
      </c>
      <c r="J18" s="281">
        <f t="shared" si="8"/>
        <v>3248160</v>
      </c>
      <c r="K18" s="281">
        <f t="shared" si="8"/>
        <v>3219360</v>
      </c>
      <c r="L18" s="778">
        <f t="shared" si="8"/>
        <v>3052700</v>
      </c>
      <c r="M18" s="778">
        <f t="shared" si="8"/>
        <v>2692700</v>
      </c>
      <c r="N18" s="778">
        <f t="shared" si="8"/>
        <v>3052700</v>
      </c>
      <c r="O18" s="778">
        <f t="shared" si="8"/>
        <v>2692700</v>
      </c>
      <c r="P18" s="778">
        <f t="shared" si="8"/>
        <v>2692700</v>
      </c>
      <c r="Q18" s="779">
        <f t="shared" si="8"/>
        <v>2735900</v>
      </c>
      <c r="R18" s="779">
        <f t="shared" si="8"/>
        <v>2004600</v>
      </c>
      <c r="S18" s="780">
        <f t="shared" si="8"/>
        <v>2944397</v>
      </c>
      <c r="T18" s="781">
        <f t="shared" si="8"/>
        <v>60779687</v>
      </c>
      <c r="U18" s="283">
        <f t="shared" si="8"/>
        <v>576000</v>
      </c>
      <c r="V18" s="284">
        <f t="shared" si="8"/>
        <v>0</v>
      </c>
      <c r="W18" s="284">
        <f>W13+W17</f>
        <v>0</v>
      </c>
      <c r="X18" s="284">
        <f t="shared" si="8"/>
        <v>780000</v>
      </c>
      <c r="Y18" s="284">
        <f t="shared" si="8"/>
        <v>240000</v>
      </c>
      <c r="Z18" s="285">
        <f>SUM(U18:Y18)</f>
        <v>1596000</v>
      </c>
      <c r="AA18" s="294">
        <f t="shared" ref="AA18:AI18" si="9">AA13+AA17</f>
        <v>0</v>
      </c>
      <c r="AB18" s="782">
        <f t="shared" si="9"/>
        <v>0</v>
      </c>
      <c r="AC18" s="783">
        <f t="shared" si="9"/>
        <v>2985270</v>
      </c>
      <c r="AD18" s="291">
        <f t="shared" si="9"/>
        <v>2957909</v>
      </c>
      <c r="AE18" s="291">
        <f>AE13+AE17</f>
        <v>3539085</v>
      </c>
      <c r="AF18" s="291">
        <f t="shared" si="9"/>
        <v>2681408</v>
      </c>
      <c r="AG18" s="291">
        <f>AG13+AG17</f>
        <v>420000</v>
      </c>
      <c r="AH18" s="291">
        <f>AH13+AH17</f>
        <v>2906124</v>
      </c>
      <c r="AI18" s="1025">
        <f t="shared" si="9"/>
        <v>765990</v>
      </c>
      <c r="AJ18" s="292">
        <f>SUM(AC18:AF18)</f>
        <v>12163672</v>
      </c>
      <c r="AK18" s="784">
        <f>AK13+AK17</f>
        <v>0</v>
      </c>
      <c r="AL18" s="784">
        <f>AL13+AL17</f>
        <v>0</v>
      </c>
      <c r="AM18" s="785">
        <f>T18+Z18+AB18+AK18+AL18+AJ18+AA18</f>
        <v>74539359</v>
      </c>
      <c r="AN18" s="206"/>
      <c r="AO18" s="206">
        <f>SUM(AN4:AN16)</f>
        <v>68814054</v>
      </c>
      <c r="AP18" s="728">
        <f>AM18-AO18</f>
        <v>5725305</v>
      </c>
      <c r="AQ18" s="1053">
        <v>71379436</v>
      </c>
      <c r="AR18" s="468">
        <f>AQ18-AO18</f>
        <v>2565382</v>
      </c>
    </row>
    <row r="19" spans="1:44">
      <c r="A19" s="188" t="s">
        <v>319</v>
      </c>
      <c r="B19" s="786">
        <f>105696*11</f>
        <v>1162656</v>
      </c>
      <c r="C19" s="299">
        <f>80160+(73034*11)</f>
        <v>883534</v>
      </c>
      <c r="D19" s="299">
        <f>35198+(38025*11)</f>
        <v>453473</v>
      </c>
      <c r="E19" s="299">
        <f>58784+(62346*11)</f>
        <v>744590</v>
      </c>
      <c r="F19" s="299">
        <f>65909+(67690*11)</f>
        <v>810499</v>
      </c>
      <c r="G19" s="299">
        <f>53440*12</f>
        <v>641280</v>
      </c>
      <c r="H19" s="299">
        <f>62913*12</f>
        <v>754956</v>
      </c>
      <c r="I19" s="299">
        <f>48096+49877*11</f>
        <v>596743</v>
      </c>
      <c r="J19" s="299">
        <f>49877*12</f>
        <v>598524</v>
      </c>
      <c r="K19" s="299">
        <f>49877*12</f>
        <v>598524</v>
      </c>
      <c r="L19" s="787">
        <f>44577+(47405*11)</f>
        <v>566032</v>
      </c>
      <c r="M19" s="787">
        <f>38727+(41555*11)</f>
        <v>495832</v>
      </c>
      <c r="N19" s="787">
        <f>44577+(47405*11)</f>
        <v>566032</v>
      </c>
      <c r="O19" s="787">
        <f>38727+(41555*11)</f>
        <v>495832</v>
      </c>
      <c r="P19" s="787">
        <f>38727+(41555*11)</f>
        <v>495832</v>
      </c>
      <c r="Q19" s="788">
        <f>38727+(41555*11)</f>
        <v>495832</v>
      </c>
      <c r="R19" s="788">
        <f>38961+(41555*8)</f>
        <v>371401</v>
      </c>
      <c r="S19" s="789"/>
      <c r="T19" s="739">
        <f t="shared" ref="T19:T39" si="10">SUM(B19:S19)</f>
        <v>10731572</v>
      </c>
      <c r="U19" s="192">
        <f>9360*12</f>
        <v>112320</v>
      </c>
      <c r="V19" s="193"/>
      <c r="W19" s="193"/>
      <c r="X19" s="193">
        <f>12675*12</f>
        <v>152100</v>
      </c>
      <c r="Y19" s="193">
        <f>3900*12</f>
        <v>46800</v>
      </c>
      <c r="Z19" s="194">
        <f>SUM(U19:Y19)</f>
        <v>311220</v>
      </c>
      <c r="AA19" s="301"/>
      <c r="AB19" s="740"/>
      <c r="AC19" s="741">
        <f>43303+(46325*11)</f>
        <v>552878</v>
      </c>
      <c r="AD19" s="200">
        <f>42858+45880*11</f>
        <v>547538</v>
      </c>
      <c r="AE19" s="200">
        <f>53440+55221*11</f>
        <v>660871</v>
      </c>
      <c r="AF19" s="200">
        <f>38544+(41371*11)</f>
        <v>493625</v>
      </c>
      <c r="AG19" s="200">
        <f>6825*12</f>
        <v>81900</v>
      </c>
      <c r="AH19" s="200">
        <f>41222+45111*11</f>
        <v>537443</v>
      </c>
      <c r="AI19" s="1019"/>
      <c r="AJ19" s="201">
        <f t="shared" ref="AJ19:AJ39" si="11">SUM(AC19:AI19)</f>
        <v>2874255</v>
      </c>
      <c r="AK19" s="742"/>
      <c r="AL19" s="742"/>
      <c r="AM19" s="205">
        <f t="shared" si="2"/>
        <v>13917047</v>
      </c>
      <c r="AN19" s="206"/>
      <c r="AQ19" s="1053"/>
      <c r="AR19" s="468"/>
    </row>
    <row r="20" spans="1:44">
      <c r="A20" s="207" t="s">
        <v>320</v>
      </c>
      <c r="B20" s="735"/>
      <c r="C20" s="190"/>
      <c r="D20" s="190"/>
      <c r="E20" s="190"/>
      <c r="F20" s="190"/>
      <c r="G20" s="190"/>
      <c r="H20" s="190"/>
      <c r="I20" s="190"/>
      <c r="J20" s="190"/>
      <c r="K20" s="190"/>
      <c r="L20" s="736"/>
      <c r="M20" s="736"/>
      <c r="N20" s="736"/>
      <c r="O20" s="736"/>
      <c r="P20" s="736"/>
      <c r="Q20" s="737"/>
      <c r="R20" s="737"/>
      <c r="S20" s="738"/>
      <c r="T20" s="744">
        <f t="shared" si="10"/>
        <v>0</v>
      </c>
      <c r="U20" s="209"/>
      <c r="V20" s="210"/>
      <c r="W20" s="210"/>
      <c r="X20" s="210"/>
      <c r="Y20" s="210"/>
      <c r="Z20" s="211">
        <f t="shared" ref="Z20:Z25" si="12">SUM(U20:V20)</f>
        <v>0</v>
      </c>
      <c r="AA20" s="231"/>
      <c r="AB20" s="745"/>
      <c r="AC20" s="746"/>
      <c r="AD20" s="217"/>
      <c r="AE20" s="217"/>
      <c r="AF20" s="217"/>
      <c r="AG20" s="217"/>
      <c r="AH20" s="217"/>
      <c r="AI20" s="1020"/>
      <c r="AJ20" s="218">
        <f t="shared" si="11"/>
        <v>0</v>
      </c>
      <c r="AK20" s="747"/>
      <c r="AL20" s="743"/>
      <c r="AM20" s="220">
        <f t="shared" si="2"/>
        <v>0</v>
      </c>
      <c r="AN20" s="206"/>
      <c r="AQ20" s="1053"/>
      <c r="AR20" s="468"/>
    </row>
    <row r="21" spans="1:44">
      <c r="A21" s="207" t="s">
        <v>321</v>
      </c>
      <c r="B21" s="735"/>
      <c r="C21" s="190"/>
      <c r="D21" s="190"/>
      <c r="E21" s="190"/>
      <c r="F21" s="190"/>
      <c r="G21" s="190"/>
      <c r="H21" s="190"/>
      <c r="I21" s="190"/>
      <c r="J21" s="190"/>
      <c r="K21" s="190"/>
      <c r="L21" s="736"/>
      <c r="M21" s="736"/>
      <c r="N21" s="736"/>
      <c r="O21" s="736"/>
      <c r="P21" s="736"/>
      <c r="Q21" s="737"/>
      <c r="R21" s="737"/>
      <c r="S21" s="738"/>
      <c r="T21" s="744">
        <f t="shared" si="10"/>
        <v>0</v>
      </c>
      <c r="U21" s="209"/>
      <c r="V21" s="210"/>
      <c r="W21" s="210"/>
      <c r="X21" s="210"/>
      <c r="Y21" s="210"/>
      <c r="Z21" s="211">
        <f t="shared" si="12"/>
        <v>0</v>
      </c>
      <c r="AA21" s="231"/>
      <c r="AB21" s="745"/>
      <c r="AC21" s="746"/>
      <c r="AD21" s="217"/>
      <c r="AE21" s="217"/>
      <c r="AF21" s="217"/>
      <c r="AG21" s="217"/>
      <c r="AH21" s="217"/>
      <c r="AI21" s="1020"/>
      <c r="AJ21" s="218">
        <f t="shared" si="11"/>
        <v>0</v>
      </c>
      <c r="AK21" s="747"/>
      <c r="AL21" s="743"/>
      <c r="AM21" s="220">
        <f t="shared" si="2"/>
        <v>0</v>
      </c>
      <c r="AN21" s="206"/>
      <c r="AQ21" s="1053"/>
      <c r="AR21" s="468"/>
    </row>
    <row r="22" spans="1:44" ht="30">
      <c r="A22" s="221" t="s">
        <v>322</v>
      </c>
      <c r="B22" s="735">
        <v>25000</v>
      </c>
      <c r="C22" s="190">
        <v>25000</v>
      </c>
      <c r="D22" s="190">
        <v>25000</v>
      </c>
      <c r="E22" s="190">
        <v>25000</v>
      </c>
      <c r="F22" s="190">
        <v>25000</v>
      </c>
      <c r="G22" s="190">
        <v>25000</v>
      </c>
      <c r="H22" s="190">
        <v>25000</v>
      </c>
      <c r="I22" s="190">
        <v>25000</v>
      </c>
      <c r="J22" s="190">
        <v>25000</v>
      </c>
      <c r="K22" s="190">
        <v>25000</v>
      </c>
      <c r="L22" s="749">
        <v>25000</v>
      </c>
      <c r="M22" s="749">
        <v>25000</v>
      </c>
      <c r="N22" s="749">
        <v>25000</v>
      </c>
      <c r="O22" s="749">
        <v>25000</v>
      </c>
      <c r="P22" s="749">
        <v>25000</v>
      </c>
      <c r="Q22" s="737">
        <v>25000</v>
      </c>
      <c r="R22" s="737">
        <v>17000</v>
      </c>
      <c r="S22" s="751"/>
      <c r="T22" s="744">
        <f t="shared" si="10"/>
        <v>417000</v>
      </c>
      <c r="U22" s="225"/>
      <c r="V22" s="226"/>
      <c r="W22" s="226"/>
      <c r="X22" s="226"/>
      <c r="Y22" s="226"/>
      <c r="Z22" s="211">
        <f t="shared" si="12"/>
        <v>0</v>
      </c>
      <c r="AA22" s="231"/>
      <c r="AB22" s="745"/>
      <c r="AC22" s="752">
        <v>25000</v>
      </c>
      <c r="AD22" s="230">
        <v>25000</v>
      </c>
      <c r="AE22" s="230">
        <v>25000</v>
      </c>
      <c r="AF22" s="230">
        <v>25000</v>
      </c>
      <c r="AG22" s="230"/>
      <c r="AH22" s="230">
        <v>25000</v>
      </c>
      <c r="AI22" s="1021"/>
      <c r="AJ22" s="218">
        <f t="shared" si="11"/>
        <v>125000</v>
      </c>
      <c r="AK22" s="747"/>
      <c r="AL22" s="747"/>
      <c r="AM22" s="220">
        <f t="shared" si="2"/>
        <v>542000</v>
      </c>
      <c r="AN22" s="206"/>
      <c r="AQ22" s="1053"/>
      <c r="AR22" s="468"/>
    </row>
    <row r="23" spans="1:44">
      <c r="A23" s="221" t="s">
        <v>323</v>
      </c>
      <c r="B23" s="735"/>
      <c r="C23" s="190"/>
      <c r="D23" s="190"/>
      <c r="E23" s="190"/>
      <c r="F23" s="190"/>
      <c r="G23" s="190"/>
      <c r="H23" s="190"/>
      <c r="I23" s="190"/>
      <c r="J23" s="190"/>
      <c r="K23" s="190"/>
      <c r="L23" s="749"/>
      <c r="M23" s="749"/>
      <c r="N23" s="749"/>
      <c r="O23" s="749"/>
      <c r="P23" s="749"/>
      <c r="Q23" s="750"/>
      <c r="R23" s="750"/>
      <c r="S23" s="751">
        <v>80000</v>
      </c>
      <c r="T23" s="744">
        <f t="shared" si="10"/>
        <v>80000</v>
      </c>
      <c r="U23" s="225"/>
      <c r="V23" s="226"/>
      <c r="W23" s="226"/>
      <c r="X23" s="226"/>
      <c r="Y23" s="226"/>
      <c r="Z23" s="211">
        <f t="shared" si="12"/>
        <v>0</v>
      </c>
      <c r="AA23" s="231"/>
      <c r="AB23" s="745"/>
      <c r="AC23" s="752"/>
      <c r="AD23" s="230"/>
      <c r="AE23" s="230"/>
      <c r="AF23" s="230"/>
      <c r="AG23" s="230"/>
      <c r="AH23" s="230"/>
      <c r="AI23" s="1021">
        <v>20000</v>
      </c>
      <c r="AJ23" s="218">
        <f t="shared" si="11"/>
        <v>20000</v>
      </c>
      <c r="AK23" s="747"/>
      <c r="AL23" s="747"/>
      <c r="AM23" s="220">
        <f t="shared" si="2"/>
        <v>100000</v>
      </c>
      <c r="AN23" s="206"/>
      <c r="AQ23" s="1053"/>
      <c r="AR23" s="468"/>
    </row>
    <row r="24" spans="1:44">
      <c r="A24" s="221" t="s">
        <v>324</v>
      </c>
      <c r="B24" s="735"/>
      <c r="C24" s="190"/>
      <c r="D24" s="190"/>
      <c r="E24" s="190"/>
      <c r="F24" s="190"/>
      <c r="G24" s="190"/>
      <c r="H24" s="190"/>
      <c r="I24" s="190"/>
      <c r="J24" s="190"/>
      <c r="K24" s="190"/>
      <c r="L24" s="749"/>
      <c r="M24" s="749"/>
      <c r="N24" s="749"/>
      <c r="O24" s="749"/>
      <c r="P24" s="749"/>
      <c r="Q24" s="750"/>
      <c r="R24" s="750"/>
      <c r="S24" s="751"/>
      <c r="T24" s="744">
        <f t="shared" si="10"/>
        <v>0</v>
      </c>
      <c r="U24" s="225"/>
      <c r="V24" s="226"/>
      <c r="W24" s="226"/>
      <c r="X24" s="226"/>
      <c r="Y24" s="226"/>
      <c r="Z24" s="211">
        <f t="shared" si="12"/>
        <v>0</v>
      </c>
      <c r="AA24" s="231"/>
      <c r="AB24" s="745"/>
      <c r="AC24" s="752"/>
      <c r="AD24" s="230"/>
      <c r="AE24" s="230"/>
      <c r="AF24" s="230"/>
      <c r="AG24" s="230"/>
      <c r="AH24" s="230"/>
      <c r="AI24" s="1021"/>
      <c r="AJ24" s="218">
        <f t="shared" si="11"/>
        <v>0</v>
      </c>
      <c r="AK24" s="747"/>
      <c r="AL24" s="747"/>
      <c r="AM24" s="220">
        <f t="shared" si="2"/>
        <v>0</v>
      </c>
      <c r="AN24" s="206"/>
      <c r="AQ24" s="1053"/>
      <c r="AR24" s="468"/>
    </row>
    <row r="25" spans="1:44" ht="45.75" thickBot="1">
      <c r="A25" s="232" t="s">
        <v>325</v>
      </c>
      <c r="B25" s="735">
        <v>27000</v>
      </c>
      <c r="C25" s="190">
        <v>27000</v>
      </c>
      <c r="D25" s="190">
        <v>27000</v>
      </c>
      <c r="E25" s="190">
        <v>27000</v>
      </c>
      <c r="F25" s="190">
        <v>27000</v>
      </c>
      <c r="G25" s="190">
        <v>27000</v>
      </c>
      <c r="H25" s="190">
        <v>27000</v>
      </c>
      <c r="I25" s="190">
        <v>27000</v>
      </c>
      <c r="J25" s="190">
        <v>27000</v>
      </c>
      <c r="K25" s="190">
        <v>27000</v>
      </c>
      <c r="L25" s="790">
        <v>27000</v>
      </c>
      <c r="M25" s="790">
        <v>27000</v>
      </c>
      <c r="N25" s="790">
        <v>27000</v>
      </c>
      <c r="O25" s="790">
        <v>27000</v>
      </c>
      <c r="P25" s="790">
        <v>27000</v>
      </c>
      <c r="Q25" s="791">
        <v>27000</v>
      </c>
      <c r="R25" s="791">
        <v>18000</v>
      </c>
      <c r="S25" s="792"/>
      <c r="T25" s="757">
        <f t="shared" si="10"/>
        <v>450000</v>
      </c>
      <c r="U25" s="236"/>
      <c r="V25" s="237"/>
      <c r="W25" s="237"/>
      <c r="X25" s="237"/>
      <c r="Y25" s="237"/>
      <c r="Z25" s="307">
        <f t="shared" si="12"/>
        <v>0</v>
      </c>
      <c r="AA25" s="231"/>
      <c r="AB25" s="745"/>
      <c r="AC25" s="759">
        <v>27000</v>
      </c>
      <c r="AD25" s="244">
        <v>27000</v>
      </c>
      <c r="AE25" s="244">
        <v>27000</v>
      </c>
      <c r="AF25" s="244">
        <v>27000</v>
      </c>
      <c r="AG25" s="244"/>
      <c r="AH25" s="244">
        <v>27000</v>
      </c>
      <c r="AI25" s="1022"/>
      <c r="AJ25" s="309">
        <f t="shared" si="11"/>
        <v>135000</v>
      </c>
      <c r="AK25" s="747"/>
      <c r="AL25" s="760"/>
      <c r="AM25" s="249">
        <f t="shared" si="2"/>
        <v>585000</v>
      </c>
      <c r="AN25" s="206"/>
      <c r="AQ25" s="1053"/>
      <c r="AR25" s="468"/>
    </row>
    <row r="26" spans="1:44" ht="32.25" thickBot="1">
      <c r="A26" s="311" t="s">
        <v>326</v>
      </c>
      <c r="B26" s="777">
        <f t="shared" ref="B26:M26" si="13">SUM(B19:B25)</f>
        <v>1214656</v>
      </c>
      <c r="C26" s="281">
        <f t="shared" si="13"/>
        <v>935534</v>
      </c>
      <c r="D26" s="281">
        <f t="shared" si="13"/>
        <v>505473</v>
      </c>
      <c r="E26" s="281">
        <f t="shared" si="13"/>
        <v>796590</v>
      </c>
      <c r="F26" s="281">
        <f t="shared" si="13"/>
        <v>862499</v>
      </c>
      <c r="G26" s="281">
        <f t="shared" si="13"/>
        <v>693280</v>
      </c>
      <c r="H26" s="281">
        <f t="shared" si="13"/>
        <v>806956</v>
      </c>
      <c r="I26" s="281">
        <f t="shared" si="13"/>
        <v>648743</v>
      </c>
      <c r="J26" s="281">
        <f t="shared" si="13"/>
        <v>650524</v>
      </c>
      <c r="K26" s="281">
        <f t="shared" si="13"/>
        <v>650524</v>
      </c>
      <c r="L26" s="778">
        <f>SUM(L19:L25)</f>
        <v>618032</v>
      </c>
      <c r="M26" s="778">
        <f t="shared" si="13"/>
        <v>547832</v>
      </c>
      <c r="N26" s="778">
        <f>SUM(N19:N25)</f>
        <v>618032</v>
      </c>
      <c r="O26" s="778">
        <f t="shared" ref="O26:X26" si="14">SUM(O19:O25)</f>
        <v>547832</v>
      </c>
      <c r="P26" s="778">
        <f t="shared" si="14"/>
        <v>547832</v>
      </c>
      <c r="Q26" s="779">
        <f t="shared" si="14"/>
        <v>547832</v>
      </c>
      <c r="R26" s="779">
        <f t="shared" si="14"/>
        <v>406401</v>
      </c>
      <c r="S26" s="780">
        <f>SUM(S19:S25)</f>
        <v>80000</v>
      </c>
      <c r="T26" s="781">
        <f t="shared" si="14"/>
        <v>11678572</v>
      </c>
      <c r="U26" s="283">
        <f t="shared" si="14"/>
        <v>112320</v>
      </c>
      <c r="V26" s="284">
        <f t="shared" si="14"/>
        <v>0</v>
      </c>
      <c r="W26" s="284">
        <f>SUM(W19:W25)</f>
        <v>0</v>
      </c>
      <c r="X26" s="284">
        <f t="shared" si="14"/>
        <v>152100</v>
      </c>
      <c r="Y26" s="284">
        <f>SUM(Y19:Y25)</f>
        <v>46800</v>
      </c>
      <c r="Z26" s="285">
        <f>SUM(U26:Y26)</f>
        <v>311220</v>
      </c>
      <c r="AA26" s="314">
        <f t="shared" ref="AA26:AI26" si="15">SUM(AA19:AA25)</f>
        <v>0</v>
      </c>
      <c r="AB26" s="793">
        <f t="shared" si="15"/>
        <v>0</v>
      </c>
      <c r="AC26" s="783">
        <f t="shared" si="15"/>
        <v>604878</v>
      </c>
      <c r="AD26" s="291">
        <f t="shared" si="15"/>
        <v>599538</v>
      </c>
      <c r="AE26" s="291">
        <f>SUM(AE19:AE25)</f>
        <v>712871</v>
      </c>
      <c r="AF26" s="291">
        <f t="shared" si="15"/>
        <v>545625</v>
      </c>
      <c r="AG26" s="291">
        <f>SUM(AG19:AG25)</f>
        <v>81900</v>
      </c>
      <c r="AH26" s="291">
        <f>SUM(AH19:AH25)</f>
        <v>589443</v>
      </c>
      <c r="AI26" s="1025">
        <f t="shared" si="15"/>
        <v>20000</v>
      </c>
      <c r="AJ26" s="794">
        <f>SUM(AC26:AF26)</f>
        <v>2462912</v>
      </c>
      <c r="AK26" s="795">
        <f>SUM(AK19:AK25)</f>
        <v>0</v>
      </c>
      <c r="AL26" s="795">
        <f>SUM(AL19:AL25)</f>
        <v>0</v>
      </c>
      <c r="AM26" s="785">
        <f>T26+Z26+AB26+AK26+AL26+AJ26+AA26</f>
        <v>14452704</v>
      </c>
      <c r="AN26" s="206">
        <v>14081558</v>
      </c>
      <c r="AO26" s="187">
        <v>14081558</v>
      </c>
      <c r="AP26" s="1047">
        <f>AM26-AO26</f>
        <v>371146</v>
      </c>
      <c r="AQ26" s="1053">
        <v>14777064</v>
      </c>
      <c r="AR26" s="468">
        <f>AQ26-AO26</f>
        <v>695506</v>
      </c>
    </row>
    <row r="27" spans="1:44">
      <c r="A27" s="316" t="s">
        <v>327</v>
      </c>
      <c r="B27" s="786"/>
      <c r="C27" s="299"/>
      <c r="D27" s="299"/>
      <c r="E27" s="299"/>
      <c r="F27" s="299"/>
      <c r="G27" s="299"/>
      <c r="H27" s="299"/>
      <c r="I27" s="299"/>
      <c r="J27" s="299"/>
      <c r="K27" s="299"/>
      <c r="L27" s="796"/>
      <c r="M27" s="796"/>
      <c r="N27" s="796"/>
      <c r="O27" s="796"/>
      <c r="P27" s="796"/>
      <c r="Q27" s="788"/>
      <c r="R27" s="788"/>
      <c r="S27" s="789"/>
      <c r="T27" s="739">
        <f t="shared" si="10"/>
        <v>0</v>
      </c>
      <c r="U27" s="192"/>
      <c r="V27" s="193"/>
      <c r="W27" s="193"/>
      <c r="X27" s="193"/>
      <c r="Y27" s="193"/>
      <c r="Z27" s="194">
        <f>SUM(U27:Y27)</f>
        <v>0</v>
      </c>
      <c r="AA27" s="301"/>
      <c r="AB27" s="740"/>
      <c r="AC27" s="741"/>
      <c r="AD27" s="200"/>
      <c r="AE27" s="200"/>
      <c r="AF27" s="200"/>
      <c r="AG27" s="200"/>
      <c r="AH27" s="200"/>
      <c r="AI27" s="1019"/>
      <c r="AJ27" s="201">
        <f t="shared" si="11"/>
        <v>0</v>
      </c>
      <c r="AK27" s="742"/>
      <c r="AL27" s="742"/>
      <c r="AM27" s="205">
        <f>T27+Z27+AB27+AK27+AL27+AJ27+AA27</f>
        <v>0</v>
      </c>
      <c r="AN27" s="206"/>
      <c r="AQ27" s="1053"/>
      <c r="AR27" s="468"/>
    </row>
    <row r="28" spans="1:44">
      <c r="A28" s="221" t="s">
        <v>328</v>
      </c>
      <c r="B28" s="748"/>
      <c r="C28" s="223"/>
      <c r="D28" s="223"/>
      <c r="E28" s="223"/>
      <c r="F28" s="223"/>
      <c r="G28" s="223"/>
      <c r="H28" s="223"/>
      <c r="I28" s="223"/>
      <c r="J28" s="223"/>
      <c r="K28" s="223"/>
      <c r="L28" s="797"/>
      <c r="M28" s="797"/>
      <c r="N28" s="797"/>
      <c r="O28" s="797"/>
      <c r="P28" s="797"/>
      <c r="Q28" s="750"/>
      <c r="R28" s="750"/>
      <c r="S28" s="751"/>
      <c r="T28" s="744">
        <f t="shared" si="10"/>
        <v>0</v>
      </c>
      <c r="U28" s="225"/>
      <c r="V28" s="226"/>
      <c r="W28" s="226"/>
      <c r="X28" s="226"/>
      <c r="Y28" s="226"/>
      <c r="Z28" s="211">
        <f t="shared" ref="Z28:Z39" si="16">SUM(U28:X28)</f>
        <v>0</v>
      </c>
      <c r="AA28" s="231"/>
      <c r="AB28" s="745"/>
      <c r="AC28" s="752"/>
      <c r="AD28" s="230"/>
      <c r="AE28" s="230"/>
      <c r="AF28" s="230"/>
      <c r="AG28" s="230"/>
      <c r="AH28" s="230"/>
      <c r="AI28" s="1021"/>
      <c r="AJ28" s="218">
        <f t="shared" si="11"/>
        <v>0</v>
      </c>
      <c r="AK28" s="747"/>
      <c r="AL28" s="747"/>
      <c r="AM28" s="220">
        <f t="shared" si="2"/>
        <v>0</v>
      </c>
      <c r="AN28" s="206"/>
      <c r="AQ28" s="1053"/>
      <c r="AR28" s="468"/>
    </row>
    <row r="29" spans="1:44">
      <c r="A29" s="221" t="s">
        <v>527</v>
      </c>
      <c r="B29" s="748"/>
      <c r="C29" s="223"/>
      <c r="D29" s="223"/>
      <c r="E29" s="223"/>
      <c r="F29" s="223"/>
      <c r="G29" s="223"/>
      <c r="H29" s="223"/>
      <c r="I29" s="223"/>
      <c r="J29" s="223"/>
      <c r="K29" s="223"/>
      <c r="L29" s="797"/>
      <c r="M29" s="797"/>
      <c r="N29" s="797"/>
      <c r="O29" s="797"/>
      <c r="P29" s="797"/>
      <c r="Q29" s="750"/>
      <c r="R29" s="750"/>
      <c r="S29" s="751">
        <f>9000*12</f>
        <v>108000</v>
      </c>
      <c r="T29" s="744">
        <f t="shared" si="10"/>
        <v>108000</v>
      </c>
      <c r="U29" s="225"/>
      <c r="V29" s="226"/>
      <c r="W29" s="226"/>
      <c r="X29" s="226"/>
      <c r="Y29" s="226"/>
      <c r="Z29" s="211">
        <f t="shared" si="16"/>
        <v>0</v>
      </c>
      <c r="AA29" s="231"/>
      <c r="AB29" s="745"/>
      <c r="AC29" s="752"/>
      <c r="AD29" s="230"/>
      <c r="AE29" s="230"/>
      <c r="AF29" s="230"/>
      <c r="AG29" s="230"/>
      <c r="AH29" s="230"/>
      <c r="AI29" s="1021">
        <f>9000*12</f>
        <v>108000</v>
      </c>
      <c r="AJ29" s="218">
        <f t="shared" si="11"/>
        <v>108000</v>
      </c>
      <c r="AK29" s="747"/>
      <c r="AL29" s="747"/>
      <c r="AM29" s="220">
        <f t="shared" si="2"/>
        <v>216000</v>
      </c>
      <c r="AN29" s="206"/>
      <c r="AQ29" s="1053"/>
      <c r="AR29" s="468"/>
    </row>
    <row r="30" spans="1:44">
      <c r="A30" s="319" t="s">
        <v>528</v>
      </c>
      <c r="B30" s="748"/>
      <c r="C30" s="223"/>
      <c r="D30" s="223"/>
      <c r="E30" s="223"/>
      <c r="F30" s="223"/>
      <c r="G30" s="223"/>
      <c r="H30" s="223"/>
      <c r="I30" s="223"/>
      <c r="J30" s="223"/>
      <c r="K30" s="223"/>
      <c r="L30" s="797"/>
      <c r="M30" s="797"/>
      <c r="N30" s="797"/>
      <c r="O30" s="797"/>
      <c r="P30" s="797"/>
      <c r="Q30" s="750"/>
      <c r="R30" s="750"/>
      <c r="S30" s="751"/>
      <c r="T30" s="744">
        <f t="shared" si="10"/>
        <v>0</v>
      </c>
      <c r="U30" s="225"/>
      <c r="V30" s="226"/>
      <c r="W30" s="226"/>
      <c r="X30" s="226"/>
      <c r="Y30" s="226"/>
      <c r="Z30" s="211">
        <f t="shared" si="16"/>
        <v>0</v>
      </c>
      <c r="AA30" s="231"/>
      <c r="AB30" s="745"/>
      <c r="AC30" s="752"/>
      <c r="AD30" s="230"/>
      <c r="AE30" s="230"/>
      <c r="AF30" s="230"/>
      <c r="AG30" s="230"/>
      <c r="AH30" s="230"/>
      <c r="AI30" s="1021"/>
      <c r="AJ30" s="218">
        <f t="shared" si="11"/>
        <v>0</v>
      </c>
      <c r="AK30" s="747"/>
      <c r="AL30" s="747"/>
      <c r="AM30" s="220">
        <f t="shared" si="2"/>
        <v>0</v>
      </c>
      <c r="AN30" s="206"/>
      <c r="AQ30" s="1053"/>
      <c r="AR30" s="468"/>
    </row>
    <row r="31" spans="1:44" ht="75">
      <c r="A31" s="319" t="s">
        <v>563</v>
      </c>
      <c r="B31" s="748"/>
      <c r="C31" s="223"/>
      <c r="D31" s="223"/>
      <c r="E31" s="223"/>
      <c r="F31" s="223"/>
      <c r="G31" s="223"/>
      <c r="H31" s="223"/>
      <c r="I31" s="223"/>
      <c r="J31" s="223"/>
      <c r="K31" s="223"/>
      <c r="L31" s="797"/>
      <c r="M31" s="797"/>
      <c r="N31" s="797"/>
      <c r="O31" s="797"/>
      <c r="P31" s="797"/>
      <c r="Q31" s="750"/>
      <c r="R31" s="750"/>
      <c r="S31" s="751">
        <v>550000</v>
      </c>
      <c r="T31" s="744">
        <f t="shared" si="10"/>
        <v>550000</v>
      </c>
      <c r="U31" s="225"/>
      <c r="V31" s="226"/>
      <c r="W31" s="226"/>
      <c r="X31" s="226"/>
      <c r="Y31" s="226"/>
      <c r="Z31" s="211">
        <f t="shared" si="16"/>
        <v>0</v>
      </c>
      <c r="AA31" s="231"/>
      <c r="AB31" s="745"/>
      <c r="AC31" s="752"/>
      <c r="AD31" s="230"/>
      <c r="AE31" s="230"/>
      <c r="AF31" s="230"/>
      <c r="AG31" s="230"/>
      <c r="AH31" s="230"/>
      <c r="AI31" s="1021">
        <v>220000</v>
      </c>
      <c r="AJ31" s="218">
        <f t="shared" si="11"/>
        <v>220000</v>
      </c>
      <c r="AK31" s="747"/>
      <c r="AL31" s="747"/>
      <c r="AM31" s="220">
        <f t="shared" si="2"/>
        <v>770000</v>
      </c>
      <c r="AN31" s="206"/>
      <c r="AQ31" s="1053"/>
      <c r="AR31" s="468"/>
    </row>
    <row r="32" spans="1:44">
      <c r="A32" s="320" t="s">
        <v>332</v>
      </c>
      <c r="B32" s="798">
        <f>SUM(B27:B31)</f>
        <v>0</v>
      </c>
      <c r="C32" s="322">
        <f t="shared" ref="C32:K32" si="17">SUM(C27:C31)</f>
        <v>0</v>
      </c>
      <c r="D32" s="322">
        <f t="shared" si="17"/>
        <v>0</v>
      </c>
      <c r="E32" s="322">
        <f t="shared" si="17"/>
        <v>0</v>
      </c>
      <c r="F32" s="322">
        <f t="shared" si="17"/>
        <v>0</v>
      </c>
      <c r="G32" s="322">
        <f t="shared" si="17"/>
        <v>0</v>
      </c>
      <c r="H32" s="322">
        <f t="shared" si="17"/>
        <v>0</v>
      </c>
      <c r="I32" s="322">
        <f t="shared" si="17"/>
        <v>0</v>
      </c>
      <c r="J32" s="322">
        <f t="shared" si="17"/>
        <v>0</v>
      </c>
      <c r="K32" s="322">
        <f t="shared" si="17"/>
        <v>0</v>
      </c>
      <c r="L32" s="799">
        <f t="shared" ref="L32:S32" si="18">SUM(L27:L31)</f>
        <v>0</v>
      </c>
      <c r="M32" s="799">
        <f t="shared" si="18"/>
        <v>0</v>
      </c>
      <c r="N32" s="799">
        <f t="shared" si="18"/>
        <v>0</v>
      </c>
      <c r="O32" s="799">
        <f t="shared" si="18"/>
        <v>0</v>
      </c>
      <c r="P32" s="799">
        <f t="shared" si="18"/>
        <v>0</v>
      </c>
      <c r="Q32" s="800">
        <f t="shared" si="18"/>
        <v>0</v>
      </c>
      <c r="R32" s="800">
        <f t="shared" si="18"/>
        <v>0</v>
      </c>
      <c r="S32" s="801">
        <f t="shared" si="18"/>
        <v>658000</v>
      </c>
      <c r="T32" s="802">
        <f t="shared" si="10"/>
        <v>658000</v>
      </c>
      <c r="U32" s="324">
        <f>SUM(U27:U31)</f>
        <v>0</v>
      </c>
      <c r="V32" s="325">
        <f>SUM(V27:V31)</f>
        <v>0</v>
      </c>
      <c r="W32" s="325">
        <f>SUM(W27:W31)</f>
        <v>0</v>
      </c>
      <c r="X32" s="325">
        <f>SUM(X27:X31)</f>
        <v>0</v>
      </c>
      <c r="Y32" s="325">
        <f>SUM(Y27:Y31)</f>
        <v>0</v>
      </c>
      <c r="Z32" s="393">
        <f t="shared" si="16"/>
        <v>0</v>
      </c>
      <c r="AA32" s="332">
        <f t="shared" ref="AA32:AI32" si="19">SUM(AA27:AA31)</f>
        <v>0</v>
      </c>
      <c r="AB32" s="803">
        <f t="shared" si="19"/>
        <v>0</v>
      </c>
      <c r="AC32" s="804">
        <f t="shared" si="19"/>
        <v>0</v>
      </c>
      <c r="AD32" s="330">
        <f t="shared" si="19"/>
        <v>0</v>
      </c>
      <c r="AE32" s="330">
        <f>SUM(AE27:AE31)</f>
        <v>0</v>
      </c>
      <c r="AF32" s="330">
        <f t="shared" si="19"/>
        <v>0</v>
      </c>
      <c r="AG32" s="330">
        <f>SUM(AG27:AG31)</f>
        <v>0</v>
      </c>
      <c r="AH32" s="330">
        <f>SUM(AH27:AH31)</f>
        <v>0</v>
      </c>
      <c r="AI32" s="1026">
        <f t="shared" si="19"/>
        <v>328000</v>
      </c>
      <c r="AJ32" s="396">
        <f t="shared" si="11"/>
        <v>328000</v>
      </c>
      <c r="AK32" s="394">
        <f>SUM(AK27:AK31)</f>
        <v>0</v>
      </c>
      <c r="AL32" s="394">
        <f>SUM(AL27:AL31)</f>
        <v>0</v>
      </c>
      <c r="AM32" s="220">
        <f t="shared" si="2"/>
        <v>986000</v>
      </c>
      <c r="AN32" s="206">
        <v>384381</v>
      </c>
      <c r="AQ32" s="1053"/>
      <c r="AR32" s="468"/>
    </row>
    <row r="33" spans="1:44">
      <c r="A33" s="221" t="s">
        <v>333</v>
      </c>
      <c r="B33" s="748"/>
      <c r="C33" s="223"/>
      <c r="D33" s="223"/>
      <c r="E33" s="223"/>
      <c r="F33" s="223"/>
      <c r="G33" s="223"/>
      <c r="H33" s="223"/>
      <c r="I33" s="223"/>
      <c r="J33" s="223"/>
      <c r="K33" s="223"/>
      <c r="L33" s="797"/>
      <c r="M33" s="797"/>
      <c r="N33" s="797"/>
      <c r="O33" s="797"/>
      <c r="P33" s="797"/>
      <c r="Q33" s="750"/>
      <c r="R33" s="750"/>
      <c r="S33" s="751"/>
      <c r="T33" s="744">
        <f t="shared" si="10"/>
        <v>0</v>
      </c>
      <c r="U33" s="225"/>
      <c r="V33" s="226"/>
      <c r="W33" s="226"/>
      <c r="X33" s="226"/>
      <c r="Y33" s="226"/>
      <c r="Z33" s="211">
        <f t="shared" si="16"/>
        <v>0</v>
      </c>
      <c r="AA33" s="231"/>
      <c r="AB33" s="745"/>
      <c r="AC33" s="752"/>
      <c r="AD33" s="230"/>
      <c r="AE33" s="230"/>
      <c r="AF33" s="230"/>
      <c r="AG33" s="230"/>
      <c r="AH33" s="230"/>
      <c r="AI33" s="1021"/>
      <c r="AJ33" s="218">
        <f t="shared" si="11"/>
        <v>0</v>
      </c>
      <c r="AK33" s="747"/>
      <c r="AL33" s="747"/>
      <c r="AM33" s="220">
        <f t="shared" si="2"/>
        <v>0</v>
      </c>
      <c r="AN33" s="206"/>
      <c r="AQ33" s="1053"/>
      <c r="AR33" s="468"/>
    </row>
    <row r="34" spans="1:44">
      <c r="A34" s="221" t="s">
        <v>334</v>
      </c>
      <c r="B34" s="748"/>
      <c r="C34" s="223"/>
      <c r="D34" s="223"/>
      <c r="E34" s="223"/>
      <c r="F34" s="223"/>
      <c r="G34" s="223"/>
      <c r="H34" s="223"/>
      <c r="I34" s="223"/>
      <c r="J34" s="223"/>
      <c r="K34" s="223"/>
      <c r="L34" s="797"/>
      <c r="M34" s="797"/>
      <c r="N34" s="797"/>
      <c r="O34" s="797"/>
      <c r="P34" s="797"/>
      <c r="Q34" s="750"/>
      <c r="R34" s="750"/>
      <c r="S34" s="751"/>
      <c r="T34" s="744">
        <f t="shared" si="10"/>
        <v>0</v>
      </c>
      <c r="U34" s="225"/>
      <c r="V34" s="226"/>
      <c r="W34" s="226"/>
      <c r="X34" s="226"/>
      <c r="Y34" s="226"/>
      <c r="Z34" s="211">
        <f t="shared" si="16"/>
        <v>0</v>
      </c>
      <c r="AA34" s="231">
        <v>150000</v>
      </c>
      <c r="AB34" s="745"/>
      <c r="AC34" s="752"/>
      <c r="AD34" s="230"/>
      <c r="AE34" s="230"/>
      <c r="AF34" s="230"/>
      <c r="AG34" s="230"/>
      <c r="AH34" s="230"/>
      <c r="AI34" s="1021">
        <v>60000</v>
      </c>
      <c r="AJ34" s="218">
        <f t="shared" si="11"/>
        <v>60000</v>
      </c>
      <c r="AK34" s="747"/>
      <c r="AL34" s="747"/>
      <c r="AM34" s="220">
        <f t="shared" si="2"/>
        <v>210000</v>
      </c>
      <c r="AN34" s="206"/>
      <c r="AQ34" s="1053"/>
      <c r="AR34" s="468"/>
    </row>
    <row r="35" spans="1:44">
      <c r="A35" s="221" t="s">
        <v>335</v>
      </c>
      <c r="B35" s="748"/>
      <c r="C35" s="223"/>
      <c r="D35" s="223"/>
      <c r="E35" s="223"/>
      <c r="F35" s="223"/>
      <c r="G35" s="223"/>
      <c r="H35" s="223"/>
      <c r="I35" s="223"/>
      <c r="J35" s="223"/>
      <c r="K35" s="223"/>
      <c r="L35" s="797"/>
      <c r="M35" s="797"/>
      <c r="N35" s="797"/>
      <c r="O35" s="797"/>
      <c r="P35" s="797"/>
      <c r="Q35" s="750"/>
      <c r="R35" s="750"/>
      <c r="S35" s="751"/>
      <c r="T35" s="744">
        <f t="shared" si="10"/>
        <v>0</v>
      </c>
      <c r="U35" s="225"/>
      <c r="V35" s="226"/>
      <c r="W35" s="226"/>
      <c r="X35" s="226"/>
      <c r="Y35" s="226"/>
      <c r="Z35" s="211">
        <f t="shared" si="16"/>
        <v>0</v>
      </c>
      <c r="AA35" s="231">
        <v>50000</v>
      </c>
      <c r="AB35" s="745"/>
      <c r="AC35" s="752"/>
      <c r="AD35" s="230"/>
      <c r="AE35" s="230"/>
      <c r="AF35" s="230"/>
      <c r="AG35" s="230"/>
      <c r="AH35" s="230"/>
      <c r="AI35" s="1021">
        <v>20000</v>
      </c>
      <c r="AJ35" s="218">
        <f t="shared" si="11"/>
        <v>20000</v>
      </c>
      <c r="AK35" s="747"/>
      <c r="AL35" s="747"/>
      <c r="AM35" s="220">
        <f t="shared" si="2"/>
        <v>70000</v>
      </c>
      <c r="AN35" s="206"/>
      <c r="AQ35" s="1053"/>
      <c r="AR35" s="468"/>
    </row>
    <row r="36" spans="1:44" ht="30">
      <c r="A36" s="221" t="s">
        <v>336</v>
      </c>
      <c r="B36" s="748"/>
      <c r="C36" s="223"/>
      <c r="D36" s="223"/>
      <c r="E36" s="223"/>
      <c r="F36" s="223"/>
      <c r="G36" s="223"/>
      <c r="H36" s="223"/>
      <c r="I36" s="223"/>
      <c r="J36" s="223"/>
      <c r="K36" s="223"/>
      <c r="L36" s="797"/>
      <c r="M36" s="797"/>
      <c r="N36" s="797"/>
      <c r="O36" s="797"/>
      <c r="P36" s="797"/>
      <c r="Q36" s="750"/>
      <c r="R36" s="750"/>
      <c r="S36" s="751"/>
      <c r="T36" s="744">
        <f t="shared" si="10"/>
        <v>0</v>
      </c>
      <c r="U36" s="225"/>
      <c r="V36" s="226"/>
      <c r="W36" s="226"/>
      <c r="X36" s="226"/>
      <c r="Y36" s="226"/>
      <c r="Z36" s="211">
        <f t="shared" si="16"/>
        <v>0</v>
      </c>
      <c r="AA36" s="231"/>
      <c r="AB36" s="745"/>
      <c r="AC36" s="752"/>
      <c r="AD36" s="230"/>
      <c r="AE36" s="230"/>
      <c r="AF36" s="230"/>
      <c r="AG36" s="230"/>
      <c r="AH36" s="230"/>
      <c r="AI36" s="1021"/>
      <c r="AJ36" s="218">
        <f t="shared" si="11"/>
        <v>0</v>
      </c>
      <c r="AK36" s="747"/>
      <c r="AL36" s="747"/>
      <c r="AM36" s="220">
        <f t="shared" si="2"/>
        <v>0</v>
      </c>
      <c r="AN36" s="206"/>
      <c r="AQ36" s="1053"/>
      <c r="AR36" s="468"/>
    </row>
    <row r="37" spans="1:44">
      <c r="A37" s="221" t="s">
        <v>337</v>
      </c>
      <c r="B37" s="748">
        <v>10000</v>
      </c>
      <c r="C37" s="223">
        <v>10000</v>
      </c>
      <c r="D37" s="223">
        <v>10000</v>
      </c>
      <c r="E37" s="223">
        <v>10000</v>
      </c>
      <c r="F37" s="223">
        <v>10000</v>
      </c>
      <c r="G37" s="223">
        <v>10000</v>
      </c>
      <c r="H37" s="223">
        <v>10000</v>
      </c>
      <c r="I37" s="223">
        <v>10000</v>
      </c>
      <c r="J37" s="223">
        <v>10000</v>
      </c>
      <c r="K37" s="223">
        <v>10000</v>
      </c>
      <c r="L37" s="797">
        <v>10000</v>
      </c>
      <c r="M37" s="797">
        <v>10000</v>
      </c>
      <c r="N37" s="797">
        <v>10000</v>
      </c>
      <c r="O37" s="797">
        <v>10000</v>
      </c>
      <c r="P37" s="797">
        <v>10000</v>
      </c>
      <c r="Q37" s="750">
        <v>10000</v>
      </c>
      <c r="R37" s="750">
        <v>7000</v>
      </c>
      <c r="S37" s="751"/>
      <c r="T37" s="744">
        <f t="shared" si="10"/>
        <v>167000</v>
      </c>
      <c r="U37" s="225"/>
      <c r="V37" s="226"/>
      <c r="W37" s="226"/>
      <c r="X37" s="226"/>
      <c r="Y37" s="226"/>
      <c r="Z37" s="211">
        <f t="shared" si="16"/>
        <v>0</v>
      </c>
      <c r="AA37" s="231"/>
      <c r="AB37" s="745"/>
      <c r="AC37" s="752">
        <v>10000</v>
      </c>
      <c r="AD37" s="230">
        <v>10000</v>
      </c>
      <c r="AE37" s="230">
        <v>10000</v>
      </c>
      <c r="AF37" s="230">
        <v>10000</v>
      </c>
      <c r="AG37" s="230"/>
      <c r="AH37" s="230">
        <v>10000</v>
      </c>
      <c r="AI37" s="1021"/>
      <c r="AJ37" s="218">
        <f t="shared" si="11"/>
        <v>50000</v>
      </c>
      <c r="AK37" s="747"/>
      <c r="AL37" s="747"/>
      <c r="AM37" s="220">
        <f t="shared" si="2"/>
        <v>217000</v>
      </c>
      <c r="AN37" s="206"/>
      <c r="AQ37" s="1053"/>
      <c r="AR37" s="468"/>
    </row>
    <row r="38" spans="1:44" ht="30">
      <c r="A38" s="221" t="s">
        <v>558</v>
      </c>
      <c r="B38" s="748"/>
      <c r="C38" s="223"/>
      <c r="D38" s="223"/>
      <c r="E38" s="223"/>
      <c r="F38" s="223"/>
      <c r="G38" s="223"/>
      <c r="H38" s="223"/>
      <c r="I38" s="223"/>
      <c r="J38" s="223"/>
      <c r="K38" s="223"/>
      <c r="L38" s="797"/>
      <c r="M38" s="797"/>
      <c r="N38" s="797"/>
      <c r="O38" s="797"/>
      <c r="P38" s="797"/>
      <c r="Q38" s="750"/>
      <c r="R38" s="750"/>
      <c r="S38" s="751"/>
      <c r="T38" s="744">
        <f t="shared" si="10"/>
        <v>0</v>
      </c>
      <c r="U38" s="225"/>
      <c r="V38" s="226"/>
      <c r="W38" s="226"/>
      <c r="X38" s="226"/>
      <c r="Y38" s="226"/>
      <c r="Z38" s="211">
        <f t="shared" si="16"/>
        <v>0</v>
      </c>
      <c r="AA38" s="231">
        <v>500000</v>
      </c>
      <c r="AB38" s="745"/>
      <c r="AC38" s="752"/>
      <c r="AD38" s="230"/>
      <c r="AE38" s="230"/>
      <c r="AF38" s="230"/>
      <c r="AG38" s="230"/>
      <c r="AH38" s="230"/>
      <c r="AI38" s="1021">
        <v>200000</v>
      </c>
      <c r="AJ38" s="218">
        <f t="shared" si="11"/>
        <v>200000</v>
      </c>
      <c r="AK38" s="747"/>
      <c r="AL38" s="747"/>
      <c r="AM38" s="220">
        <f t="shared" si="2"/>
        <v>700000</v>
      </c>
      <c r="AN38" s="206"/>
      <c r="AQ38" s="1053"/>
      <c r="AR38" s="468"/>
    </row>
    <row r="39" spans="1:44" ht="16.5" thickBot="1">
      <c r="A39" s="335" t="s">
        <v>338</v>
      </c>
      <c r="B39" s="805">
        <f t="shared" ref="B39:M39" si="20">SUM(B33:B38)</f>
        <v>10000</v>
      </c>
      <c r="C39" s="337">
        <f t="shared" si="20"/>
        <v>10000</v>
      </c>
      <c r="D39" s="337">
        <f t="shared" si="20"/>
        <v>10000</v>
      </c>
      <c r="E39" s="337">
        <f t="shared" si="20"/>
        <v>10000</v>
      </c>
      <c r="F39" s="337">
        <f t="shared" si="20"/>
        <v>10000</v>
      </c>
      <c r="G39" s="337">
        <f t="shared" si="20"/>
        <v>10000</v>
      </c>
      <c r="H39" s="337">
        <f t="shared" si="20"/>
        <v>10000</v>
      </c>
      <c r="I39" s="337">
        <f t="shared" si="20"/>
        <v>10000</v>
      </c>
      <c r="J39" s="337">
        <f t="shared" si="20"/>
        <v>10000</v>
      </c>
      <c r="K39" s="337">
        <f t="shared" si="20"/>
        <v>10000</v>
      </c>
      <c r="L39" s="806">
        <f t="shared" si="20"/>
        <v>10000</v>
      </c>
      <c r="M39" s="806">
        <f t="shared" si="20"/>
        <v>10000</v>
      </c>
      <c r="N39" s="806">
        <f t="shared" ref="N39:S39" si="21">SUM(N33:N38)</f>
        <v>10000</v>
      </c>
      <c r="O39" s="806">
        <f t="shared" si="21"/>
        <v>10000</v>
      </c>
      <c r="P39" s="806">
        <f t="shared" si="21"/>
        <v>10000</v>
      </c>
      <c r="Q39" s="807">
        <f t="shared" si="21"/>
        <v>10000</v>
      </c>
      <c r="R39" s="807">
        <f t="shared" si="21"/>
        <v>7000</v>
      </c>
      <c r="S39" s="808">
        <f t="shared" si="21"/>
        <v>0</v>
      </c>
      <c r="T39" s="809">
        <f t="shared" si="10"/>
        <v>167000</v>
      </c>
      <c r="U39" s="339">
        <f>SUM(U33:U38)</f>
        <v>0</v>
      </c>
      <c r="V39" s="340">
        <f>SUM(V33:V38)</f>
        <v>0</v>
      </c>
      <c r="W39" s="340">
        <f>SUM(W33:W38)</f>
        <v>0</v>
      </c>
      <c r="X39" s="340">
        <f>SUM(X33:X38)</f>
        <v>0</v>
      </c>
      <c r="Y39" s="340">
        <f>SUM(Y33:Y38)</f>
        <v>0</v>
      </c>
      <c r="Z39" s="307">
        <f t="shared" si="16"/>
        <v>0</v>
      </c>
      <c r="AA39" s="347">
        <f t="shared" ref="AA39:AI39" si="22">SUM(AA33:AA38)</f>
        <v>700000</v>
      </c>
      <c r="AB39" s="810">
        <f t="shared" si="22"/>
        <v>0</v>
      </c>
      <c r="AC39" s="811">
        <f t="shared" si="22"/>
        <v>10000</v>
      </c>
      <c r="AD39" s="811">
        <f t="shared" si="22"/>
        <v>10000</v>
      </c>
      <c r="AE39" s="811">
        <f>SUM(AE33:AE38)</f>
        <v>10000</v>
      </c>
      <c r="AF39" s="811">
        <f t="shared" si="22"/>
        <v>10000</v>
      </c>
      <c r="AG39" s="811">
        <f>SUM(AG33:AG38)</f>
        <v>0</v>
      </c>
      <c r="AH39" s="811">
        <f>SUM(AH33:AH38)</f>
        <v>10000</v>
      </c>
      <c r="AI39" s="1027">
        <f t="shared" si="22"/>
        <v>280000</v>
      </c>
      <c r="AJ39" s="396">
        <f t="shared" si="11"/>
        <v>330000</v>
      </c>
      <c r="AK39" s="812">
        <f>SUM(AK33:AK38)</f>
        <v>0</v>
      </c>
      <c r="AL39" s="812">
        <f>SUM(AL33:AL38)</f>
        <v>0</v>
      </c>
      <c r="AM39" s="249">
        <f t="shared" si="2"/>
        <v>1197000</v>
      </c>
      <c r="AN39" s="206">
        <v>1636935</v>
      </c>
      <c r="AQ39" s="1053"/>
      <c r="AR39" s="468"/>
    </row>
    <row r="40" spans="1:44" ht="16.5" thickBot="1">
      <c r="A40" s="350" t="s">
        <v>339</v>
      </c>
      <c r="B40" s="813">
        <f t="shared" ref="B40:AL40" si="23">B32+B39</f>
        <v>10000</v>
      </c>
      <c r="C40" s="352">
        <f t="shared" si="23"/>
        <v>10000</v>
      </c>
      <c r="D40" s="352">
        <f t="shared" si="23"/>
        <v>10000</v>
      </c>
      <c r="E40" s="352">
        <f t="shared" si="23"/>
        <v>10000</v>
      </c>
      <c r="F40" s="352">
        <f t="shared" si="23"/>
        <v>10000</v>
      </c>
      <c r="G40" s="352">
        <f t="shared" si="23"/>
        <v>10000</v>
      </c>
      <c r="H40" s="352">
        <f t="shared" si="23"/>
        <v>10000</v>
      </c>
      <c r="I40" s="352">
        <f t="shared" si="23"/>
        <v>10000</v>
      </c>
      <c r="J40" s="352">
        <f t="shared" si="23"/>
        <v>10000</v>
      </c>
      <c r="K40" s="352">
        <f t="shared" si="23"/>
        <v>10000</v>
      </c>
      <c r="L40" s="814">
        <f t="shared" si="23"/>
        <v>10000</v>
      </c>
      <c r="M40" s="814">
        <f t="shared" si="23"/>
        <v>10000</v>
      </c>
      <c r="N40" s="814">
        <f t="shared" si="23"/>
        <v>10000</v>
      </c>
      <c r="O40" s="814">
        <f t="shared" si="23"/>
        <v>10000</v>
      </c>
      <c r="P40" s="814">
        <f t="shared" si="23"/>
        <v>10000</v>
      </c>
      <c r="Q40" s="815">
        <f t="shared" si="23"/>
        <v>10000</v>
      </c>
      <c r="R40" s="815">
        <f t="shared" si="23"/>
        <v>7000</v>
      </c>
      <c r="S40" s="816">
        <f t="shared" si="23"/>
        <v>658000</v>
      </c>
      <c r="T40" s="817">
        <f t="shared" si="23"/>
        <v>825000</v>
      </c>
      <c r="U40" s="424">
        <f t="shared" si="23"/>
        <v>0</v>
      </c>
      <c r="V40" s="354">
        <f t="shared" si="23"/>
        <v>0</v>
      </c>
      <c r="W40" s="354">
        <f>W32+W39</f>
        <v>0</v>
      </c>
      <c r="X40" s="354">
        <f t="shared" si="23"/>
        <v>0</v>
      </c>
      <c r="Y40" s="354">
        <f>Y32+Y39</f>
        <v>0</v>
      </c>
      <c r="Z40" s="256">
        <f t="shared" si="23"/>
        <v>0</v>
      </c>
      <c r="AA40" s="360">
        <f t="shared" si="23"/>
        <v>700000</v>
      </c>
      <c r="AB40" s="818">
        <f t="shared" si="23"/>
        <v>0</v>
      </c>
      <c r="AC40" s="819">
        <f t="shared" si="23"/>
        <v>10000</v>
      </c>
      <c r="AD40" s="819">
        <f t="shared" si="23"/>
        <v>10000</v>
      </c>
      <c r="AE40" s="819">
        <f>AE32+AE39</f>
        <v>10000</v>
      </c>
      <c r="AF40" s="819">
        <f t="shared" si="23"/>
        <v>10000</v>
      </c>
      <c r="AG40" s="819">
        <f>AG32+AG39</f>
        <v>0</v>
      </c>
      <c r="AH40" s="819">
        <f>AH32+AH39</f>
        <v>10000</v>
      </c>
      <c r="AI40" s="1028">
        <f t="shared" si="23"/>
        <v>608000</v>
      </c>
      <c r="AJ40" s="263">
        <f t="shared" si="23"/>
        <v>658000</v>
      </c>
      <c r="AK40" s="820">
        <f t="shared" si="23"/>
        <v>0</v>
      </c>
      <c r="AL40" s="820">
        <f t="shared" si="23"/>
        <v>0</v>
      </c>
      <c r="AM40" s="205">
        <f t="shared" si="2"/>
        <v>2183000</v>
      </c>
      <c r="AN40" s="206"/>
      <c r="AQ40" s="1053"/>
      <c r="AR40" s="468"/>
    </row>
    <row r="41" spans="1:44" ht="30">
      <c r="A41" s="363" t="s">
        <v>340</v>
      </c>
      <c r="B41" s="735"/>
      <c r="C41" s="190"/>
      <c r="D41" s="190"/>
      <c r="E41" s="190"/>
      <c r="F41" s="190"/>
      <c r="G41" s="190"/>
      <c r="H41" s="190"/>
      <c r="I41" s="190"/>
      <c r="J41" s="190"/>
      <c r="K41" s="190"/>
      <c r="L41" s="821"/>
      <c r="M41" s="821"/>
      <c r="N41" s="821"/>
      <c r="O41" s="821"/>
      <c r="P41" s="821"/>
      <c r="Q41" s="737"/>
      <c r="R41" s="737"/>
      <c r="S41" s="738"/>
      <c r="T41" s="822">
        <f t="shared" ref="T41:T46" si="24">SUM(B41:S41)</f>
        <v>0</v>
      </c>
      <c r="U41" s="209"/>
      <c r="V41" s="210"/>
      <c r="W41" s="210"/>
      <c r="X41" s="210"/>
      <c r="Y41" s="210"/>
      <c r="Z41" s="364">
        <f t="shared" ref="Z41:Z46" si="25">SUM(U41:X41)</f>
        <v>0</v>
      </c>
      <c r="AA41" s="203"/>
      <c r="AB41" s="823"/>
      <c r="AC41" s="746"/>
      <c r="AD41" s="217"/>
      <c r="AE41" s="217"/>
      <c r="AF41" s="217"/>
      <c r="AG41" s="217"/>
      <c r="AH41" s="217"/>
      <c r="AI41" s="1020"/>
      <c r="AJ41" s="367">
        <f t="shared" ref="AJ41:AJ46" si="26">SUM(AC41:AI41)</f>
        <v>0</v>
      </c>
      <c r="AK41" s="743"/>
      <c r="AL41" s="743"/>
      <c r="AM41" s="205">
        <f>T41+Z41+AB41+AK41+AL41+AJ41+AA41</f>
        <v>0</v>
      </c>
      <c r="AN41" s="206"/>
      <c r="AQ41" s="1053"/>
      <c r="AR41" s="468"/>
    </row>
    <row r="42" spans="1:44" ht="45">
      <c r="A42" s="221" t="s">
        <v>529</v>
      </c>
      <c r="B42" s="748"/>
      <c r="C42" s="223"/>
      <c r="D42" s="223"/>
      <c r="E42" s="223"/>
      <c r="F42" s="223"/>
      <c r="G42" s="223"/>
      <c r="H42" s="223"/>
      <c r="I42" s="223"/>
      <c r="J42" s="223"/>
      <c r="K42" s="223"/>
      <c r="L42" s="797"/>
      <c r="M42" s="797"/>
      <c r="N42" s="797"/>
      <c r="O42" s="797"/>
      <c r="P42" s="797"/>
      <c r="Q42" s="750"/>
      <c r="R42" s="750"/>
      <c r="S42" s="751"/>
      <c r="T42" s="822">
        <f t="shared" si="24"/>
        <v>0</v>
      </c>
      <c r="U42" s="225"/>
      <c r="V42" s="226"/>
      <c r="W42" s="226"/>
      <c r="X42" s="226"/>
      <c r="Y42" s="226"/>
      <c r="Z42" s="364">
        <f t="shared" si="25"/>
        <v>0</v>
      </c>
      <c r="AA42" s="231"/>
      <c r="AB42" s="745"/>
      <c r="AC42" s="752"/>
      <c r="AD42" s="230"/>
      <c r="AE42" s="230"/>
      <c r="AF42" s="230"/>
      <c r="AG42" s="230"/>
      <c r="AH42" s="230"/>
      <c r="AI42" s="1021"/>
      <c r="AJ42" s="367">
        <f t="shared" si="26"/>
        <v>0</v>
      </c>
      <c r="AK42" s="747"/>
      <c r="AL42" s="747"/>
      <c r="AM42" s="220">
        <f t="shared" si="2"/>
        <v>0</v>
      </c>
      <c r="AN42" s="206"/>
      <c r="AQ42" s="1053"/>
      <c r="AR42" s="468"/>
    </row>
    <row r="43" spans="1:44" ht="30">
      <c r="A43" s="221" t="s">
        <v>342</v>
      </c>
      <c r="B43" s="748"/>
      <c r="C43" s="223"/>
      <c r="D43" s="223"/>
      <c r="E43" s="223"/>
      <c r="F43" s="223"/>
      <c r="G43" s="223"/>
      <c r="H43" s="223"/>
      <c r="I43" s="223"/>
      <c r="J43" s="223"/>
      <c r="K43" s="223"/>
      <c r="L43" s="797"/>
      <c r="M43" s="797"/>
      <c r="N43" s="797"/>
      <c r="O43" s="797"/>
      <c r="P43" s="797"/>
      <c r="Q43" s="750"/>
      <c r="R43" s="750"/>
      <c r="S43" s="751"/>
      <c r="T43" s="822">
        <f t="shared" si="24"/>
        <v>0</v>
      </c>
      <c r="U43" s="225"/>
      <c r="V43" s="226"/>
      <c r="W43" s="226"/>
      <c r="X43" s="226"/>
      <c r="Y43" s="226"/>
      <c r="Z43" s="364">
        <f t="shared" si="25"/>
        <v>0</v>
      </c>
      <c r="AA43" s="231"/>
      <c r="AB43" s="745"/>
      <c r="AC43" s="752"/>
      <c r="AD43" s="230"/>
      <c r="AE43" s="230"/>
      <c r="AF43" s="230"/>
      <c r="AG43" s="230"/>
      <c r="AH43" s="230"/>
      <c r="AI43" s="1021"/>
      <c r="AJ43" s="367">
        <f t="shared" si="26"/>
        <v>0</v>
      </c>
      <c r="AK43" s="747"/>
      <c r="AL43" s="747"/>
      <c r="AM43" s="220">
        <f t="shared" si="2"/>
        <v>0</v>
      </c>
      <c r="AN43" s="206"/>
      <c r="AQ43" s="1053"/>
      <c r="AR43" s="468"/>
    </row>
    <row r="44" spans="1:44" ht="45">
      <c r="A44" s="221" t="s">
        <v>530</v>
      </c>
      <c r="B44" s="748"/>
      <c r="C44" s="223"/>
      <c r="D44" s="223"/>
      <c r="E44" s="223"/>
      <c r="F44" s="223"/>
      <c r="G44" s="223"/>
      <c r="H44" s="223"/>
      <c r="I44" s="223"/>
      <c r="J44" s="223"/>
      <c r="K44" s="223"/>
      <c r="L44" s="797"/>
      <c r="M44" s="797"/>
      <c r="N44" s="797"/>
      <c r="O44" s="797"/>
      <c r="P44" s="797"/>
      <c r="Q44" s="750"/>
      <c r="R44" s="750"/>
      <c r="S44" s="751"/>
      <c r="T44" s="822">
        <f t="shared" si="24"/>
        <v>0</v>
      </c>
      <c r="U44" s="225"/>
      <c r="V44" s="226"/>
      <c r="W44" s="226"/>
      <c r="X44" s="226"/>
      <c r="Y44" s="226"/>
      <c r="Z44" s="364">
        <f t="shared" si="25"/>
        <v>0</v>
      </c>
      <c r="AA44" s="231">
        <v>100000</v>
      </c>
      <c r="AB44" s="745"/>
      <c r="AC44" s="752"/>
      <c r="AD44" s="230"/>
      <c r="AE44" s="230"/>
      <c r="AF44" s="230"/>
      <c r="AG44" s="230"/>
      <c r="AH44" s="230"/>
      <c r="AI44" s="1021">
        <v>40000</v>
      </c>
      <c r="AJ44" s="367">
        <f t="shared" si="26"/>
        <v>40000</v>
      </c>
      <c r="AK44" s="747"/>
      <c r="AL44" s="747"/>
      <c r="AM44" s="220">
        <f t="shared" si="2"/>
        <v>140000</v>
      </c>
      <c r="AN44" s="206"/>
      <c r="AQ44" s="1053"/>
      <c r="AR44" s="468"/>
    </row>
    <row r="45" spans="1:44" ht="30">
      <c r="A45" s="320" t="s">
        <v>344</v>
      </c>
      <c r="B45" s="798">
        <f t="shared" ref="B45:M45" si="27">SUM(B41:B44)</f>
        <v>0</v>
      </c>
      <c r="C45" s="322">
        <f t="shared" si="27"/>
        <v>0</v>
      </c>
      <c r="D45" s="322">
        <f t="shared" si="27"/>
        <v>0</v>
      </c>
      <c r="E45" s="322">
        <f t="shared" si="27"/>
        <v>0</v>
      </c>
      <c r="F45" s="322">
        <f t="shared" si="27"/>
        <v>0</v>
      </c>
      <c r="G45" s="322">
        <f t="shared" si="27"/>
        <v>0</v>
      </c>
      <c r="H45" s="322">
        <f t="shared" si="27"/>
        <v>0</v>
      </c>
      <c r="I45" s="322">
        <f t="shared" si="27"/>
        <v>0</v>
      </c>
      <c r="J45" s="322">
        <f t="shared" si="27"/>
        <v>0</v>
      </c>
      <c r="K45" s="322">
        <f t="shared" si="27"/>
        <v>0</v>
      </c>
      <c r="L45" s="799">
        <f t="shared" si="27"/>
        <v>0</v>
      </c>
      <c r="M45" s="799">
        <f t="shared" si="27"/>
        <v>0</v>
      </c>
      <c r="N45" s="799">
        <f t="shared" ref="N45:S45" si="28">SUM(N41:N44)</f>
        <v>0</v>
      </c>
      <c r="O45" s="799">
        <f t="shared" si="28"/>
        <v>0</v>
      </c>
      <c r="P45" s="799">
        <f t="shared" si="28"/>
        <v>0</v>
      </c>
      <c r="Q45" s="800">
        <f t="shared" si="28"/>
        <v>0</v>
      </c>
      <c r="R45" s="800">
        <f t="shared" si="28"/>
        <v>0</v>
      </c>
      <c r="S45" s="801">
        <f t="shared" si="28"/>
        <v>0</v>
      </c>
      <c r="T45" s="824">
        <f t="shared" si="24"/>
        <v>0</v>
      </c>
      <c r="U45" s="324">
        <f>SUM(U41:U44)</f>
        <v>0</v>
      </c>
      <c r="V45" s="325">
        <f>SUM(V41:V44)</f>
        <v>0</v>
      </c>
      <c r="W45" s="325">
        <f>SUM(W41:W44)</f>
        <v>0</v>
      </c>
      <c r="X45" s="325">
        <f>SUM(X41:X44)</f>
        <v>0</v>
      </c>
      <c r="Y45" s="325">
        <f>SUM(Y41:Y44)</f>
        <v>0</v>
      </c>
      <c r="Z45" s="211">
        <f t="shared" si="25"/>
        <v>0</v>
      </c>
      <c r="AA45" s="372">
        <f t="shared" ref="AA45:AI45" si="29">SUM(AA41:AA44)</f>
        <v>100000</v>
      </c>
      <c r="AB45" s="825">
        <f t="shared" si="29"/>
        <v>0</v>
      </c>
      <c r="AC45" s="804">
        <f t="shared" si="29"/>
        <v>0</v>
      </c>
      <c r="AD45" s="804">
        <f t="shared" si="29"/>
        <v>0</v>
      </c>
      <c r="AE45" s="804">
        <f>SUM(AE41:AE44)</f>
        <v>0</v>
      </c>
      <c r="AF45" s="804">
        <f t="shared" si="29"/>
        <v>0</v>
      </c>
      <c r="AG45" s="804">
        <f>SUM(AG41:AG44)</f>
        <v>0</v>
      </c>
      <c r="AH45" s="804">
        <f>SUM(AH41:AH44)</f>
        <v>0</v>
      </c>
      <c r="AI45" s="1029">
        <f t="shared" si="29"/>
        <v>40000</v>
      </c>
      <c r="AJ45" s="367">
        <f t="shared" si="26"/>
        <v>40000</v>
      </c>
      <c r="AK45" s="826">
        <f>SUM(AK41:AK44)</f>
        <v>0</v>
      </c>
      <c r="AL45" s="826">
        <f>SUM(AL41:AL44)</f>
        <v>0</v>
      </c>
      <c r="AM45" s="220">
        <f t="shared" si="2"/>
        <v>140000</v>
      </c>
      <c r="AN45" s="206">
        <v>149324</v>
      </c>
      <c r="AQ45" s="1053"/>
      <c r="AR45" s="468"/>
    </row>
    <row r="46" spans="1:44" s="389" customFormat="1" ht="30.75" thickBot="1">
      <c r="A46" s="335" t="s">
        <v>345</v>
      </c>
      <c r="B46" s="805"/>
      <c r="C46" s="337"/>
      <c r="D46" s="337"/>
      <c r="E46" s="337"/>
      <c r="F46" s="337"/>
      <c r="G46" s="337"/>
      <c r="H46" s="337"/>
      <c r="I46" s="337"/>
      <c r="J46" s="337"/>
      <c r="K46" s="337"/>
      <c r="L46" s="806"/>
      <c r="M46" s="806"/>
      <c r="N46" s="806"/>
      <c r="O46" s="806"/>
      <c r="P46" s="806"/>
      <c r="Q46" s="807"/>
      <c r="R46" s="807"/>
      <c r="S46" s="808"/>
      <c r="T46" s="824">
        <f t="shared" si="24"/>
        <v>0</v>
      </c>
      <c r="U46" s="375"/>
      <c r="V46" s="376"/>
      <c r="W46" s="376"/>
      <c r="X46" s="376"/>
      <c r="Y46" s="376"/>
      <c r="Z46" s="490">
        <f t="shared" si="25"/>
        <v>0</v>
      </c>
      <c r="AA46" s="386">
        <v>100000</v>
      </c>
      <c r="AB46" s="827"/>
      <c r="AC46" s="828"/>
      <c r="AD46" s="383"/>
      <c r="AE46" s="383"/>
      <c r="AF46" s="383"/>
      <c r="AG46" s="383"/>
      <c r="AH46" s="383"/>
      <c r="AI46" s="1030">
        <v>40000</v>
      </c>
      <c r="AJ46" s="497">
        <f t="shared" si="26"/>
        <v>40000</v>
      </c>
      <c r="AK46" s="829"/>
      <c r="AL46" s="829"/>
      <c r="AM46" s="830">
        <f t="shared" si="2"/>
        <v>140000</v>
      </c>
      <c r="AN46" s="206">
        <v>149375</v>
      </c>
      <c r="AO46" s="388"/>
      <c r="AQ46" s="1054"/>
      <c r="AR46" s="1050"/>
    </row>
    <row r="47" spans="1:44" ht="16.5" thickBot="1">
      <c r="A47" s="350" t="s">
        <v>346</v>
      </c>
      <c r="B47" s="813">
        <f t="shared" ref="B47:AL47" si="30">B45+B46</f>
        <v>0</v>
      </c>
      <c r="C47" s="352">
        <f t="shared" si="30"/>
        <v>0</v>
      </c>
      <c r="D47" s="352">
        <f t="shared" si="30"/>
        <v>0</v>
      </c>
      <c r="E47" s="352">
        <f t="shared" si="30"/>
        <v>0</v>
      </c>
      <c r="F47" s="352">
        <f t="shared" si="30"/>
        <v>0</v>
      </c>
      <c r="G47" s="352">
        <f t="shared" si="30"/>
        <v>0</v>
      </c>
      <c r="H47" s="352">
        <f t="shared" si="30"/>
        <v>0</v>
      </c>
      <c r="I47" s="352">
        <f t="shared" si="30"/>
        <v>0</v>
      </c>
      <c r="J47" s="352">
        <f t="shared" si="30"/>
        <v>0</v>
      </c>
      <c r="K47" s="352">
        <f t="shared" si="30"/>
        <v>0</v>
      </c>
      <c r="L47" s="814">
        <f t="shared" si="30"/>
        <v>0</v>
      </c>
      <c r="M47" s="814">
        <f t="shared" si="30"/>
        <v>0</v>
      </c>
      <c r="N47" s="814">
        <f t="shared" si="30"/>
        <v>0</v>
      </c>
      <c r="O47" s="814">
        <f t="shared" si="30"/>
        <v>0</v>
      </c>
      <c r="P47" s="814">
        <f t="shared" si="30"/>
        <v>0</v>
      </c>
      <c r="Q47" s="815">
        <f t="shared" si="30"/>
        <v>0</v>
      </c>
      <c r="R47" s="815">
        <f t="shared" si="30"/>
        <v>0</v>
      </c>
      <c r="S47" s="816">
        <f t="shared" si="30"/>
        <v>0</v>
      </c>
      <c r="T47" s="817">
        <f t="shared" si="30"/>
        <v>0</v>
      </c>
      <c r="U47" s="424">
        <f t="shared" si="30"/>
        <v>0</v>
      </c>
      <c r="V47" s="354">
        <f t="shared" si="30"/>
        <v>0</v>
      </c>
      <c r="W47" s="354">
        <f>W45+W46</f>
        <v>0</v>
      </c>
      <c r="X47" s="354">
        <f t="shared" si="30"/>
        <v>0</v>
      </c>
      <c r="Y47" s="354">
        <f>Y45+Y46</f>
        <v>0</v>
      </c>
      <c r="Z47" s="256">
        <f t="shared" si="30"/>
        <v>0</v>
      </c>
      <c r="AA47" s="360">
        <f t="shared" si="30"/>
        <v>200000</v>
      </c>
      <c r="AB47" s="818">
        <f t="shared" si="30"/>
        <v>0</v>
      </c>
      <c r="AC47" s="819">
        <f t="shared" si="30"/>
        <v>0</v>
      </c>
      <c r="AD47" s="819">
        <f t="shared" si="30"/>
        <v>0</v>
      </c>
      <c r="AE47" s="819">
        <f>AE45+AE46</f>
        <v>0</v>
      </c>
      <c r="AF47" s="819">
        <f t="shared" si="30"/>
        <v>0</v>
      </c>
      <c r="AG47" s="819">
        <f>AG45+AG46</f>
        <v>0</v>
      </c>
      <c r="AH47" s="819">
        <f>AH45+AH46</f>
        <v>0</v>
      </c>
      <c r="AI47" s="1028">
        <f t="shared" si="30"/>
        <v>80000</v>
      </c>
      <c r="AJ47" s="263">
        <f t="shared" si="30"/>
        <v>80000</v>
      </c>
      <c r="AK47" s="820">
        <f t="shared" si="30"/>
        <v>0</v>
      </c>
      <c r="AL47" s="820">
        <f t="shared" si="30"/>
        <v>0</v>
      </c>
      <c r="AM47" s="205">
        <f t="shared" si="2"/>
        <v>280000</v>
      </c>
      <c r="AN47" s="206"/>
      <c r="AQ47" s="1053"/>
      <c r="AR47" s="468"/>
    </row>
    <row r="48" spans="1:44">
      <c r="A48" s="316" t="s">
        <v>347</v>
      </c>
      <c r="B48" s="786"/>
      <c r="C48" s="299"/>
      <c r="D48" s="299"/>
      <c r="E48" s="299"/>
      <c r="F48" s="299"/>
      <c r="G48" s="299"/>
      <c r="H48" s="299"/>
      <c r="I48" s="299"/>
      <c r="J48" s="299"/>
      <c r="K48" s="299"/>
      <c r="L48" s="796"/>
      <c r="M48" s="796"/>
      <c r="N48" s="796"/>
      <c r="O48" s="796"/>
      <c r="P48" s="796"/>
      <c r="Q48" s="788"/>
      <c r="R48" s="788"/>
      <c r="S48" s="789"/>
      <c r="T48" s="739">
        <f>SUM(B48:S48)</f>
        <v>0</v>
      </c>
      <c r="U48" s="192"/>
      <c r="V48" s="193"/>
      <c r="W48" s="193"/>
      <c r="X48" s="193"/>
      <c r="Y48" s="193"/>
      <c r="Z48" s="194">
        <f>SUM(U48:X48)</f>
        <v>0</v>
      </c>
      <c r="AA48" s="831">
        <v>185000</v>
      </c>
      <c r="AB48" s="832"/>
      <c r="AC48" s="741"/>
      <c r="AD48" s="200"/>
      <c r="AE48" s="200"/>
      <c r="AF48" s="200"/>
      <c r="AG48" s="200"/>
      <c r="AH48" s="200"/>
      <c r="AI48" s="1019">
        <v>75000</v>
      </c>
      <c r="AJ48" s="201">
        <f>SUM(AC48:AI48)</f>
        <v>75000</v>
      </c>
      <c r="AK48" s="742"/>
      <c r="AL48" s="742"/>
      <c r="AM48" s="205">
        <f>T48+Z48+AB48+AK48+AL48+AJ48+AA48</f>
        <v>260000</v>
      </c>
      <c r="AN48" s="206"/>
      <c r="AQ48" s="1053"/>
      <c r="AR48" s="468"/>
    </row>
    <row r="49" spans="1:44">
      <c r="A49" s="221" t="s">
        <v>348</v>
      </c>
      <c r="B49" s="748"/>
      <c r="C49" s="223"/>
      <c r="D49" s="223"/>
      <c r="E49" s="223"/>
      <c r="F49" s="223"/>
      <c r="G49" s="223"/>
      <c r="H49" s="223"/>
      <c r="I49" s="223"/>
      <c r="J49" s="223"/>
      <c r="K49" s="223"/>
      <c r="L49" s="797"/>
      <c r="M49" s="797"/>
      <c r="N49" s="797"/>
      <c r="O49" s="797"/>
      <c r="P49" s="797"/>
      <c r="Q49" s="750"/>
      <c r="R49" s="750"/>
      <c r="S49" s="751"/>
      <c r="T49" s="744">
        <f t="shared" ref="T49:T62" si="31">SUM(B49:S49)</f>
        <v>0</v>
      </c>
      <c r="U49" s="225"/>
      <c r="V49" s="226"/>
      <c r="W49" s="226"/>
      <c r="X49" s="226"/>
      <c r="Y49" s="226"/>
      <c r="Z49" s="211">
        <f t="shared" ref="Z49:Z62" si="32">SUM(U49:X49)</f>
        <v>0</v>
      </c>
      <c r="AA49" s="833">
        <v>970000</v>
      </c>
      <c r="AB49" s="834"/>
      <c r="AC49" s="752"/>
      <c r="AD49" s="230"/>
      <c r="AE49" s="230"/>
      <c r="AF49" s="230"/>
      <c r="AG49" s="230"/>
      <c r="AH49" s="230"/>
      <c r="AI49" s="1021">
        <v>390000</v>
      </c>
      <c r="AJ49" s="218">
        <f t="shared" ref="AJ49:AJ62" si="33">SUM(AC49:AI49)</f>
        <v>390000</v>
      </c>
      <c r="AK49" s="747"/>
      <c r="AL49" s="747"/>
      <c r="AM49" s="220">
        <f t="shared" si="2"/>
        <v>1360000</v>
      </c>
      <c r="AN49" s="206"/>
      <c r="AQ49" s="1053"/>
      <c r="AR49" s="468"/>
    </row>
    <row r="50" spans="1:44" ht="30">
      <c r="A50" s="221" t="s">
        <v>349</v>
      </c>
      <c r="B50" s="748"/>
      <c r="C50" s="223"/>
      <c r="D50" s="223"/>
      <c r="E50" s="223"/>
      <c r="F50" s="223"/>
      <c r="G50" s="223"/>
      <c r="H50" s="223"/>
      <c r="I50" s="223"/>
      <c r="J50" s="223"/>
      <c r="K50" s="223"/>
      <c r="L50" s="797"/>
      <c r="M50" s="797"/>
      <c r="N50" s="797"/>
      <c r="O50" s="797"/>
      <c r="P50" s="797"/>
      <c r="Q50" s="750"/>
      <c r="R50" s="750"/>
      <c r="S50" s="751"/>
      <c r="T50" s="744">
        <f t="shared" si="31"/>
        <v>0</v>
      </c>
      <c r="U50" s="225"/>
      <c r="V50" s="226"/>
      <c r="W50" s="226"/>
      <c r="X50" s="226"/>
      <c r="Y50" s="226"/>
      <c r="Z50" s="211">
        <f t="shared" si="32"/>
        <v>0</v>
      </c>
      <c r="AA50" s="833"/>
      <c r="AB50" s="834"/>
      <c r="AC50" s="752"/>
      <c r="AD50" s="230"/>
      <c r="AE50" s="230"/>
      <c r="AF50" s="230"/>
      <c r="AG50" s="230"/>
      <c r="AH50" s="230"/>
      <c r="AI50" s="1021"/>
      <c r="AJ50" s="218">
        <f t="shared" si="33"/>
        <v>0</v>
      </c>
      <c r="AK50" s="747"/>
      <c r="AL50" s="747"/>
      <c r="AM50" s="220">
        <f t="shared" si="2"/>
        <v>0</v>
      </c>
      <c r="AN50" s="206"/>
      <c r="AQ50" s="1053"/>
      <c r="AR50" s="468"/>
    </row>
    <row r="51" spans="1:44">
      <c r="A51" s="221" t="s">
        <v>350</v>
      </c>
      <c r="B51" s="748"/>
      <c r="C51" s="223"/>
      <c r="D51" s="223"/>
      <c r="E51" s="223"/>
      <c r="F51" s="223"/>
      <c r="G51" s="223"/>
      <c r="H51" s="223"/>
      <c r="I51" s="223"/>
      <c r="J51" s="223"/>
      <c r="K51" s="223"/>
      <c r="L51" s="797"/>
      <c r="M51" s="797"/>
      <c r="N51" s="797"/>
      <c r="O51" s="797"/>
      <c r="P51" s="797"/>
      <c r="Q51" s="750"/>
      <c r="R51" s="750"/>
      <c r="S51" s="751"/>
      <c r="T51" s="744">
        <f t="shared" si="31"/>
        <v>0</v>
      </c>
      <c r="U51" s="225"/>
      <c r="V51" s="226"/>
      <c r="W51" s="226"/>
      <c r="X51" s="226"/>
      <c r="Y51" s="226"/>
      <c r="Z51" s="211">
        <f t="shared" si="32"/>
        <v>0</v>
      </c>
      <c r="AA51" s="833">
        <v>325000</v>
      </c>
      <c r="AB51" s="834"/>
      <c r="AC51" s="752"/>
      <c r="AD51" s="230"/>
      <c r="AE51" s="230"/>
      <c r="AF51" s="230"/>
      <c r="AG51" s="230"/>
      <c r="AH51" s="230"/>
      <c r="AI51" s="1021">
        <v>130000</v>
      </c>
      <c r="AJ51" s="218">
        <f t="shared" si="33"/>
        <v>130000</v>
      </c>
      <c r="AK51" s="747"/>
      <c r="AL51" s="747"/>
      <c r="AM51" s="220">
        <f t="shared" si="2"/>
        <v>455000</v>
      </c>
      <c r="AN51" s="206"/>
      <c r="AQ51" s="1053"/>
      <c r="AR51" s="468"/>
    </row>
    <row r="52" spans="1:44">
      <c r="A52" s="320" t="s">
        <v>351</v>
      </c>
      <c r="B52" s="798">
        <f t="shared" ref="B52:M52" si="34">SUM(B48:B51)</f>
        <v>0</v>
      </c>
      <c r="C52" s="322">
        <f t="shared" si="34"/>
        <v>0</v>
      </c>
      <c r="D52" s="322">
        <f t="shared" si="34"/>
        <v>0</v>
      </c>
      <c r="E52" s="322">
        <f t="shared" si="34"/>
        <v>0</v>
      </c>
      <c r="F52" s="322">
        <f t="shared" si="34"/>
        <v>0</v>
      </c>
      <c r="G52" s="322">
        <f t="shared" si="34"/>
        <v>0</v>
      </c>
      <c r="H52" s="322">
        <f t="shared" si="34"/>
        <v>0</v>
      </c>
      <c r="I52" s="322">
        <f t="shared" si="34"/>
        <v>0</v>
      </c>
      <c r="J52" s="322">
        <f t="shared" si="34"/>
        <v>0</v>
      </c>
      <c r="K52" s="322">
        <f t="shared" si="34"/>
        <v>0</v>
      </c>
      <c r="L52" s="799">
        <f t="shared" si="34"/>
        <v>0</v>
      </c>
      <c r="M52" s="799">
        <f t="shared" si="34"/>
        <v>0</v>
      </c>
      <c r="N52" s="799">
        <f t="shared" ref="N52:S52" si="35">SUM(N48:N51)</f>
        <v>0</v>
      </c>
      <c r="O52" s="799">
        <f t="shared" si="35"/>
        <v>0</v>
      </c>
      <c r="P52" s="799">
        <f t="shared" si="35"/>
        <v>0</v>
      </c>
      <c r="Q52" s="800">
        <f t="shared" si="35"/>
        <v>0</v>
      </c>
      <c r="R52" s="800">
        <f t="shared" si="35"/>
        <v>0</v>
      </c>
      <c r="S52" s="801">
        <f t="shared" si="35"/>
        <v>0</v>
      </c>
      <c r="T52" s="802">
        <f t="shared" si="31"/>
        <v>0</v>
      </c>
      <c r="U52" s="324">
        <f t="shared" ref="U52:AI52" si="36">SUM(U48:U51)</f>
        <v>0</v>
      </c>
      <c r="V52" s="325">
        <f t="shared" si="36"/>
        <v>0</v>
      </c>
      <c r="W52" s="325">
        <f>SUM(W48:W51)</f>
        <v>0</v>
      </c>
      <c r="X52" s="325">
        <f t="shared" si="36"/>
        <v>0</v>
      </c>
      <c r="Y52" s="325">
        <f>SUM(Y48:Y51)</f>
        <v>0</v>
      </c>
      <c r="Z52" s="393">
        <f t="shared" si="32"/>
        <v>0</v>
      </c>
      <c r="AA52" s="835">
        <f t="shared" si="36"/>
        <v>1480000</v>
      </c>
      <c r="AB52" s="836">
        <f t="shared" si="36"/>
        <v>0</v>
      </c>
      <c r="AC52" s="804">
        <f t="shared" si="36"/>
        <v>0</v>
      </c>
      <c r="AD52" s="804">
        <f t="shared" si="36"/>
        <v>0</v>
      </c>
      <c r="AE52" s="804">
        <f>SUM(AE48:AE51)</f>
        <v>0</v>
      </c>
      <c r="AF52" s="804">
        <f t="shared" si="36"/>
        <v>0</v>
      </c>
      <c r="AG52" s="804">
        <f>SUM(AG48:AG51)</f>
        <v>0</v>
      </c>
      <c r="AH52" s="804">
        <f>SUM(AH48:AH51)</f>
        <v>0</v>
      </c>
      <c r="AI52" s="1029">
        <f t="shared" si="36"/>
        <v>595000</v>
      </c>
      <c r="AJ52" s="218">
        <f t="shared" si="33"/>
        <v>595000</v>
      </c>
      <c r="AK52" s="826">
        <f>SUM(AK48:AK51)</f>
        <v>0</v>
      </c>
      <c r="AL52" s="826">
        <f>SUM(AL48:AL51)</f>
        <v>0</v>
      </c>
      <c r="AM52" s="220">
        <f t="shared" si="2"/>
        <v>2075000</v>
      </c>
      <c r="AN52" s="206">
        <v>1896610</v>
      </c>
      <c r="AQ52" s="1053"/>
      <c r="AR52" s="468"/>
    </row>
    <row r="53" spans="1:44">
      <c r="A53" s="320" t="s">
        <v>352</v>
      </c>
      <c r="B53" s="798"/>
      <c r="C53" s="322"/>
      <c r="D53" s="322"/>
      <c r="E53" s="322"/>
      <c r="F53" s="322"/>
      <c r="G53" s="322"/>
      <c r="H53" s="322"/>
      <c r="I53" s="322"/>
      <c r="J53" s="322"/>
      <c r="K53" s="322"/>
      <c r="L53" s="799"/>
      <c r="M53" s="799"/>
      <c r="N53" s="799"/>
      <c r="O53" s="799"/>
      <c r="P53" s="799"/>
      <c r="Q53" s="800"/>
      <c r="R53" s="800"/>
      <c r="S53" s="801"/>
      <c r="T53" s="744">
        <f t="shared" si="31"/>
        <v>0</v>
      </c>
      <c r="U53" s="225"/>
      <c r="V53" s="226"/>
      <c r="W53" s="226"/>
      <c r="X53" s="226"/>
      <c r="Y53" s="226"/>
      <c r="Z53" s="211">
        <f t="shared" si="32"/>
        <v>0</v>
      </c>
      <c r="AA53" s="837"/>
      <c r="AB53" s="838"/>
      <c r="AC53" s="752"/>
      <c r="AD53" s="230"/>
      <c r="AE53" s="230"/>
      <c r="AF53" s="230"/>
      <c r="AG53" s="230"/>
      <c r="AH53" s="230"/>
      <c r="AI53" s="1021"/>
      <c r="AJ53" s="218">
        <f t="shared" si="33"/>
        <v>0</v>
      </c>
      <c r="AK53" s="839"/>
      <c r="AL53" s="839"/>
      <c r="AM53" s="220">
        <f t="shared" si="2"/>
        <v>0</v>
      </c>
      <c r="AN53" s="206"/>
      <c r="AQ53" s="1053"/>
      <c r="AR53" s="468"/>
    </row>
    <row r="54" spans="1:44">
      <c r="A54" s="320" t="s">
        <v>353</v>
      </c>
      <c r="B54" s="798"/>
      <c r="C54" s="322"/>
      <c r="D54" s="322"/>
      <c r="E54" s="322"/>
      <c r="F54" s="322"/>
      <c r="G54" s="322"/>
      <c r="H54" s="322"/>
      <c r="I54" s="322"/>
      <c r="J54" s="322"/>
      <c r="K54" s="322"/>
      <c r="L54" s="799"/>
      <c r="M54" s="799"/>
      <c r="N54" s="799"/>
      <c r="O54" s="799"/>
      <c r="P54" s="799"/>
      <c r="Q54" s="800"/>
      <c r="R54" s="800"/>
      <c r="S54" s="801"/>
      <c r="T54" s="744">
        <f t="shared" si="31"/>
        <v>0</v>
      </c>
      <c r="U54" s="225"/>
      <c r="V54" s="226"/>
      <c r="W54" s="226"/>
      <c r="X54" s="226"/>
      <c r="Y54" s="226"/>
      <c r="Z54" s="211">
        <f t="shared" si="32"/>
        <v>0</v>
      </c>
      <c r="AA54" s="837"/>
      <c r="AB54" s="838"/>
      <c r="AC54" s="752"/>
      <c r="AD54" s="230"/>
      <c r="AE54" s="230"/>
      <c r="AF54" s="230"/>
      <c r="AG54" s="230"/>
      <c r="AH54" s="230"/>
      <c r="AI54" s="1021"/>
      <c r="AJ54" s="218">
        <f t="shared" si="33"/>
        <v>0</v>
      </c>
      <c r="AK54" s="839"/>
      <c r="AL54" s="839"/>
      <c r="AM54" s="220">
        <f t="shared" si="2"/>
        <v>0</v>
      </c>
      <c r="AN54" s="206"/>
      <c r="AQ54" s="1053"/>
      <c r="AR54" s="468"/>
    </row>
    <row r="55" spans="1:44" ht="58.5" customHeight="1">
      <c r="A55" s="320" t="s">
        <v>562</v>
      </c>
      <c r="B55" s="798"/>
      <c r="C55" s="322"/>
      <c r="D55" s="322"/>
      <c r="E55" s="322"/>
      <c r="F55" s="322"/>
      <c r="G55" s="322"/>
      <c r="H55" s="322"/>
      <c r="I55" s="322"/>
      <c r="J55" s="322"/>
      <c r="K55" s="322"/>
      <c r="L55" s="799"/>
      <c r="M55" s="799"/>
      <c r="N55" s="799"/>
      <c r="O55" s="799"/>
      <c r="P55" s="799"/>
      <c r="Q55" s="800"/>
      <c r="R55" s="800"/>
      <c r="S55" s="801"/>
      <c r="T55" s="744">
        <f t="shared" si="31"/>
        <v>0</v>
      </c>
      <c r="U55" s="225"/>
      <c r="V55" s="226"/>
      <c r="W55" s="226"/>
      <c r="X55" s="226"/>
      <c r="Y55" s="226"/>
      <c r="Z55" s="211">
        <f t="shared" si="32"/>
        <v>0</v>
      </c>
      <c r="AA55" s="837">
        <f>200000+390000</f>
        <v>590000</v>
      </c>
      <c r="AB55" s="838"/>
      <c r="AC55" s="752"/>
      <c r="AD55" s="230"/>
      <c r="AE55" s="230"/>
      <c r="AF55" s="230"/>
      <c r="AG55" s="230"/>
      <c r="AH55" s="230"/>
      <c r="AI55" s="1021">
        <v>80000</v>
      </c>
      <c r="AJ55" s="218">
        <f t="shared" si="33"/>
        <v>80000</v>
      </c>
      <c r="AK55" s="839"/>
      <c r="AL55" s="839"/>
      <c r="AM55" s="220">
        <f t="shared" si="2"/>
        <v>670000</v>
      </c>
      <c r="AN55" s="206">
        <v>481954</v>
      </c>
      <c r="AQ55" s="1053"/>
      <c r="AR55" s="468"/>
    </row>
    <row r="56" spans="1:44" ht="30">
      <c r="A56" s="221" t="s">
        <v>559</v>
      </c>
      <c r="B56" s="748"/>
      <c r="C56" s="223"/>
      <c r="D56" s="223"/>
      <c r="E56" s="223"/>
      <c r="F56" s="223"/>
      <c r="G56" s="223"/>
      <c r="H56" s="223"/>
      <c r="I56" s="223"/>
      <c r="J56" s="223"/>
      <c r="K56" s="223"/>
      <c r="L56" s="797"/>
      <c r="M56" s="797"/>
      <c r="N56" s="797"/>
      <c r="O56" s="797"/>
      <c r="P56" s="797"/>
      <c r="Q56" s="750"/>
      <c r="R56" s="750"/>
      <c r="S56" s="751"/>
      <c r="T56" s="744">
        <f t="shared" si="31"/>
        <v>0</v>
      </c>
      <c r="U56" s="225"/>
      <c r="V56" s="226"/>
      <c r="W56" s="226"/>
      <c r="X56" s="226"/>
      <c r="Y56" s="226"/>
      <c r="Z56" s="211">
        <f t="shared" si="32"/>
        <v>0</v>
      </c>
      <c r="AA56" s="833">
        <v>1370000</v>
      </c>
      <c r="AB56" s="834"/>
      <c r="AC56" s="752"/>
      <c r="AD56" s="230"/>
      <c r="AE56" s="230"/>
      <c r="AF56" s="230"/>
      <c r="AG56" s="230"/>
      <c r="AH56" s="230"/>
      <c r="AI56" s="1021"/>
      <c r="AJ56" s="218">
        <f t="shared" si="33"/>
        <v>0</v>
      </c>
      <c r="AK56" s="747"/>
      <c r="AL56" s="747"/>
      <c r="AM56" s="220">
        <f t="shared" si="2"/>
        <v>1370000</v>
      </c>
      <c r="AN56" s="206"/>
      <c r="AQ56" s="1053"/>
      <c r="AR56" s="468"/>
    </row>
    <row r="57" spans="1:44" ht="30">
      <c r="A57" s="221" t="s">
        <v>356</v>
      </c>
      <c r="B57" s="748"/>
      <c r="C57" s="223"/>
      <c r="D57" s="223"/>
      <c r="E57" s="223"/>
      <c r="F57" s="223"/>
      <c r="G57" s="223"/>
      <c r="H57" s="223"/>
      <c r="I57" s="223"/>
      <c r="J57" s="223"/>
      <c r="K57" s="223"/>
      <c r="L57" s="797"/>
      <c r="M57" s="797"/>
      <c r="N57" s="797"/>
      <c r="O57" s="797"/>
      <c r="P57" s="797"/>
      <c r="Q57" s="750"/>
      <c r="R57" s="750"/>
      <c r="S57" s="751"/>
      <c r="T57" s="744">
        <f t="shared" si="31"/>
        <v>0</v>
      </c>
      <c r="U57" s="225"/>
      <c r="V57" s="226"/>
      <c r="W57" s="226"/>
      <c r="X57" s="226"/>
      <c r="Y57" s="226"/>
      <c r="Z57" s="211">
        <f t="shared" si="32"/>
        <v>0</v>
      </c>
      <c r="AA57" s="833"/>
      <c r="AB57" s="834"/>
      <c r="AC57" s="752"/>
      <c r="AD57" s="230"/>
      <c r="AE57" s="230"/>
      <c r="AF57" s="230"/>
      <c r="AG57" s="230"/>
      <c r="AH57" s="230"/>
      <c r="AI57" s="1021"/>
      <c r="AJ57" s="218">
        <f t="shared" si="33"/>
        <v>0</v>
      </c>
      <c r="AK57" s="747"/>
      <c r="AL57" s="747"/>
      <c r="AM57" s="220">
        <f t="shared" si="2"/>
        <v>0</v>
      </c>
      <c r="AN57" s="206"/>
      <c r="AQ57" s="1053"/>
      <c r="AR57" s="468"/>
    </row>
    <row r="58" spans="1:44">
      <c r="A58" s="320" t="s">
        <v>357</v>
      </c>
      <c r="B58" s="798">
        <f t="shared" ref="B58:M58" si="37">SUM(B56:B57)</f>
        <v>0</v>
      </c>
      <c r="C58" s="322">
        <f t="shared" si="37"/>
        <v>0</v>
      </c>
      <c r="D58" s="322">
        <f t="shared" si="37"/>
        <v>0</v>
      </c>
      <c r="E58" s="322">
        <f t="shared" si="37"/>
        <v>0</v>
      </c>
      <c r="F58" s="322">
        <f t="shared" si="37"/>
        <v>0</v>
      </c>
      <c r="G58" s="322">
        <f t="shared" si="37"/>
        <v>0</v>
      </c>
      <c r="H58" s="322">
        <f t="shared" si="37"/>
        <v>0</v>
      </c>
      <c r="I58" s="322">
        <f t="shared" si="37"/>
        <v>0</v>
      </c>
      <c r="J58" s="322">
        <f t="shared" si="37"/>
        <v>0</v>
      </c>
      <c r="K58" s="322">
        <f t="shared" si="37"/>
        <v>0</v>
      </c>
      <c r="L58" s="799">
        <f t="shared" si="37"/>
        <v>0</v>
      </c>
      <c r="M58" s="799">
        <f t="shared" si="37"/>
        <v>0</v>
      </c>
      <c r="N58" s="799">
        <f t="shared" ref="N58:S58" si="38">SUM(N56:N57)</f>
        <v>0</v>
      </c>
      <c r="O58" s="799">
        <f t="shared" si="38"/>
        <v>0</v>
      </c>
      <c r="P58" s="799">
        <f t="shared" si="38"/>
        <v>0</v>
      </c>
      <c r="Q58" s="800">
        <f t="shared" si="38"/>
        <v>0</v>
      </c>
      <c r="R58" s="800">
        <f t="shared" si="38"/>
        <v>0</v>
      </c>
      <c r="S58" s="801">
        <f t="shared" si="38"/>
        <v>0</v>
      </c>
      <c r="T58" s="802">
        <f t="shared" si="31"/>
        <v>0</v>
      </c>
      <c r="U58" s="324">
        <f>SUM(U56:U57)</f>
        <v>0</v>
      </c>
      <c r="V58" s="325">
        <f>SUM(V56:V57)</f>
        <v>0</v>
      </c>
      <c r="W58" s="325">
        <f>SUM(W56:W57)</f>
        <v>0</v>
      </c>
      <c r="X58" s="325">
        <f>SUM(X56:X57)</f>
        <v>0</v>
      </c>
      <c r="Y58" s="325">
        <f>SUM(Y56:Y57)</f>
        <v>0</v>
      </c>
      <c r="Z58" s="211">
        <f t="shared" si="32"/>
        <v>0</v>
      </c>
      <c r="AA58" s="840">
        <f>AA56+AA57</f>
        <v>1370000</v>
      </c>
      <c r="AB58" s="825">
        <f>AB56+AB57</f>
        <v>0</v>
      </c>
      <c r="AC58" s="804">
        <f t="shared" ref="AC58:AI58" si="39">SUM(AC56:AC57)</f>
        <v>0</v>
      </c>
      <c r="AD58" s="804">
        <f t="shared" si="39"/>
        <v>0</v>
      </c>
      <c r="AE58" s="804">
        <f t="shared" si="39"/>
        <v>0</v>
      </c>
      <c r="AF58" s="804">
        <f t="shared" si="39"/>
        <v>0</v>
      </c>
      <c r="AG58" s="804">
        <f t="shared" si="39"/>
        <v>0</v>
      </c>
      <c r="AH58" s="804">
        <f t="shared" si="39"/>
        <v>0</v>
      </c>
      <c r="AI58" s="1029">
        <f t="shared" si="39"/>
        <v>0</v>
      </c>
      <c r="AJ58" s="218">
        <f t="shared" si="33"/>
        <v>0</v>
      </c>
      <c r="AK58" s="826">
        <f>AK56+AK57</f>
        <v>0</v>
      </c>
      <c r="AL58" s="826">
        <f>AL56+AL57</f>
        <v>0</v>
      </c>
      <c r="AM58" s="220">
        <f t="shared" si="2"/>
        <v>1370000</v>
      </c>
      <c r="AN58" s="206">
        <v>869488</v>
      </c>
      <c r="AQ58" s="1053"/>
      <c r="AR58" s="468"/>
    </row>
    <row r="59" spans="1:44" ht="45">
      <c r="A59" s="221" t="s">
        <v>531</v>
      </c>
      <c r="B59" s="748"/>
      <c r="C59" s="223"/>
      <c r="D59" s="223"/>
      <c r="E59" s="223"/>
      <c r="F59" s="223"/>
      <c r="G59" s="223"/>
      <c r="H59" s="223"/>
      <c r="I59" s="223"/>
      <c r="J59" s="223"/>
      <c r="K59" s="223"/>
      <c r="L59" s="797"/>
      <c r="M59" s="797"/>
      <c r="N59" s="797"/>
      <c r="O59" s="797"/>
      <c r="P59" s="797"/>
      <c r="Q59" s="750"/>
      <c r="R59" s="750"/>
      <c r="S59" s="751"/>
      <c r="T59" s="744">
        <f t="shared" si="31"/>
        <v>0</v>
      </c>
      <c r="U59" s="225"/>
      <c r="V59" s="226">
        <f>50000*12</f>
        <v>600000</v>
      </c>
      <c r="W59" s="226">
        <f>50000*12</f>
        <v>600000</v>
      </c>
      <c r="X59" s="226"/>
      <c r="Y59" s="226"/>
      <c r="Z59" s="211">
        <f t="shared" si="32"/>
        <v>1200000</v>
      </c>
      <c r="AA59" s="833"/>
      <c r="AB59" s="834"/>
      <c r="AC59" s="752"/>
      <c r="AD59" s="230"/>
      <c r="AE59" s="230"/>
      <c r="AF59" s="230"/>
      <c r="AG59" s="230"/>
      <c r="AH59" s="230"/>
      <c r="AI59" s="1021"/>
      <c r="AJ59" s="218">
        <f t="shared" si="33"/>
        <v>0</v>
      </c>
      <c r="AK59" s="747"/>
      <c r="AL59" s="747"/>
      <c r="AM59" s="220">
        <f t="shared" si="2"/>
        <v>1200000</v>
      </c>
      <c r="AN59" s="206">
        <v>694097</v>
      </c>
      <c r="AQ59" s="1053"/>
      <c r="AR59" s="468"/>
    </row>
    <row r="60" spans="1:44">
      <c r="A60" s="221" t="s">
        <v>532</v>
      </c>
      <c r="B60" s="748"/>
      <c r="C60" s="223"/>
      <c r="D60" s="223"/>
      <c r="E60" s="223"/>
      <c r="F60" s="223"/>
      <c r="G60" s="223"/>
      <c r="H60" s="223"/>
      <c r="I60" s="223"/>
      <c r="J60" s="223"/>
      <c r="K60" s="223"/>
      <c r="L60" s="797"/>
      <c r="M60" s="797"/>
      <c r="N60" s="797"/>
      <c r="O60" s="797"/>
      <c r="P60" s="797"/>
      <c r="Q60" s="750"/>
      <c r="R60" s="750"/>
      <c r="S60" s="751"/>
      <c r="T60" s="744">
        <f t="shared" si="31"/>
        <v>0</v>
      </c>
      <c r="U60" s="225"/>
      <c r="V60" s="226"/>
      <c r="W60" s="226"/>
      <c r="X60" s="226"/>
      <c r="Y60" s="226"/>
      <c r="Z60" s="211">
        <f t="shared" si="32"/>
        <v>0</v>
      </c>
      <c r="AA60" s="833"/>
      <c r="AB60" s="834"/>
      <c r="AC60" s="752"/>
      <c r="AD60" s="230"/>
      <c r="AE60" s="230"/>
      <c r="AF60" s="230"/>
      <c r="AG60" s="230"/>
      <c r="AH60" s="230"/>
      <c r="AI60" s="1021"/>
      <c r="AJ60" s="218">
        <f t="shared" si="33"/>
        <v>0</v>
      </c>
      <c r="AK60" s="747"/>
      <c r="AL60" s="747"/>
      <c r="AM60" s="220">
        <f t="shared" si="2"/>
        <v>0</v>
      </c>
      <c r="AN60" s="206"/>
      <c r="AQ60" s="1053"/>
      <c r="AR60" s="468"/>
    </row>
    <row r="61" spans="1:44" ht="30">
      <c r="A61" s="320" t="s">
        <v>358</v>
      </c>
      <c r="B61" s="798">
        <f t="shared" ref="B61:M61" si="40">SUM(B59:B60)</f>
        <v>0</v>
      </c>
      <c r="C61" s="322">
        <f t="shared" si="40"/>
        <v>0</v>
      </c>
      <c r="D61" s="322">
        <f t="shared" si="40"/>
        <v>0</v>
      </c>
      <c r="E61" s="322">
        <f t="shared" si="40"/>
        <v>0</v>
      </c>
      <c r="F61" s="322">
        <f t="shared" si="40"/>
        <v>0</v>
      </c>
      <c r="G61" s="322">
        <f t="shared" si="40"/>
        <v>0</v>
      </c>
      <c r="H61" s="322">
        <f t="shared" si="40"/>
        <v>0</v>
      </c>
      <c r="I61" s="322">
        <f t="shared" si="40"/>
        <v>0</v>
      </c>
      <c r="J61" s="322">
        <f t="shared" si="40"/>
        <v>0</v>
      </c>
      <c r="K61" s="322">
        <f t="shared" si="40"/>
        <v>0</v>
      </c>
      <c r="L61" s="799">
        <f t="shared" si="40"/>
        <v>0</v>
      </c>
      <c r="M61" s="799">
        <f t="shared" si="40"/>
        <v>0</v>
      </c>
      <c r="N61" s="799">
        <f t="shared" ref="N61:S61" si="41">SUM(N59:N60)</f>
        <v>0</v>
      </c>
      <c r="O61" s="799">
        <f t="shared" si="41"/>
        <v>0</v>
      </c>
      <c r="P61" s="799">
        <f t="shared" si="41"/>
        <v>0</v>
      </c>
      <c r="Q61" s="800">
        <f t="shared" si="41"/>
        <v>0</v>
      </c>
      <c r="R61" s="800">
        <f t="shared" si="41"/>
        <v>0</v>
      </c>
      <c r="S61" s="801">
        <f t="shared" si="41"/>
        <v>0</v>
      </c>
      <c r="T61" s="802">
        <f t="shared" si="31"/>
        <v>0</v>
      </c>
      <c r="U61" s="324">
        <f t="shared" ref="U61:AI61" si="42">SUM(U59:U60)</f>
        <v>0</v>
      </c>
      <c r="V61" s="325">
        <f t="shared" si="42"/>
        <v>600000</v>
      </c>
      <c r="W61" s="325">
        <f>SUM(W59:W60)</f>
        <v>600000</v>
      </c>
      <c r="X61" s="325">
        <f t="shared" si="42"/>
        <v>0</v>
      </c>
      <c r="Y61" s="325">
        <f>SUM(Y59:Y60)</f>
        <v>0</v>
      </c>
      <c r="Z61" s="211">
        <f t="shared" si="32"/>
        <v>1200000</v>
      </c>
      <c r="AA61" s="835">
        <f t="shared" si="42"/>
        <v>0</v>
      </c>
      <c r="AB61" s="836">
        <f t="shared" si="42"/>
        <v>0</v>
      </c>
      <c r="AC61" s="804">
        <f t="shared" si="42"/>
        <v>0</v>
      </c>
      <c r="AD61" s="804">
        <f t="shared" si="42"/>
        <v>0</v>
      </c>
      <c r="AE61" s="804">
        <f>SUM(AE59:AE60)</f>
        <v>0</v>
      </c>
      <c r="AF61" s="804">
        <f t="shared" si="42"/>
        <v>0</v>
      </c>
      <c r="AG61" s="804">
        <f>SUM(AG59:AG60)</f>
        <v>0</v>
      </c>
      <c r="AH61" s="804">
        <f>SUM(AH59:AH60)</f>
        <v>0</v>
      </c>
      <c r="AI61" s="1029">
        <f t="shared" si="42"/>
        <v>0</v>
      </c>
      <c r="AJ61" s="218">
        <f t="shared" si="33"/>
        <v>0</v>
      </c>
      <c r="AK61" s="826">
        <f>SUM(AK59:AK60)</f>
        <v>0</v>
      </c>
      <c r="AL61" s="826">
        <f>SUM(AL59:AL60)</f>
        <v>0</v>
      </c>
      <c r="AM61" s="220">
        <f t="shared" si="2"/>
        <v>1200000</v>
      </c>
      <c r="AN61" s="206"/>
      <c r="AQ61" s="1053"/>
      <c r="AR61" s="468"/>
    </row>
    <row r="62" spans="1:44" ht="75.75" thickBot="1">
      <c r="A62" s="335" t="s">
        <v>564</v>
      </c>
      <c r="B62" s="805"/>
      <c r="C62" s="337"/>
      <c r="D62" s="337"/>
      <c r="E62" s="337"/>
      <c r="F62" s="337"/>
      <c r="G62" s="337"/>
      <c r="H62" s="337"/>
      <c r="I62" s="337"/>
      <c r="J62" s="337"/>
      <c r="K62" s="337"/>
      <c r="L62" s="806"/>
      <c r="M62" s="806"/>
      <c r="N62" s="806"/>
      <c r="O62" s="806"/>
      <c r="P62" s="806"/>
      <c r="Q62" s="807"/>
      <c r="R62" s="807"/>
      <c r="S62" s="808"/>
      <c r="T62" s="757">
        <f t="shared" si="31"/>
        <v>0</v>
      </c>
      <c r="U62" s="236"/>
      <c r="V62" s="237"/>
      <c r="W62" s="237"/>
      <c r="X62" s="237"/>
      <c r="Y62" s="237"/>
      <c r="Z62" s="307">
        <f t="shared" si="32"/>
        <v>0</v>
      </c>
      <c r="AA62" s="841">
        <v>500000</v>
      </c>
      <c r="AB62" s="842"/>
      <c r="AC62" s="759"/>
      <c r="AD62" s="244"/>
      <c r="AE62" s="244"/>
      <c r="AF62" s="244"/>
      <c r="AG62" s="244"/>
      <c r="AH62" s="244"/>
      <c r="AI62" s="1022">
        <v>200000</v>
      </c>
      <c r="AJ62" s="309">
        <f t="shared" si="33"/>
        <v>200000</v>
      </c>
      <c r="AK62" s="829"/>
      <c r="AL62" s="829"/>
      <c r="AM62" s="249">
        <f t="shared" si="2"/>
        <v>700000</v>
      </c>
      <c r="AN62" s="206">
        <v>1053800</v>
      </c>
      <c r="AQ62" s="1053"/>
      <c r="AR62" s="468"/>
    </row>
    <row r="63" spans="1:44" ht="16.5" thickBot="1">
      <c r="A63" s="406" t="s">
        <v>359</v>
      </c>
      <c r="B63" s="843">
        <f t="shared" ref="B63:AI63" si="43">B52+B53+B54+B55+B58+B61+B62</f>
        <v>0</v>
      </c>
      <c r="C63" s="408">
        <f t="shared" si="43"/>
        <v>0</v>
      </c>
      <c r="D63" s="408">
        <f t="shared" si="43"/>
        <v>0</v>
      </c>
      <c r="E63" s="408">
        <f t="shared" si="43"/>
        <v>0</v>
      </c>
      <c r="F63" s="408">
        <f t="shared" si="43"/>
        <v>0</v>
      </c>
      <c r="G63" s="408">
        <f t="shared" si="43"/>
        <v>0</v>
      </c>
      <c r="H63" s="408">
        <f t="shared" si="43"/>
        <v>0</v>
      </c>
      <c r="I63" s="408">
        <f t="shared" si="43"/>
        <v>0</v>
      </c>
      <c r="J63" s="408">
        <f t="shared" si="43"/>
        <v>0</v>
      </c>
      <c r="K63" s="408">
        <f t="shared" si="43"/>
        <v>0</v>
      </c>
      <c r="L63" s="844">
        <f t="shared" si="43"/>
        <v>0</v>
      </c>
      <c r="M63" s="844">
        <f t="shared" si="43"/>
        <v>0</v>
      </c>
      <c r="N63" s="844">
        <f t="shared" si="43"/>
        <v>0</v>
      </c>
      <c r="O63" s="844">
        <f t="shared" si="43"/>
        <v>0</v>
      </c>
      <c r="P63" s="844">
        <f t="shared" si="43"/>
        <v>0</v>
      </c>
      <c r="Q63" s="845">
        <f t="shared" si="43"/>
        <v>0</v>
      </c>
      <c r="R63" s="845">
        <f t="shared" si="43"/>
        <v>0</v>
      </c>
      <c r="S63" s="846">
        <f t="shared" si="43"/>
        <v>0</v>
      </c>
      <c r="T63" s="847">
        <f t="shared" si="43"/>
        <v>0</v>
      </c>
      <c r="U63" s="410">
        <f t="shared" si="43"/>
        <v>0</v>
      </c>
      <c r="V63" s="411">
        <f t="shared" si="43"/>
        <v>600000</v>
      </c>
      <c r="W63" s="411">
        <f>W52+W53+W54+W55+W58+W61+W62</f>
        <v>600000</v>
      </c>
      <c r="X63" s="411">
        <f t="shared" si="43"/>
        <v>0</v>
      </c>
      <c r="Y63" s="411">
        <f>Y52+Y53+Y54+Y55+Y58+Y61+Y62</f>
        <v>0</v>
      </c>
      <c r="Z63" s="412">
        <f t="shared" si="43"/>
        <v>1200000</v>
      </c>
      <c r="AA63" s="848">
        <f t="shared" si="43"/>
        <v>3940000</v>
      </c>
      <c r="AB63" s="849">
        <f t="shared" si="43"/>
        <v>0</v>
      </c>
      <c r="AC63" s="850">
        <f t="shared" si="43"/>
        <v>0</v>
      </c>
      <c r="AD63" s="850">
        <f t="shared" si="43"/>
        <v>0</v>
      </c>
      <c r="AE63" s="850">
        <f>AE52+AE53+AE54+AE55+AE58+AE61+AE62</f>
        <v>0</v>
      </c>
      <c r="AF63" s="850">
        <f t="shared" si="43"/>
        <v>0</v>
      </c>
      <c r="AG63" s="850">
        <f>AG52+AG53+AG54+AG55+AG58+AG61+AG62</f>
        <v>0</v>
      </c>
      <c r="AH63" s="850">
        <f>AH52+AH53+AH54+AH55+AH58+AH61+AH62</f>
        <v>0</v>
      </c>
      <c r="AI63" s="1031">
        <f t="shared" si="43"/>
        <v>875000</v>
      </c>
      <c r="AJ63" s="419">
        <f>AJ52+AJ53+AJ54+AJ55+AJ58+AJ61+AJ62</f>
        <v>875000</v>
      </c>
      <c r="AK63" s="851">
        <f>AK52+AK53+AK54+AK55+AK58+AK61+AK62</f>
        <v>0</v>
      </c>
      <c r="AL63" s="851">
        <f>AL52+AL53+AL54+AL55+AL58+AL61+AL62</f>
        <v>0</v>
      </c>
      <c r="AM63" s="205">
        <f t="shared" si="2"/>
        <v>6015000</v>
      </c>
      <c r="AN63" s="206"/>
      <c r="AQ63" s="1053"/>
      <c r="AR63" s="468"/>
    </row>
    <row r="64" spans="1:44" ht="30">
      <c r="A64" s="363" t="s">
        <v>360</v>
      </c>
      <c r="B64" s="735"/>
      <c r="C64" s="190"/>
      <c r="D64" s="190"/>
      <c r="E64" s="190"/>
      <c r="F64" s="190"/>
      <c r="G64" s="190"/>
      <c r="H64" s="190"/>
      <c r="I64" s="190"/>
      <c r="J64" s="190"/>
      <c r="K64" s="190"/>
      <c r="L64" s="821"/>
      <c r="M64" s="821"/>
      <c r="N64" s="821"/>
      <c r="O64" s="821"/>
      <c r="P64" s="821"/>
      <c r="Q64" s="737"/>
      <c r="R64" s="737"/>
      <c r="S64" s="738">
        <v>50000</v>
      </c>
      <c r="T64" s="822">
        <f>SUM(B64:S64)</f>
        <v>50000</v>
      </c>
      <c r="U64" s="209"/>
      <c r="V64" s="210"/>
      <c r="W64" s="210"/>
      <c r="X64" s="210"/>
      <c r="Y64" s="210"/>
      <c r="Z64" s="364">
        <f>SUM(U64:X64)</f>
        <v>0</v>
      </c>
      <c r="AA64" s="203"/>
      <c r="AB64" s="823"/>
      <c r="AC64" s="746"/>
      <c r="AD64" s="217"/>
      <c r="AE64" s="217"/>
      <c r="AF64" s="217"/>
      <c r="AG64" s="217"/>
      <c r="AH64" s="217"/>
      <c r="AI64" s="1020">
        <v>20000</v>
      </c>
      <c r="AJ64" s="367">
        <f>SUM(AC64:AI64)</f>
        <v>20000</v>
      </c>
      <c r="AK64" s="743"/>
      <c r="AL64" s="743"/>
      <c r="AM64" s="205">
        <f>T64+Z64+AB64+AK64+AL64+AJ64+AA64</f>
        <v>70000</v>
      </c>
      <c r="AN64" s="206"/>
      <c r="AQ64" s="1053"/>
      <c r="AR64" s="468"/>
    </row>
    <row r="65" spans="1:44">
      <c r="A65" s="221" t="s">
        <v>361</v>
      </c>
      <c r="B65" s="748"/>
      <c r="C65" s="223"/>
      <c r="D65" s="223"/>
      <c r="E65" s="223"/>
      <c r="F65" s="223"/>
      <c r="G65" s="223"/>
      <c r="H65" s="223"/>
      <c r="I65" s="223"/>
      <c r="J65" s="223"/>
      <c r="K65" s="223"/>
      <c r="L65" s="797"/>
      <c r="M65" s="797"/>
      <c r="N65" s="797"/>
      <c r="O65" s="797"/>
      <c r="P65" s="797"/>
      <c r="Q65" s="750"/>
      <c r="R65" s="750"/>
      <c r="S65" s="751"/>
      <c r="T65" s="822">
        <f>SUM(B65:S65)</f>
        <v>0</v>
      </c>
      <c r="U65" s="225"/>
      <c r="V65" s="226"/>
      <c r="W65" s="226"/>
      <c r="X65" s="226"/>
      <c r="Y65" s="226"/>
      <c r="Z65" s="364">
        <f>SUM(U65:X65)</f>
        <v>0</v>
      </c>
      <c r="AA65" s="231"/>
      <c r="AB65" s="745"/>
      <c r="AC65" s="752"/>
      <c r="AD65" s="230"/>
      <c r="AE65" s="230"/>
      <c r="AF65" s="230"/>
      <c r="AG65" s="230"/>
      <c r="AH65" s="230"/>
      <c r="AI65" s="1021"/>
      <c r="AJ65" s="367">
        <f>SUM(AC65:AI65)</f>
        <v>0</v>
      </c>
      <c r="AK65" s="747"/>
      <c r="AL65" s="747"/>
      <c r="AM65" s="220">
        <f t="shared" si="2"/>
        <v>0</v>
      </c>
      <c r="AN65" s="206"/>
      <c r="AQ65" s="1053"/>
      <c r="AR65" s="468"/>
    </row>
    <row r="66" spans="1:44">
      <c r="A66" s="320" t="s">
        <v>362</v>
      </c>
      <c r="B66" s="798">
        <f t="shared" ref="B66:M66" si="44">SUM(B64:B65)</f>
        <v>0</v>
      </c>
      <c r="C66" s="322">
        <f t="shared" si="44"/>
        <v>0</v>
      </c>
      <c r="D66" s="322">
        <f t="shared" si="44"/>
        <v>0</v>
      </c>
      <c r="E66" s="322">
        <f t="shared" si="44"/>
        <v>0</v>
      </c>
      <c r="F66" s="322">
        <f t="shared" si="44"/>
        <v>0</v>
      </c>
      <c r="G66" s="322">
        <f t="shared" si="44"/>
        <v>0</v>
      </c>
      <c r="H66" s="322">
        <f t="shared" si="44"/>
        <v>0</v>
      </c>
      <c r="I66" s="322">
        <f t="shared" si="44"/>
        <v>0</v>
      </c>
      <c r="J66" s="322">
        <f t="shared" si="44"/>
        <v>0</v>
      </c>
      <c r="K66" s="322">
        <f t="shared" si="44"/>
        <v>0</v>
      </c>
      <c r="L66" s="799">
        <f t="shared" si="44"/>
        <v>0</v>
      </c>
      <c r="M66" s="799">
        <f t="shared" si="44"/>
        <v>0</v>
      </c>
      <c r="N66" s="799">
        <f t="shared" ref="N66:S66" si="45">SUM(N64:N65)</f>
        <v>0</v>
      </c>
      <c r="O66" s="799">
        <f t="shared" si="45"/>
        <v>0</v>
      </c>
      <c r="P66" s="799">
        <f t="shared" si="45"/>
        <v>0</v>
      </c>
      <c r="Q66" s="800">
        <f t="shared" si="45"/>
        <v>0</v>
      </c>
      <c r="R66" s="800">
        <f t="shared" si="45"/>
        <v>0</v>
      </c>
      <c r="S66" s="801">
        <f t="shared" si="45"/>
        <v>50000</v>
      </c>
      <c r="T66" s="824">
        <f>SUM(B66:S66)</f>
        <v>50000</v>
      </c>
      <c r="U66" s="324">
        <f t="shared" ref="U66:AI66" si="46">SUM(U64:U65)</f>
        <v>0</v>
      </c>
      <c r="V66" s="325">
        <f t="shared" si="46"/>
        <v>0</v>
      </c>
      <c r="W66" s="325">
        <f>SUM(W64:W65)</f>
        <v>0</v>
      </c>
      <c r="X66" s="325">
        <f t="shared" si="46"/>
        <v>0</v>
      </c>
      <c r="Y66" s="325">
        <f>SUM(Y64:Y65)</f>
        <v>0</v>
      </c>
      <c r="Z66" s="490">
        <f>SUM(U66:X66)</f>
        <v>0</v>
      </c>
      <c r="AA66" s="332">
        <f t="shared" si="46"/>
        <v>0</v>
      </c>
      <c r="AB66" s="803">
        <f t="shared" si="46"/>
        <v>0</v>
      </c>
      <c r="AC66" s="804">
        <f t="shared" si="46"/>
        <v>0</v>
      </c>
      <c r="AD66" s="804">
        <f t="shared" si="46"/>
        <v>0</v>
      </c>
      <c r="AE66" s="804">
        <f>SUM(AE64:AE65)</f>
        <v>0</v>
      </c>
      <c r="AF66" s="804">
        <f t="shared" si="46"/>
        <v>0</v>
      </c>
      <c r="AG66" s="804">
        <f>SUM(AG64:AG65)</f>
        <v>0</v>
      </c>
      <c r="AH66" s="804">
        <f>SUM(AH64:AH65)</f>
        <v>0</v>
      </c>
      <c r="AI66" s="1029">
        <f t="shared" si="46"/>
        <v>20000</v>
      </c>
      <c r="AJ66" s="367">
        <f>SUM(AC66:AI66)</f>
        <v>20000</v>
      </c>
      <c r="AK66" s="394">
        <f>SUM(AK64:AK65)</f>
        <v>0</v>
      </c>
      <c r="AL66" s="394">
        <f>SUM(AL64:AL65)</f>
        <v>0</v>
      </c>
      <c r="AM66" s="220">
        <f t="shared" si="2"/>
        <v>70000</v>
      </c>
      <c r="AN66" s="206">
        <v>23223</v>
      </c>
      <c r="AQ66" s="1053"/>
      <c r="AR66" s="468"/>
    </row>
    <row r="67" spans="1:44" ht="16.5" thickBot="1">
      <c r="A67" s="335" t="s">
        <v>363</v>
      </c>
      <c r="B67" s="805"/>
      <c r="C67" s="337"/>
      <c r="D67" s="337"/>
      <c r="E67" s="337"/>
      <c r="F67" s="337"/>
      <c r="G67" s="337"/>
      <c r="H67" s="337"/>
      <c r="I67" s="337"/>
      <c r="J67" s="337"/>
      <c r="K67" s="337"/>
      <c r="L67" s="806"/>
      <c r="M67" s="806"/>
      <c r="N67" s="806"/>
      <c r="O67" s="806"/>
      <c r="P67" s="806"/>
      <c r="Q67" s="807"/>
      <c r="R67" s="807"/>
      <c r="S67" s="808"/>
      <c r="T67" s="822">
        <f>SUM(B67:S67)</f>
        <v>0</v>
      </c>
      <c r="U67" s="236"/>
      <c r="V67" s="237"/>
      <c r="W67" s="237"/>
      <c r="X67" s="237"/>
      <c r="Y67" s="237"/>
      <c r="Z67" s="364">
        <f>SUM(U67:X67)</f>
        <v>0</v>
      </c>
      <c r="AA67" s="386"/>
      <c r="AB67" s="827"/>
      <c r="AC67" s="759"/>
      <c r="AD67" s="244"/>
      <c r="AE67" s="244"/>
      <c r="AF67" s="244"/>
      <c r="AG67" s="244"/>
      <c r="AH67" s="244"/>
      <c r="AI67" s="1022"/>
      <c r="AJ67" s="367">
        <f>SUM(AC67:AI67)</f>
        <v>0</v>
      </c>
      <c r="AK67" s="829"/>
      <c r="AL67" s="829"/>
      <c r="AM67" s="249">
        <f t="shared" si="2"/>
        <v>0</v>
      </c>
      <c r="AN67" s="206"/>
      <c r="AQ67" s="1053"/>
      <c r="AR67" s="468"/>
    </row>
    <row r="68" spans="1:44" ht="30.75" thickBot="1">
      <c r="A68" s="350" t="s">
        <v>364</v>
      </c>
      <c r="B68" s="813">
        <f t="shared" ref="B68:AI68" si="47">B66+B67</f>
        <v>0</v>
      </c>
      <c r="C68" s="352">
        <f t="shared" si="47"/>
        <v>0</v>
      </c>
      <c r="D68" s="352">
        <f t="shared" si="47"/>
        <v>0</v>
      </c>
      <c r="E68" s="352">
        <f t="shared" si="47"/>
        <v>0</v>
      </c>
      <c r="F68" s="352">
        <f t="shared" si="47"/>
        <v>0</v>
      </c>
      <c r="G68" s="352">
        <f t="shared" si="47"/>
        <v>0</v>
      </c>
      <c r="H68" s="352">
        <f t="shared" si="47"/>
        <v>0</v>
      </c>
      <c r="I68" s="352">
        <f t="shared" si="47"/>
        <v>0</v>
      </c>
      <c r="J68" s="352">
        <f t="shared" si="47"/>
        <v>0</v>
      </c>
      <c r="K68" s="352">
        <f t="shared" si="47"/>
        <v>0</v>
      </c>
      <c r="L68" s="814">
        <f t="shared" si="47"/>
        <v>0</v>
      </c>
      <c r="M68" s="814">
        <f t="shared" si="47"/>
        <v>0</v>
      </c>
      <c r="N68" s="814">
        <f t="shared" si="47"/>
        <v>0</v>
      </c>
      <c r="O68" s="814">
        <f t="shared" si="47"/>
        <v>0</v>
      </c>
      <c r="P68" s="814">
        <f t="shared" si="47"/>
        <v>0</v>
      </c>
      <c r="Q68" s="815">
        <f t="shared" si="47"/>
        <v>0</v>
      </c>
      <c r="R68" s="815">
        <f t="shared" si="47"/>
        <v>0</v>
      </c>
      <c r="S68" s="816">
        <f t="shared" si="47"/>
        <v>50000</v>
      </c>
      <c r="T68" s="817">
        <f t="shared" si="47"/>
        <v>50000</v>
      </c>
      <c r="U68" s="424">
        <f t="shared" si="47"/>
        <v>0</v>
      </c>
      <c r="V68" s="354">
        <f t="shared" si="47"/>
        <v>0</v>
      </c>
      <c r="W68" s="354">
        <f>W66+W67</f>
        <v>0</v>
      </c>
      <c r="X68" s="354">
        <f t="shared" si="47"/>
        <v>0</v>
      </c>
      <c r="Y68" s="354">
        <f>Y66+Y67</f>
        <v>0</v>
      </c>
      <c r="Z68" s="256">
        <f t="shared" si="47"/>
        <v>0</v>
      </c>
      <c r="AA68" s="360">
        <f t="shared" si="47"/>
        <v>0</v>
      </c>
      <c r="AB68" s="818">
        <f t="shared" si="47"/>
        <v>0</v>
      </c>
      <c r="AC68" s="819">
        <f t="shared" si="47"/>
        <v>0</v>
      </c>
      <c r="AD68" s="819">
        <f t="shared" si="47"/>
        <v>0</v>
      </c>
      <c r="AE68" s="819">
        <f>AE66+AE67</f>
        <v>0</v>
      </c>
      <c r="AF68" s="819">
        <f t="shared" si="47"/>
        <v>0</v>
      </c>
      <c r="AG68" s="819">
        <f>AG66+AG67</f>
        <v>0</v>
      </c>
      <c r="AH68" s="819">
        <f>AH66+AH67</f>
        <v>0</v>
      </c>
      <c r="AI68" s="1028">
        <f t="shared" si="47"/>
        <v>20000</v>
      </c>
      <c r="AJ68" s="263">
        <f>AJ66+AJ67</f>
        <v>20000</v>
      </c>
      <c r="AK68" s="820">
        <f>AK66+AK67</f>
        <v>0</v>
      </c>
      <c r="AL68" s="820">
        <f>AL66+AL67</f>
        <v>0</v>
      </c>
      <c r="AM68" s="205">
        <f t="shared" si="2"/>
        <v>70000</v>
      </c>
      <c r="AN68" s="206"/>
      <c r="AQ68" s="1053"/>
      <c r="AR68" s="468"/>
    </row>
    <row r="69" spans="1:44">
      <c r="A69" s="425" t="s">
        <v>365</v>
      </c>
      <c r="B69" s="852">
        <v>2700</v>
      </c>
      <c r="C69" s="427">
        <v>2700</v>
      </c>
      <c r="D69" s="427">
        <v>2700</v>
      </c>
      <c r="E69" s="427">
        <v>2700</v>
      </c>
      <c r="F69" s="427">
        <v>2700</v>
      </c>
      <c r="G69" s="427">
        <v>2700</v>
      </c>
      <c r="H69" s="427">
        <v>2700</v>
      </c>
      <c r="I69" s="427">
        <v>2700</v>
      </c>
      <c r="J69" s="427">
        <v>2700</v>
      </c>
      <c r="K69" s="427">
        <v>2700</v>
      </c>
      <c r="L69" s="853">
        <v>2700</v>
      </c>
      <c r="M69" s="853">
        <v>2700</v>
      </c>
      <c r="N69" s="853">
        <v>2700</v>
      </c>
      <c r="O69" s="853">
        <v>2700</v>
      </c>
      <c r="P69" s="853">
        <v>2700</v>
      </c>
      <c r="Q69" s="854">
        <v>2700</v>
      </c>
      <c r="R69" s="854">
        <v>1900</v>
      </c>
      <c r="S69" s="855">
        <f>S40*27%</f>
        <v>177660</v>
      </c>
      <c r="T69" s="856">
        <f>SUM(B69:S69)</f>
        <v>222760</v>
      </c>
      <c r="U69" s="430"/>
      <c r="V69" s="431"/>
      <c r="W69" s="431"/>
      <c r="X69" s="431"/>
      <c r="Y69" s="431"/>
      <c r="Z69" s="364">
        <f>SUM(U69:X69)</f>
        <v>0</v>
      </c>
      <c r="AA69" s="438">
        <f>(AA40+AA47+AA63)*27%</f>
        <v>1306800</v>
      </c>
      <c r="AB69" s="857"/>
      <c r="AC69" s="858">
        <v>2700</v>
      </c>
      <c r="AD69" s="436">
        <v>2700</v>
      </c>
      <c r="AE69" s="436">
        <v>2700</v>
      </c>
      <c r="AF69" s="436">
        <v>2700</v>
      </c>
      <c r="AG69" s="436"/>
      <c r="AH69" s="436">
        <v>2700</v>
      </c>
      <c r="AI69" s="1032">
        <f>(AI40+AI47+AI63)*27%</f>
        <v>422010</v>
      </c>
      <c r="AJ69" s="367">
        <f>SUM(AC69:AI69)</f>
        <v>435510</v>
      </c>
      <c r="AK69" s="859"/>
      <c r="AL69" s="859"/>
      <c r="AM69" s="205">
        <f t="shared" ref="AM69:AM132" si="48">T69+Z69+AB69+AK69+AL69+AJ69+AA69</f>
        <v>1965070</v>
      </c>
      <c r="AN69" s="206">
        <v>1569613</v>
      </c>
      <c r="AQ69" s="1053"/>
      <c r="AR69" s="468"/>
    </row>
    <row r="70" spans="1:44">
      <c r="A70" s="320" t="s">
        <v>366</v>
      </c>
      <c r="B70" s="798"/>
      <c r="C70" s="322"/>
      <c r="D70" s="322"/>
      <c r="E70" s="322"/>
      <c r="F70" s="322"/>
      <c r="G70" s="322"/>
      <c r="H70" s="322"/>
      <c r="I70" s="322"/>
      <c r="J70" s="322"/>
      <c r="K70" s="322"/>
      <c r="L70" s="799"/>
      <c r="M70" s="799"/>
      <c r="N70" s="799"/>
      <c r="O70" s="799"/>
      <c r="P70" s="799"/>
      <c r="Q70" s="800"/>
      <c r="R70" s="800"/>
      <c r="S70" s="801"/>
      <c r="T70" s="856">
        <f t="shared" ref="T70:T78" si="49">SUM(B70:S70)</f>
        <v>0</v>
      </c>
      <c r="U70" s="442"/>
      <c r="V70" s="443"/>
      <c r="W70" s="443"/>
      <c r="X70" s="443"/>
      <c r="Y70" s="443"/>
      <c r="Z70" s="364">
        <f t="shared" ref="Z70:Z78" si="50">SUM(U70:X70)</f>
        <v>0</v>
      </c>
      <c r="AA70" s="400"/>
      <c r="AB70" s="860"/>
      <c r="AC70" s="861"/>
      <c r="AD70" s="448"/>
      <c r="AE70" s="448"/>
      <c r="AF70" s="448"/>
      <c r="AG70" s="448"/>
      <c r="AH70" s="448"/>
      <c r="AI70" s="1033"/>
      <c r="AJ70" s="367">
        <f t="shared" ref="AJ70:AJ78" si="51">SUM(AC70:AI70)</f>
        <v>0</v>
      </c>
      <c r="AK70" s="839"/>
      <c r="AL70" s="839"/>
      <c r="AM70" s="220">
        <f t="shared" si="48"/>
        <v>0</v>
      </c>
      <c r="AN70" s="206"/>
      <c r="AQ70" s="1053"/>
      <c r="AR70" s="468"/>
    </row>
    <row r="71" spans="1:44">
      <c r="A71" s="221" t="s">
        <v>367</v>
      </c>
      <c r="B71" s="748"/>
      <c r="C71" s="223"/>
      <c r="D71" s="223"/>
      <c r="E71" s="223"/>
      <c r="F71" s="223"/>
      <c r="G71" s="223"/>
      <c r="H71" s="223"/>
      <c r="I71" s="223"/>
      <c r="J71" s="223"/>
      <c r="K71" s="223"/>
      <c r="L71" s="797"/>
      <c r="M71" s="797"/>
      <c r="N71" s="797"/>
      <c r="O71" s="797"/>
      <c r="P71" s="797"/>
      <c r="Q71" s="750"/>
      <c r="R71" s="750"/>
      <c r="S71" s="751"/>
      <c r="T71" s="856">
        <f t="shared" si="49"/>
        <v>0</v>
      </c>
      <c r="U71" s="225"/>
      <c r="V71" s="226"/>
      <c r="W71" s="226"/>
      <c r="X71" s="226"/>
      <c r="Y71" s="226"/>
      <c r="Z71" s="364">
        <f t="shared" si="50"/>
        <v>0</v>
      </c>
      <c r="AA71" s="231"/>
      <c r="AB71" s="745"/>
      <c r="AC71" s="752"/>
      <c r="AD71" s="230"/>
      <c r="AE71" s="230"/>
      <c r="AF71" s="230"/>
      <c r="AG71" s="230"/>
      <c r="AH71" s="230"/>
      <c r="AI71" s="1021"/>
      <c r="AJ71" s="367">
        <f t="shared" si="51"/>
        <v>0</v>
      </c>
      <c r="AK71" s="747"/>
      <c r="AL71" s="747"/>
      <c r="AM71" s="220">
        <f t="shared" si="48"/>
        <v>0</v>
      </c>
      <c r="AN71" s="206"/>
      <c r="AQ71" s="1053"/>
      <c r="AR71" s="468"/>
    </row>
    <row r="72" spans="1:44">
      <c r="A72" s="320" t="s">
        <v>368</v>
      </c>
      <c r="B72" s="798">
        <f t="shared" ref="B72:S72" si="52">B71</f>
        <v>0</v>
      </c>
      <c r="C72" s="322">
        <f t="shared" si="52"/>
        <v>0</v>
      </c>
      <c r="D72" s="322">
        <f t="shared" si="52"/>
        <v>0</v>
      </c>
      <c r="E72" s="322">
        <f t="shared" si="52"/>
        <v>0</v>
      </c>
      <c r="F72" s="322">
        <f t="shared" si="52"/>
        <v>0</v>
      </c>
      <c r="G72" s="322">
        <f t="shared" si="52"/>
        <v>0</v>
      </c>
      <c r="H72" s="322">
        <f t="shared" si="52"/>
        <v>0</v>
      </c>
      <c r="I72" s="322">
        <f t="shared" si="52"/>
        <v>0</v>
      </c>
      <c r="J72" s="322">
        <f t="shared" si="52"/>
        <v>0</v>
      </c>
      <c r="K72" s="322">
        <f t="shared" si="52"/>
        <v>0</v>
      </c>
      <c r="L72" s="799">
        <f t="shared" si="52"/>
        <v>0</v>
      </c>
      <c r="M72" s="799">
        <f t="shared" si="52"/>
        <v>0</v>
      </c>
      <c r="N72" s="799">
        <f t="shared" si="52"/>
        <v>0</v>
      </c>
      <c r="O72" s="799">
        <f t="shared" si="52"/>
        <v>0</v>
      </c>
      <c r="P72" s="799">
        <f t="shared" si="52"/>
        <v>0</v>
      </c>
      <c r="Q72" s="800">
        <f t="shared" si="52"/>
        <v>0</v>
      </c>
      <c r="R72" s="800">
        <f t="shared" si="52"/>
        <v>0</v>
      </c>
      <c r="S72" s="801">
        <f t="shared" si="52"/>
        <v>0</v>
      </c>
      <c r="T72" s="862">
        <f t="shared" si="49"/>
        <v>0</v>
      </c>
      <c r="U72" s="324">
        <f>U71</f>
        <v>0</v>
      </c>
      <c r="V72" s="325">
        <f>V71</f>
        <v>0</v>
      </c>
      <c r="W72" s="325">
        <f>W71</f>
        <v>0</v>
      </c>
      <c r="X72" s="325">
        <f>X71</f>
        <v>0</v>
      </c>
      <c r="Y72" s="325">
        <f>Y71</f>
        <v>0</v>
      </c>
      <c r="Z72" s="490">
        <f t="shared" si="50"/>
        <v>0</v>
      </c>
      <c r="AA72" s="372">
        <f t="shared" ref="AA72:AI72" si="53">AA71</f>
        <v>0</v>
      </c>
      <c r="AB72" s="825">
        <f t="shared" si="53"/>
        <v>0</v>
      </c>
      <c r="AC72" s="804">
        <f t="shared" si="53"/>
        <v>0</v>
      </c>
      <c r="AD72" s="804">
        <f t="shared" si="53"/>
        <v>0</v>
      </c>
      <c r="AE72" s="804">
        <f>AE71</f>
        <v>0</v>
      </c>
      <c r="AF72" s="804">
        <f t="shared" si="53"/>
        <v>0</v>
      </c>
      <c r="AG72" s="804">
        <f>AG71</f>
        <v>0</v>
      </c>
      <c r="AH72" s="804">
        <f>AH71</f>
        <v>0</v>
      </c>
      <c r="AI72" s="1029">
        <f t="shared" si="53"/>
        <v>0</v>
      </c>
      <c r="AJ72" s="497">
        <f t="shared" si="51"/>
        <v>0</v>
      </c>
      <c r="AK72" s="826">
        <f>AK71</f>
        <v>0</v>
      </c>
      <c r="AL72" s="826">
        <f>AL71</f>
        <v>0</v>
      </c>
      <c r="AM72" s="220">
        <f t="shared" si="48"/>
        <v>0</v>
      </c>
      <c r="AN72" s="206"/>
      <c r="AQ72" s="1053"/>
      <c r="AR72" s="468"/>
    </row>
    <row r="73" spans="1:44">
      <c r="A73" s="221" t="s">
        <v>369</v>
      </c>
      <c r="B73" s="748"/>
      <c r="C73" s="223"/>
      <c r="D73" s="223"/>
      <c r="E73" s="223"/>
      <c r="F73" s="223"/>
      <c r="G73" s="223"/>
      <c r="H73" s="223"/>
      <c r="I73" s="223"/>
      <c r="J73" s="223"/>
      <c r="K73" s="223"/>
      <c r="L73" s="797"/>
      <c r="M73" s="797"/>
      <c r="N73" s="797"/>
      <c r="O73" s="797"/>
      <c r="P73" s="797"/>
      <c r="Q73" s="750"/>
      <c r="R73" s="750"/>
      <c r="S73" s="751"/>
      <c r="T73" s="856">
        <f t="shared" si="49"/>
        <v>0</v>
      </c>
      <c r="U73" s="225"/>
      <c r="V73" s="226"/>
      <c r="W73" s="226"/>
      <c r="X73" s="226"/>
      <c r="Y73" s="226"/>
      <c r="Z73" s="364">
        <f t="shared" si="50"/>
        <v>0</v>
      </c>
      <c r="AA73" s="231"/>
      <c r="AB73" s="745"/>
      <c r="AC73" s="752"/>
      <c r="AD73" s="230"/>
      <c r="AE73" s="230"/>
      <c r="AF73" s="230"/>
      <c r="AG73" s="230"/>
      <c r="AH73" s="230"/>
      <c r="AI73" s="1021"/>
      <c r="AJ73" s="367">
        <f t="shared" si="51"/>
        <v>0</v>
      </c>
      <c r="AK73" s="747"/>
      <c r="AL73" s="747"/>
      <c r="AM73" s="220">
        <f t="shared" si="48"/>
        <v>0</v>
      </c>
      <c r="AN73" s="206"/>
      <c r="AQ73" s="1053"/>
      <c r="AR73" s="468"/>
    </row>
    <row r="74" spans="1:44">
      <c r="A74" s="221" t="s">
        <v>370</v>
      </c>
      <c r="B74" s="748"/>
      <c r="C74" s="223"/>
      <c r="D74" s="223"/>
      <c r="E74" s="223"/>
      <c r="F74" s="223"/>
      <c r="G74" s="223"/>
      <c r="H74" s="223"/>
      <c r="I74" s="223"/>
      <c r="J74" s="223"/>
      <c r="K74" s="223"/>
      <c r="L74" s="797"/>
      <c r="M74" s="797"/>
      <c r="N74" s="797"/>
      <c r="O74" s="797"/>
      <c r="P74" s="797"/>
      <c r="Q74" s="750"/>
      <c r="R74" s="750"/>
      <c r="S74" s="751"/>
      <c r="T74" s="856">
        <f t="shared" si="49"/>
        <v>0</v>
      </c>
      <c r="U74" s="225"/>
      <c r="V74" s="226"/>
      <c r="W74" s="226"/>
      <c r="X74" s="226"/>
      <c r="Y74" s="226"/>
      <c r="Z74" s="364">
        <f t="shared" si="50"/>
        <v>0</v>
      </c>
      <c r="AA74" s="231"/>
      <c r="AB74" s="745"/>
      <c r="AC74" s="752"/>
      <c r="AD74" s="230"/>
      <c r="AE74" s="230"/>
      <c r="AF74" s="230"/>
      <c r="AG74" s="230"/>
      <c r="AH74" s="230"/>
      <c r="AI74" s="1021"/>
      <c r="AJ74" s="367">
        <f t="shared" si="51"/>
        <v>0</v>
      </c>
      <c r="AK74" s="747"/>
      <c r="AL74" s="747"/>
      <c r="AM74" s="220">
        <f t="shared" si="48"/>
        <v>0</v>
      </c>
      <c r="AN74" s="206"/>
      <c r="AQ74" s="1053"/>
      <c r="AR74" s="468"/>
    </row>
    <row r="75" spans="1:44" ht="30">
      <c r="A75" s="221" t="s">
        <v>371</v>
      </c>
      <c r="B75" s="748"/>
      <c r="C75" s="223"/>
      <c r="D75" s="223"/>
      <c r="E75" s="223"/>
      <c r="F75" s="223"/>
      <c r="G75" s="223"/>
      <c r="H75" s="223"/>
      <c r="I75" s="223"/>
      <c r="J75" s="223"/>
      <c r="K75" s="223"/>
      <c r="L75" s="797"/>
      <c r="M75" s="797"/>
      <c r="N75" s="797"/>
      <c r="O75" s="797"/>
      <c r="P75" s="797"/>
      <c r="Q75" s="750"/>
      <c r="R75" s="750"/>
      <c r="S75" s="751"/>
      <c r="T75" s="856">
        <f t="shared" si="49"/>
        <v>0</v>
      </c>
      <c r="U75" s="225"/>
      <c r="V75" s="226"/>
      <c r="W75" s="226"/>
      <c r="X75" s="226"/>
      <c r="Y75" s="226"/>
      <c r="Z75" s="364">
        <f t="shared" si="50"/>
        <v>0</v>
      </c>
      <c r="AA75" s="231"/>
      <c r="AB75" s="745"/>
      <c r="AC75" s="752"/>
      <c r="AD75" s="230"/>
      <c r="AE75" s="230"/>
      <c r="AF75" s="230"/>
      <c r="AG75" s="230"/>
      <c r="AH75" s="230"/>
      <c r="AI75" s="1021"/>
      <c r="AJ75" s="367">
        <f t="shared" si="51"/>
        <v>0</v>
      </c>
      <c r="AK75" s="747"/>
      <c r="AL75" s="747"/>
      <c r="AM75" s="220">
        <f t="shared" si="48"/>
        <v>0</v>
      </c>
      <c r="AN75" s="206"/>
      <c r="AQ75" s="1053"/>
      <c r="AR75" s="468"/>
    </row>
    <row r="76" spans="1:44">
      <c r="A76" s="221" t="s">
        <v>533</v>
      </c>
      <c r="B76" s="748"/>
      <c r="C76" s="223"/>
      <c r="D76" s="223"/>
      <c r="E76" s="223"/>
      <c r="F76" s="223"/>
      <c r="G76" s="223"/>
      <c r="H76" s="223"/>
      <c r="I76" s="223"/>
      <c r="J76" s="223"/>
      <c r="K76" s="223"/>
      <c r="L76" s="797"/>
      <c r="M76" s="797"/>
      <c r="N76" s="797"/>
      <c r="O76" s="797"/>
      <c r="P76" s="797"/>
      <c r="Q76" s="750"/>
      <c r="R76" s="750"/>
      <c r="S76" s="751">
        <v>10000</v>
      </c>
      <c r="T76" s="856">
        <f t="shared" si="49"/>
        <v>10000</v>
      </c>
      <c r="U76" s="225"/>
      <c r="V76" s="226"/>
      <c r="W76" s="226"/>
      <c r="X76" s="226"/>
      <c r="Y76" s="226"/>
      <c r="Z76" s="364">
        <f t="shared" si="50"/>
        <v>0</v>
      </c>
      <c r="AA76" s="231">
        <v>10000</v>
      </c>
      <c r="AB76" s="745"/>
      <c r="AC76" s="752"/>
      <c r="AD76" s="230"/>
      <c r="AE76" s="230"/>
      <c r="AF76" s="230"/>
      <c r="AG76" s="230"/>
      <c r="AH76" s="230"/>
      <c r="AI76" s="1021">
        <v>10000</v>
      </c>
      <c r="AJ76" s="367">
        <f t="shared" si="51"/>
        <v>10000</v>
      </c>
      <c r="AK76" s="747"/>
      <c r="AL76" s="747"/>
      <c r="AM76" s="220">
        <f t="shared" si="48"/>
        <v>30000</v>
      </c>
      <c r="AN76" s="206"/>
      <c r="AQ76" s="1053"/>
      <c r="AR76" s="468"/>
    </row>
    <row r="77" spans="1:44" ht="30">
      <c r="A77" s="221" t="s">
        <v>373</v>
      </c>
      <c r="B77" s="748"/>
      <c r="C77" s="223"/>
      <c r="D77" s="223"/>
      <c r="E77" s="223"/>
      <c r="F77" s="223"/>
      <c r="G77" s="223"/>
      <c r="H77" s="223"/>
      <c r="I77" s="223"/>
      <c r="J77" s="223"/>
      <c r="K77" s="223"/>
      <c r="L77" s="797"/>
      <c r="M77" s="797"/>
      <c r="N77" s="797"/>
      <c r="O77" s="797"/>
      <c r="P77" s="797"/>
      <c r="Q77" s="750"/>
      <c r="R77" s="750"/>
      <c r="S77" s="751"/>
      <c r="T77" s="856">
        <f t="shared" si="49"/>
        <v>0</v>
      </c>
      <c r="U77" s="225"/>
      <c r="V77" s="226"/>
      <c r="W77" s="226"/>
      <c r="X77" s="226"/>
      <c r="Y77" s="226"/>
      <c r="Z77" s="364">
        <f t="shared" si="50"/>
        <v>0</v>
      </c>
      <c r="AA77" s="231"/>
      <c r="AB77" s="745"/>
      <c r="AC77" s="752"/>
      <c r="AD77" s="230"/>
      <c r="AE77" s="230"/>
      <c r="AF77" s="230"/>
      <c r="AG77" s="230"/>
      <c r="AH77" s="230"/>
      <c r="AI77" s="1021"/>
      <c r="AJ77" s="367">
        <f t="shared" si="51"/>
        <v>0</v>
      </c>
      <c r="AK77" s="747"/>
      <c r="AL77" s="747"/>
      <c r="AM77" s="220">
        <f t="shared" si="48"/>
        <v>0</v>
      </c>
      <c r="AN77" s="206"/>
      <c r="AQ77" s="1053"/>
      <c r="AR77" s="468"/>
    </row>
    <row r="78" spans="1:44" ht="16.5" thickBot="1">
      <c r="A78" s="335" t="s">
        <v>374</v>
      </c>
      <c r="B78" s="805">
        <f t="shared" ref="B78:M78" si="54">SUM(B73:B77)</f>
        <v>0</v>
      </c>
      <c r="C78" s="337">
        <f t="shared" si="54"/>
        <v>0</v>
      </c>
      <c r="D78" s="337">
        <f t="shared" si="54"/>
        <v>0</v>
      </c>
      <c r="E78" s="337">
        <f t="shared" si="54"/>
        <v>0</v>
      </c>
      <c r="F78" s="337">
        <f t="shared" si="54"/>
        <v>0</v>
      </c>
      <c r="G78" s="337">
        <f t="shared" si="54"/>
        <v>0</v>
      </c>
      <c r="H78" s="337">
        <f t="shared" si="54"/>
        <v>0</v>
      </c>
      <c r="I78" s="337">
        <f t="shared" si="54"/>
        <v>0</v>
      </c>
      <c r="J78" s="337">
        <f t="shared" si="54"/>
        <v>0</v>
      </c>
      <c r="K78" s="337">
        <f t="shared" si="54"/>
        <v>0</v>
      </c>
      <c r="L78" s="806">
        <f t="shared" si="54"/>
        <v>0</v>
      </c>
      <c r="M78" s="806">
        <f t="shared" si="54"/>
        <v>0</v>
      </c>
      <c r="N78" s="806">
        <f t="shared" ref="N78:S78" si="55">SUM(N73:N77)</f>
        <v>0</v>
      </c>
      <c r="O78" s="806">
        <f t="shared" si="55"/>
        <v>0</v>
      </c>
      <c r="P78" s="806">
        <f t="shared" si="55"/>
        <v>0</v>
      </c>
      <c r="Q78" s="807">
        <f t="shared" si="55"/>
        <v>0</v>
      </c>
      <c r="R78" s="807">
        <f t="shared" si="55"/>
        <v>0</v>
      </c>
      <c r="S78" s="808">
        <f t="shared" si="55"/>
        <v>10000</v>
      </c>
      <c r="T78" s="862">
        <f t="shared" si="49"/>
        <v>10000</v>
      </c>
      <c r="U78" s="339">
        <f>SUM(U73:U77)</f>
        <v>0</v>
      </c>
      <c r="V78" s="340">
        <f>SUM(V73:V77)</f>
        <v>0</v>
      </c>
      <c r="W78" s="340">
        <f>SUM(W73:W77)</f>
        <v>0</v>
      </c>
      <c r="X78" s="340">
        <f>SUM(X73:X77)</f>
        <v>0</v>
      </c>
      <c r="Y78" s="340">
        <f>SUM(Y73:Y77)</f>
        <v>0</v>
      </c>
      <c r="Z78" s="490">
        <f t="shared" si="50"/>
        <v>0</v>
      </c>
      <c r="AA78" s="347">
        <f t="shared" ref="AA78:AI78" si="56">SUM(AA73:AA77)</f>
        <v>10000</v>
      </c>
      <c r="AB78" s="810">
        <f t="shared" si="56"/>
        <v>0</v>
      </c>
      <c r="AC78" s="811">
        <f t="shared" si="56"/>
        <v>0</v>
      </c>
      <c r="AD78" s="811">
        <f t="shared" si="56"/>
        <v>0</v>
      </c>
      <c r="AE78" s="811">
        <f>SUM(AE73:AE77)</f>
        <v>0</v>
      </c>
      <c r="AF78" s="811">
        <f t="shared" si="56"/>
        <v>0</v>
      </c>
      <c r="AG78" s="811">
        <f>SUM(AG73:AG77)</f>
        <v>0</v>
      </c>
      <c r="AH78" s="811">
        <f>SUM(AH73:AH77)</f>
        <v>0</v>
      </c>
      <c r="AI78" s="1027">
        <f t="shared" si="56"/>
        <v>10000</v>
      </c>
      <c r="AJ78" s="497">
        <f t="shared" si="51"/>
        <v>10000</v>
      </c>
      <c r="AK78" s="812">
        <f>SUM(AK73:AK77)</f>
        <v>0</v>
      </c>
      <c r="AL78" s="812">
        <f>SUM(AL73:AL77)</f>
        <v>0</v>
      </c>
      <c r="AM78" s="249">
        <f t="shared" si="48"/>
        <v>30000</v>
      </c>
      <c r="AN78" s="206">
        <v>50971</v>
      </c>
      <c r="AO78" s="450"/>
      <c r="AQ78" s="1053"/>
      <c r="AR78" s="468"/>
    </row>
    <row r="79" spans="1:44" ht="30.75" thickBot="1">
      <c r="A79" s="350" t="s">
        <v>375</v>
      </c>
      <c r="B79" s="813">
        <f t="shared" ref="B79:S79" si="57">B69+B70+B72+B78</f>
        <v>2700</v>
      </c>
      <c r="C79" s="352">
        <f t="shared" si="57"/>
        <v>2700</v>
      </c>
      <c r="D79" s="352">
        <f t="shared" si="57"/>
        <v>2700</v>
      </c>
      <c r="E79" s="352">
        <f t="shared" si="57"/>
        <v>2700</v>
      </c>
      <c r="F79" s="352">
        <f t="shared" si="57"/>
        <v>2700</v>
      </c>
      <c r="G79" s="352">
        <f t="shared" si="57"/>
        <v>2700</v>
      </c>
      <c r="H79" s="352">
        <f t="shared" si="57"/>
        <v>2700</v>
      </c>
      <c r="I79" s="352">
        <f t="shared" si="57"/>
        <v>2700</v>
      </c>
      <c r="J79" s="352">
        <f t="shared" si="57"/>
        <v>2700</v>
      </c>
      <c r="K79" s="352">
        <f t="shared" si="57"/>
        <v>2700</v>
      </c>
      <c r="L79" s="814">
        <f t="shared" si="57"/>
        <v>2700</v>
      </c>
      <c r="M79" s="814">
        <f t="shared" si="57"/>
        <v>2700</v>
      </c>
      <c r="N79" s="814">
        <f t="shared" si="57"/>
        <v>2700</v>
      </c>
      <c r="O79" s="814">
        <f t="shared" si="57"/>
        <v>2700</v>
      </c>
      <c r="P79" s="814">
        <f t="shared" si="57"/>
        <v>2700</v>
      </c>
      <c r="Q79" s="815">
        <f t="shared" si="57"/>
        <v>2700</v>
      </c>
      <c r="R79" s="815">
        <f t="shared" si="57"/>
        <v>1900</v>
      </c>
      <c r="S79" s="816">
        <f t="shared" si="57"/>
        <v>187660</v>
      </c>
      <c r="T79" s="817">
        <f>SUM(T69:T77)</f>
        <v>232760</v>
      </c>
      <c r="U79" s="424">
        <f>U69+U70+U72+U78</f>
        <v>0</v>
      </c>
      <c r="V79" s="354">
        <f>V69+V70+V72+V78</f>
        <v>0</v>
      </c>
      <c r="W79" s="354">
        <f>W69+W70+W72+W78</f>
        <v>0</v>
      </c>
      <c r="X79" s="354">
        <f>X69+X70+X72+X78</f>
        <v>0</v>
      </c>
      <c r="Y79" s="354">
        <f>Y69+Y70+Y72+Y78</f>
        <v>0</v>
      </c>
      <c r="Z79" s="256">
        <f>SUM(Z69,Z78)</f>
        <v>0</v>
      </c>
      <c r="AA79" s="360">
        <f>SUM(AA69,AA78)</f>
        <v>1316800</v>
      </c>
      <c r="AB79" s="818">
        <f>SUM(AB69,AB78)</f>
        <v>0</v>
      </c>
      <c r="AC79" s="357">
        <f t="shared" ref="AC79:AI79" si="58">AC69+AC70+AC72+AC78</f>
        <v>2700</v>
      </c>
      <c r="AD79" s="358">
        <f t="shared" si="58"/>
        <v>2700</v>
      </c>
      <c r="AE79" s="358">
        <f t="shared" si="58"/>
        <v>2700</v>
      </c>
      <c r="AF79" s="358">
        <f t="shared" si="58"/>
        <v>2700</v>
      </c>
      <c r="AG79" s="358">
        <f t="shared" si="58"/>
        <v>0</v>
      </c>
      <c r="AH79" s="358">
        <f t="shared" si="58"/>
        <v>2700</v>
      </c>
      <c r="AI79" s="1034">
        <f t="shared" si="58"/>
        <v>432010</v>
      </c>
      <c r="AJ79" s="263">
        <f>SUM(AJ69,AJ78)</f>
        <v>445510</v>
      </c>
      <c r="AK79" s="820">
        <f>SUM(AK69,AK78)</f>
        <v>0</v>
      </c>
      <c r="AL79" s="820">
        <f>SUM(AL69,AL78)</f>
        <v>0</v>
      </c>
      <c r="AM79" s="205">
        <f t="shared" si="48"/>
        <v>1995070</v>
      </c>
      <c r="AN79" s="206"/>
      <c r="AQ79" s="1053"/>
      <c r="AR79" s="468"/>
    </row>
    <row r="80" spans="1:44" ht="16.5" thickBot="1">
      <c r="A80" s="451" t="s">
        <v>376</v>
      </c>
      <c r="B80" s="863">
        <f t="shared" ref="B80:AI80" si="59">B40+B47+B63+B68+B79</f>
        <v>12700</v>
      </c>
      <c r="C80" s="453">
        <f t="shared" si="59"/>
        <v>12700</v>
      </c>
      <c r="D80" s="453">
        <f t="shared" si="59"/>
        <v>12700</v>
      </c>
      <c r="E80" s="453">
        <f t="shared" si="59"/>
        <v>12700</v>
      </c>
      <c r="F80" s="453">
        <f t="shared" si="59"/>
        <v>12700</v>
      </c>
      <c r="G80" s="453">
        <f t="shared" si="59"/>
        <v>12700</v>
      </c>
      <c r="H80" s="453">
        <f t="shared" si="59"/>
        <v>12700</v>
      </c>
      <c r="I80" s="453">
        <f t="shared" si="59"/>
        <v>12700</v>
      </c>
      <c r="J80" s="453">
        <f t="shared" si="59"/>
        <v>12700</v>
      </c>
      <c r="K80" s="453">
        <f t="shared" si="59"/>
        <v>12700</v>
      </c>
      <c r="L80" s="864">
        <f t="shared" si="59"/>
        <v>12700</v>
      </c>
      <c r="M80" s="864">
        <f t="shared" si="59"/>
        <v>12700</v>
      </c>
      <c r="N80" s="864">
        <f t="shared" si="59"/>
        <v>12700</v>
      </c>
      <c r="O80" s="864">
        <f t="shared" si="59"/>
        <v>12700</v>
      </c>
      <c r="P80" s="864">
        <f t="shared" si="59"/>
        <v>12700</v>
      </c>
      <c r="Q80" s="865">
        <f t="shared" si="59"/>
        <v>12700</v>
      </c>
      <c r="R80" s="865">
        <f t="shared" si="59"/>
        <v>8900</v>
      </c>
      <c r="S80" s="866">
        <f t="shared" si="59"/>
        <v>895660</v>
      </c>
      <c r="T80" s="867">
        <f t="shared" si="59"/>
        <v>1107760</v>
      </c>
      <c r="U80" s="455">
        <f t="shared" si="59"/>
        <v>0</v>
      </c>
      <c r="V80" s="456">
        <f t="shared" si="59"/>
        <v>600000</v>
      </c>
      <c r="W80" s="456">
        <f>W40+W47+W63+W68+W79</f>
        <v>600000</v>
      </c>
      <c r="X80" s="456">
        <f t="shared" si="59"/>
        <v>0</v>
      </c>
      <c r="Y80" s="456">
        <f>Y40+Y47+Y63+Y68+Y79</f>
        <v>0</v>
      </c>
      <c r="Z80" s="457">
        <f t="shared" si="59"/>
        <v>1200000</v>
      </c>
      <c r="AA80" s="466">
        <f t="shared" si="59"/>
        <v>6156800</v>
      </c>
      <c r="AB80" s="868">
        <f t="shared" si="59"/>
        <v>0</v>
      </c>
      <c r="AC80" s="462">
        <f t="shared" si="59"/>
        <v>12700</v>
      </c>
      <c r="AD80" s="463">
        <f t="shared" si="59"/>
        <v>12700</v>
      </c>
      <c r="AE80" s="463">
        <f>AE40+AE47+AE63+AE68+AE79</f>
        <v>12700</v>
      </c>
      <c r="AF80" s="463">
        <f t="shared" si="59"/>
        <v>12700</v>
      </c>
      <c r="AG80" s="463">
        <f>AG40+AG47+AG63+AG68+AG79</f>
        <v>0</v>
      </c>
      <c r="AH80" s="463">
        <f>AH40+AH47+AH63+AH68+AH79</f>
        <v>12700</v>
      </c>
      <c r="AI80" s="1035">
        <f t="shared" si="59"/>
        <v>2015010</v>
      </c>
      <c r="AJ80" s="464">
        <f>AJ40+AJ47+AJ63+AJ68+AJ79</f>
        <v>2078510</v>
      </c>
      <c r="AK80" s="869">
        <f>AK40+AK47+AK63+AK68+AK79</f>
        <v>0</v>
      </c>
      <c r="AL80" s="869">
        <f>AL40+AL47+AL63+AL68+AL79</f>
        <v>0</v>
      </c>
      <c r="AM80" s="870">
        <f>T80+Z80+AB80+AK80+AL80+AJ80+AA80</f>
        <v>10543070</v>
      </c>
      <c r="AN80" s="206"/>
      <c r="AO80" s="206">
        <f>SUM(AN27:AN78)</f>
        <v>8959771</v>
      </c>
      <c r="AP80" s="592">
        <f>AM80-AO80</f>
        <v>1583299</v>
      </c>
      <c r="AQ80" s="1053">
        <v>9166162</v>
      </c>
      <c r="AR80" s="468">
        <f>AQ80-AO80</f>
        <v>206391</v>
      </c>
    </row>
    <row r="81" spans="1:44" ht="60.75" thickBot="1">
      <c r="A81" s="469" t="s">
        <v>534</v>
      </c>
      <c r="B81" s="871"/>
      <c r="C81" s="471"/>
      <c r="D81" s="471"/>
      <c r="E81" s="471"/>
      <c r="F81" s="471"/>
      <c r="G81" s="471"/>
      <c r="H81" s="471"/>
      <c r="I81" s="471"/>
      <c r="J81" s="471"/>
      <c r="K81" s="471"/>
      <c r="L81" s="872"/>
      <c r="M81" s="872"/>
      <c r="N81" s="872"/>
      <c r="O81" s="872"/>
      <c r="P81" s="872"/>
      <c r="Q81" s="873"/>
      <c r="R81" s="873"/>
      <c r="S81" s="874"/>
      <c r="T81" s="875">
        <f>SUM(B81:R81)</f>
        <v>0</v>
      </c>
      <c r="U81" s="473"/>
      <c r="V81" s="474"/>
      <c r="W81" s="474"/>
      <c r="X81" s="474"/>
      <c r="Y81" s="474"/>
      <c r="Z81" s="475"/>
      <c r="AA81" s="484"/>
      <c r="AB81" s="876"/>
      <c r="AC81" s="877"/>
      <c r="AD81" s="481"/>
      <c r="AE81" s="481"/>
      <c r="AF81" s="481"/>
      <c r="AG81" s="481"/>
      <c r="AH81" s="481"/>
      <c r="AI81" s="1036"/>
      <c r="AJ81" s="482"/>
      <c r="AK81" s="878"/>
      <c r="AL81" s="879"/>
      <c r="AM81" s="205">
        <f t="shared" si="48"/>
        <v>0</v>
      </c>
      <c r="AN81" s="206"/>
      <c r="AQ81" s="1053"/>
      <c r="AR81" s="468"/>
    </row>
    <row r="82" spans="1:44" ht="16.5" thickBot="1">
      <c r="A82" s="350" t="s">
        <v>378</v>
      </c>
      <c r="B82" s="813">
        <f t="shared" ref="B82:M82" si="60">B81</f>
        <v>0</v>
      </c>
      <c r="C82" s="352">
        <f t="shared" si="60"/>
        <v>0</v>
      </c>
      <c r="D82" s="352">
        <f t="shared" si="60"/>
        <v>0</v>
      </c>
      <c r="E82" s="352"/>
      <c r="F82" s="352"/>
      <c r="G82" s="352"/>
      <c r="H82" s="352"/>
      <c r="I82" s="352"/>
      <c r="J82" s="352">
        <f t="shared" si="60"/>
        <v>0</v>
      </c>
      <c r="K82" s="352"/>
      <c r="L82" s="814">
        <f t="shared" si="60"/>
        <v>0</v>
      </c>
      <c r="M82" s="814">
        <f t="shared" si="60"/>
        <v>0</v>
      </c>
      <c r="N82" s="814">
        <f>N81</f>
        <v>0</v>
      </c>
      <c r="O82" s="814"/>
      <c r="P82" s="814"/>
      <c r="Q82" s="815">
        <f>Q81</f>
        <v>0</v>
      </c>
      <c r="R82" s="815"/>
      <c r="S82" s="816">
        <f>S81</f>
        <v>0</v>
      </c>
      <c r="T82" s="817">
        <f>T81</f>
        <v>0</v>
      </c>
      <c r="U82" s="424"/>
      <c r="V82" s="354"/>
      <c r="W82" s="354"/>
      <c r="X82" s="354"/>
      <c r="Y82" s="354"/>
      <c r="Z82" s="256">
        <f>Z81</f>
        <v>0</v>
      </c>
      <c r="AA82" s="360">
        <f>AA81</f>
        <v>0</v>
      </c>
      <c r="AB82" s="818">
        <f>AB81</f>
        <v>0</v>
      </c>
      <c r="AC82" s="357"/>
      <c r="AD82" s="358"/>
      <c r="AE82" s="358"/>
      <c r="AF82" s="358"/>
      <c r="AG82" s="358"/>
      <c r="AH82" s="358"/>
      <c r="AI82" s="1034"/>
      <c r="AJ82" s="263">
        <f>AJ81</f>
        <v>0</v>
      </c>
      <c r="AK82" s="820">
        <f>AK81</f>
        <v>0</v>
      </c>
      <c r="AL82" s="820"/>
      <c r="AM82" s="205">
        <f>T82+Z82+AB82+AK82+AL82+AJ82+AA82</f>
        <v>0</v>
      </c>
      <c r="AN82" s="206"/>
      <c r="AQ82" s="1053"/>
      <c r="AR82" s="468"/>
    </row>
    <row r="83" spans="1:44">
      <c r="A83" s="425" t="s">
        <v>379</v>
      </c>
      <c r="B83" s="852"/>
      <c r="C83" s="427"/>
      <c r="D83" s="427"/>
      <c r="E83" s="427"/>
      <c r="F83" s="427"/>
      <c r="G83" s="427"/>
      <c r="H83" s="427"/>
      <c r="I83" s="427"/>
      <c r="J83" s="427"/>
      <c r="K83" s="427"/>
      <c r="L83" s="853"/>
      <c r="M83" s="853"/>
      <c r="N83" s="853"/>
      <c r="O83" s="853"/>
      <c r="P83" s="853"/>
      <c r="Q83" s="854"/>
      <c r="R83" s="854"/>
      <c r="S83" s="855"/>
      <c r="T83" s="880">
        <f>SUM(B83:R83)</f>
        <v>0</v>
      </c>
      <c r="U83" s="488"/>
      <c r="V83" s="489"/>
      <c r="W83" s="489"/>
      <c r="X83" s="489"/>
      <c r="Y83" s="489"/>
      <c r="Z83" s="490"/>
      <c r="AA83" s="499"/>
      <c r="AB83" s="881"/>
      <c r="AC83" s="882"/>
      <c r="AD83" s="496"/>
      <c r="AE83" s="496"/>
      <c r="AF83" s="496"/>
      <c r="AG83" s="496"/>
      <c r="AH83" s="496"/>
      <c r="AI83" s="1037"/>
      <c r="AJ83" s="497"/>
      <c r="AK83" s="883"/>
      <c r="AL83" s="883"/>
      <c r="AM83" s="205">
        <f>T83+Z83+AB83+AK83+AL83+AJ83+AA83</f>
        <v>0</v>
      </c>
      <c r="AN83" s="206"/>
      <c r="AQ83" s="1053"/>
      <c r="AR83" s="468"/>
    </row>
    <row r="84" spans="1:44">
      <c r="A84" s="500" t="s">
        <v>380</v>
      </c>
      <c r="B84" s="884">
        <f t="shared" ref="B84:M84" si="61">B83</f>
        <v>0</v>
      </c>
      <c r="C84" s="502">
        <f t="shared" si="61"/>
        <v>0</v>
      </c>
      <c r="D84" s="502">
        <f t="shared" si="61"/>
        <v>0</v>
      </c>
      <c r="E84" s="502"/>
      <c r="F84" s="502"/>
      <c r="G84" s="502"/>
      <c r="H84" s="502"/>
      <c r="I84" s="502"/>
      <c r="J84" s="502">
        <f t="shared" si="61"/>
        <v>0</v>
      </c>
      <c r="K84" s="502"/>
      <c r="L84" s="885">
        <f t="shared" si="61"/>
        <v>0</v>
      </c>
      <c r="M84" s="885">
        <f t="shared" si="61"/>
        <v>0</v>
      </c>
      <c r="N84" s="885">
        <f>N83</f>
        <v>0</v>
      </c>
      <c r="O84" s="885"/>
      <c r="P84" s="885"/>
      <c r="Q84" s="886">
        <f>Q83</f>
        <v>0</v>
      </c>
      <c r="R84" s="886"/>
      <c r="S84" s="887">
        <f>S83</f>
        <v>0</v>
      </c>
      <c r="T84" s="888">
        <f>T83</f>
        <v>0</v>
      </c>
      <c r="U84" s="504"/>
      <c r="V84" s="505"/>
      <c r="W84" s="505"/>
      <c r="X84" s="505"/>
      <c r="Y84" s="505"/>
      <c r="Z84" s="506">
        <f>Z83</f>
        <v>0</v>
      </c>
      <c r="AA84" s="515">
        <f>AA83</f>
        <v>0</v>
      </c>
      <c r="AB84" s="889">
        <f>AB83</f>
        <v>0</v>
      </c>
      <c r="AC84" s="890"/>
      <c r="AD84" s="512"/>
      <c r="AE84" s="512"/>
      <c r="AF84" s="512"/>
      <c r="AG84" s="512"/>
      <c r="AH84" s="512"/>
      <c r="AI84" s="1038"/>
      <c r="AJ84" s="513">
        <f>AJ83</f>
        <v>0</v>
      </c>
      <c r="AK84" s="891"/>
      <c r="AL84" s="891"/>
      <c r="AM84" s="220">
        <f t="shared" si="48"/>
        <v>0</v>
      </c>
      <c r="AN84" s="206"/>
      <c r="AQ84" s="1053"/>
      <c r="AR84" s="468"/>
    </row>
    <row r="85" spans="1:44" ht="30">
      <c r="A85" s="320" t="s">
        <v>381</v>
      </c>
      <c r="B85" s="798"/>
      <c r="C85" s="322"/>
      <c r="D85" s="322"/>
      <c r="E85" s="322"/>
      <c r="F85" s="322"/>
      <c r="G85" s="322"/>
      <c r="H85" s="322"/>
      <c r="I85" s="322"/>
      <c r="J85" s="322"/>
      <c r="K85" s="322"/>
      <c r="L85" s="799"/>
      <c r="M85" s="799"/>
      <c r="N85" s="799"/>
      <c r="O85" s="799"/>
      <c r="P85" s="799"/>
      <c r="Q85" s="800"/>
      <c r="R85" s="800"/>
      <c r="S85" s="801"/>
      <c r="T85" s="892">
        <f>SUM(B85:R85)</f>
        <v>0</v>
      </c>
      <c r="U85" s="518"/>
      <c r="V85" s="519"/>
      <c r="W85" s="519"/>
      <c r="X85" s="519"/>
      <c r="Y85" s="519"/>
      <c r="Z85" s="393"/>
      <c r="AA85" s="526"/>
      <c r="AB85" s="893"/>
      <c r="AC85" s="894"/>
      <c r="AD85" s="524"/>
      <c r="AE85" s="524"/>
      <c r="AF85" s="524"/>
      <c r="AG85" s="524"/>
      <c r="AH85" s="524"/>
      <c r="AI85" s="1039"/>
      <c r="AJ85" s="396"/>
      <c r="AK85" s="895"/>
      <c r="AL85" s="895"/>
      <c r="AM85" s="220">
        <f t="shared" si="48"/>
        <v>0</v>
      </c>
      <c r="AN85" s="206"/>
      <c r="AQ85" s="1053"/>
      <c r="AR85" s="468"/>
    </row>
    <row r="86" spans="1:44" ht="30">
      <c r="A86" s="500" t="s">
        <v>382</v>
      </c>
      <c r="B86" s="884">
        <f t="shared" ref="B86:M86" si="62">B85</f>
        <v>0</v>
      </c>
      <c r="C86" s="502">
        <f t="shared" si="62"/>
        <v>0</v>
      </c>
      <c r="D86" s="502">
        <f t="shared" si="62"/>
        <v>0</v>
      </c>
      <c r="E86" s="502"/>
      <c r="F86" s="502"/>
      <c r="G86" s="502"/>
      <c r="H86" s="502"/>
      <c r="I86" s="502"/>
      <c r="J86" s="502">
        <f t="shared" si="62"/>
        <v>0</v>
      </c>
      <c r="K86" s="502"/>
      <c r="L86" s="885">
        <f t="shared" si="62"/>
        <v>0</v>
      </c>
      <c r="M86" s="885">
        <f t="shared" si="62"/>
        <v>0</v>
      </c>
      <c r="N86" s="885">
        <f>N85</f>
        <v>0</v>
      </c>
      <c r="O86" s="885"/>
      <c r="P86" s="885"/>
      <c r="Q86" s="886">
        <f>Q85</f>
        <v>0</v>
      </c>
      <c r="R86" s="886"/>
      <c r="S86" s="887">
        <f>S85</f>
        <v>0</v>
      </c>
      <c r="T86" s="888">
        <f>T85</f>
        <v>0</v>
      </c>
      <c r="U86" s="504"/>
      <c r="V86" s="505"/>
      <c r="W86" s="505"/>
      <c r="X86" s="505"/>
      <c r="Y86" s="505"/>
      <c r="Z86" s="506">
        <f>Z85</f>
        <v>0</v>
      </c>
      <c r="AA86" s="515">
        <f>AA85</f>
        <v>0</v>
      </c>
      <c r="AB86" s="889">
        <f>AB85</f>
        <v>0</v>
      </c>
      <c r="AC86" s="890"/>
      <c r="AD86" s="512"/>
      <c r="AE86" s="512"/>
      <c r="AF86" s="512"/>
      <c r="AG86" s="512"/>
      <c r="AH86" s="512"/>
      <c r="AI86" s="1038"/>
      <c r="AJ86" s="513">
        <f>AJ85</f>
        <v>0</v>
      </c>
      <c r="AK86" s="891"/>
      <c r="AL86" s="891"/>
      <c r="AM86" s="220">
        <f t="shared" si="48"/>
        <v>0</v>
      </c>
      <c r="AN86" s="206"/>
      <c r="AQ86" s="1053"/>
      <c r="AR86" s="468"/>
    </row>
    <row r="87" spans="1:44">
      <c r="A87" s="320" t="s">
        <v>383</v>
      </c>
      <c r="B87" s="798"/>
      <c r="C87" s="322"/>
      <c r="D87" s="322"/>
      <c r="E87" s="322"/>
      <c r="F87" s="322"/>
      <c r="G87" s="322"/>
      <c r="H87" s="322"/>
      <c r="I87" s="322"/>
      <c r="J87" s="322"/>
      <c r="K87" s="322"/>
      <c r="L87" s="799"/>
      <c r="M87" s="799"/>
      <c r="N87" s="799"/>
      <c r="O87" s="799"/>
      <c r="P87" s="799"/>
      <c r="Q87" s="800"/>
      <c r="R87" s="800"/>
      <c r="S87" s="801"/>
      <c r="T87" s="892">
        <f>SUM(B87:R87)</f>
        <v>0</v>
      </c>
      <c r="U87" s="518"/>
      <c r="V87" s="519"/>
      <c r="W87" s="519"/>
      <c r="X87" s="519"/>
      <c r="Y87" s="519"/>
      <c r="Z87" s="393"/>
      <c r="AA87" s="526"/>
      <c r="AB87" s="893"/>
      <c r="AC87" s="894"/>
      <c r="AD87" s="524"/>
      <c r="AE87" s="524"/>
      <c r="AF87" s="524"/>
      <c r="AG87" s="524"/>
      <c r="AH87" s="524"/>
      <c r="AI87" s="1039"/>
      <c r="AJ87" s="396"/>
      <c r="AK87" s="895"/>
      <c r="AL87" s="895"/>
      <c r="AM87" s="220">
        <f t="shared" si="48"/>
        <v>0</v>
      </c>
      <c r="AN87" s="206"/>
      <c r="AQ87" s="1053"/>
      <c r="AR87" s="468"/>
    </row>
    <row r="88" spans="1:44">
      <c r="A88" s="500" t="s">
        <v>384</v>
      </c>
      <c r="B88" s="884">
        <f t="shared" ref="B88:M88" si="63">B87</f>
        <v>0</v>
      </c>
      <c r="C88" s="502">
        <f t="shared" si="63"/>
        <v>0</v>
      </c>
      <c r="D88" s="502">
        <f t="shared" si="63"/>
        <v>0</v>
      </c>
      <c r="E88" s="502"/>
      <c r="F88" s="502"/>
      <c r="G88" s="502"/>
      <c r="H88" s="502"/>
      <c r="I88" s="502"/>
      <c r="J88" s="502">
        <f t="shared" si="63"/>
        <v>0</v>
      </c>
      <c r="K88" s="502"/>
      <c r="L88" s="885">
        <f t="shared" si="63"/>
        <v>0</v>
      </c>
      <c r="M88" s="885">
        <f t="shared" si="63"/>
        <v>0</v>
      </c>
      <c r="N88" s="885">
        <f>N87</f>
        <v>0</v>
      </c>
      <c r="O88" s="885"/>
      <c r="P88" s="885"/>
      <c r="Q88" s="886">
        <f>Q87</f>
        <v>0</v>
      </c>
      <c r="R88" s="886"/>
      <c r="S88" s="887">
        <f>S87</f>
        <v>0</v>
      </c>
      <c r="T88" s="888">
        <f>T87</f>
        <v>0</v>
      </c>
      <c r="U88" s="504"/>
      <c r="V88" s="505"/>
      <c r="W88" s="505"/>
      <c r="X88" s="505"/>
      <c r="Y88" s="505"/>
      <c r="Z88" s="506">
        <f>Z87</f>
        <v>0</v>
      </c>
      <c r="AA88" s="515">
        <f>AA87</f>
        <v>0</v>
      </c>
      <c r="AB88" s="889">
        <f>AB87</f>
        <v>0</v>
      </c>
      <c r="AC88" s="890"/>
      <c r="AD88" s="512"/>
      <c r="AE88" s="512"/>
      <c r="AF88" s="512"/>
      <c r="AG88" s="512"/>
      <c r="AH88" s="512"/>
      <c r="AI88" s="1038"/>
      <c r="AJ88" s="513">
        <f>AJ87</f>
        <v>0</v>
      </c>
      <c r="AK88" s="891"/>
      <c r="AL88" s="891"/>
      <c r="AM88" s="220">
        <f t="shared" si="48"/>
        <v>0</v>
      </c>
      <c r="AN88" s="206"/>
      <c r="AQ88" s="1053"/>
      <c r="AR88" s="468"/>
    </row>
    <row r="89" spans="1:44" ht="30">
      <c r="A89" s="320" t="s">
        <v>385</v>
      </c>
      <c r="B89" s="798"/>
      <c r="C89" s="322"/>
      <c r="D89" s="322"/>
      <c r="E89" s="322"/>
      <c r="F89" s="322"/>
      <c r="G89" s="322"/>
      <c r="H89" s="322"/>
      <c r="I89" s="322"/>
      <c r="J89" s="322"/>
      <c r="K89" s="322"/>
      <c r="L89" s="799"/>
      <c r="M89" s="799"/>
      <c r="N89" s="799"/>
      <c r="O89" s="799"/>
      <c r="P89" s="799"/>
      <c r="Q89" s="800"/>
      <c r="R89" s="800"/>
      <c r="S89" s="801"/>
      <c r="T89" s="892">
        <f>SUM(B89:R89)</f>
        <v>0</v>
      </c>
      <c r="U89" s="518"/>
      <c r="V89" s="519"/>
      <c r="W89" s="519"/>
      <c r="X89" s="519"/>
      <c r="Y89" s="519"/>
      <c r="Z89" s="393"/>
      <c r="AA89" s="400"/>
      <c r="AB89" s="860"/>
      <c r="AC89" s="894"/>
      <c r="AD89" s="524"/>
      <c r="AE89" s="524"/>
      <c r="AF89" s="524"/>
      <c r="AG89" s="524"/>
      <c r="AH89" s="524"/>
      <c r="AI89" s="1039"/>
      <c r="AJ89" s="396"/>
      <c r="AK89" s="839"/>
      <c r="AL89" s="839"/>
      <c r="AM89" s="220">
        <f t="shared" si="48"/>
        <v>0</v>
      </c>
      <c r="AN89" s="206"/>
      <c r="AQ89" s="1053"/>
      <c r="AR89" s="468"/>
    </row>
    <row r="90" spans="1:44" ht="30">
      <c r="A90" s="500" t="s">
        <v>386</v>
      </c>
      <c r="B90" s="884">
        <f t="shared" ref="B90:M90" si="64">B89</f>
        <v>0</v>
      </c>
      <c r="C90" s="502">
        <f t="shared" si="64"/>
        <v>0</v>
      </c>
      <c r="D90" s="502">
        <f t="shared" si="64"/>
        <v>0</v>
      </c>
      <c r="E90" s="502"/>
      <c r="F90" s="502"/>
      <c r="G90" s="502"/>
      <c r="H90" s="502"/>
      <c r="I90" s="502"/>
      <c r="J90" s="502">
        <f t="shared" si="64"/>
        <v>0</v>
      </c>
      <c r="K90" s="502"/>
      <c r="L90" s="885">
        <f t="shared" si="64"/>
        <v>0</v>
      </c>
      <c r="M90" s="885">
        <f t="shared" si="64"/>
        <v>0</v>
      </c>
      <c r="N90" s="885">
        <f>N89</f>
        <v>0</v>
      </c>
      <c r="O90" s="885"/>
      <c r="P90" s="885"/>
      <c r="Q90" s="886">
        <f>Q89</f>
        <v>0</v>
      </c>
      <c r="R90" s="886"/>
      <c r="S90" s="887">
        <f>S89</f>
        <v>0</v>
      </c>
      <c r="T90" s="888">
        <f>T89</f>
        <v>0</v>
      </c>
      <c r="U90" s="504"/>
      <c r="V90" s="505"/>
      <c r="W90" s="505"/>
      <c r="X90" s="505"/>
      <c r="Y90" s="505"/>
      <c r="Z90" s="506">
        <f>Z89</f>
        <v>0</v>
      </c>
      <c r="AA90" s="515">
        <f>AA89</f>
        <v>0</v>
      </c>
      <c r="AB90" s="889">
        <f>AB89</f>
        <v>0</v>
      </c>
      <c r="AC90" s="890"/>
      <c r="AD90" s="512"/>
      <c r="AE90" s="512"/>
      <c r="AF90" s="512"/>
      <c r="AG90" s="512"/>
      <c r="AH90" s="512"/>
      <c r="AI90" s="1038"/>
      <c r="AJ90" s="513">
        <f>AJ89</f>
        <v>0</v>
      </c>
      <c r="AK90" s="891">
        <f>AK89</f>
        <v>0</v>
      </c>
      <c r="AL90" s="891">
        <f>AL89</f>
        <v>0</v>
      </c>
      <c r="AM90" s="220">
        <f t="shared" si="48"/>
        <v>0</v>
      </c>
      <c r="AN90" s="206"/>
      <c r="AQ90" s="1053"/>
      <c r="AR90" s="468"/>
    </row>
    <row r="91" spans="1:44">
      <c r="A91" s="320" t="s">
        <v>387</v>
      </c>
      <c r="B91" s="798"/>
      <c r="C91" s="322"/>
      <c r="D91" s="322"/>
      <c r="E91" s="322"/>
      <c r="F91" s="322"/>
      <c r="G91" s="322"/>
      <c r="H91" s="322"/>
      <c r="I91" s="322"/>
      <c r="J91" s="322"/>
      <c r="K91" s="322"/>
      <c r="L91" s="799"/>
      <c r="M91" s="799"/>
      <c r="N91" s="799"/>
      <c r="O91" s="799"/>
      <c r="P91" s="799"/>
      <c r="Q91" s="800"/>
      <c r="R91" s="800"/>
      <c r="S91" s="801"/>
      <c r="T91" s="892">
        <f>SUM(B91:R91)</f>
        <v>0</v>
      </c>
      <c r="U91" s="518"/>
      <c r="V91" s="519"/>
      <c r="W91" s="519"/>
      <c r="X91" s="519"/>
      <c r="Y91" s="519"/>
      <c r="Z91" s="393"/>
      <c r="AA91" s="526"/>
      <c r="AB91" s="893"/>
      <c r="AC91" s="894"/>
      <c r="AD91" s="524"/>
      <c r="AE91" s="524"/>
      <c r="AF91" s="524"/>
      <c r="AG91" s="524"/>
      <c r="AH91" s="524"/>
      <c r="AI91" s="1039"/>
      <c r="AJ91" s="396"/>
      <c r="AK91" s="895"/>
      <c r="AL91" s="895"/>
      <c r="AM91" s="220">
        <f t="shared" si="48"/>
        <v>0</v>
      </c>
      <c r="AN91" s="206"/>
      <c r="AQ91" s="1053"/>
      <c r="AR91" s="468"/>
    </row>
    <row r="92" spans="1:44" ht="60">
      <c r="A92" s="320" t="s">
        <v>388</v>
      </c>
      <c r="B92" s="798"/>
      <c r="C92" s="322"/>
      <c r="D92" s="322"/>
      <c r="E92" s="322"/>
      <c r="F92" s="322"/>
      <c r="G92" s="322"/>
      <c r="H92" s="322"/>
      <c r="I92" s="322"/>
      <c r="J92" s="322"/>
      <c r="K92" s="322"/>
      <c r="L92" s="799"/>
      <c r="M92" s="799"/>
      <c r="N92" s="799"/>
      <c r="O92" s="799"/>
      <c r="P92" s="799"/>
      <c r="Q92" s="800"/>
      <c r="R92" s="800"/>
      <c r="S92" s="801"/>
      <c r="T92" s="892">
        <f>SUM(B92:R92)</f>
        <v>0</v>
      </c>
      <c r="U92" s="518"/>
      <c r="V92" s="519"/>
      <c r="W92" s="519"/>
      <c r="X92" s="519"/>
      <c r="Y92" s="519"/>
      <c r="Z92" s="393"/>
      <c r="AA92" s="526"/>
      <c r="AB92" s="893"/>
      <c r="AC92" s="894"/>
      <c r="AD92" s="524"/>
      <c r="AE92" s="524"/>
      <c r="AF92" s="524"/>
      <c r="AG92" s="524"/>
      <c r="AH92" s="524"/>
      <c r="AI92" s="1039"/>
      <c r="AJ92" s="396"/>
      <c r="AK92" s="895"/>
      <c r="AL92" s="895"/>
      <c r="AM92" s="220">
        <f t="shared" si="48"/>
        <v>0</v>
      </c>
      <c r="AN92" s="206"/>
      <c r="AQ92" s="1053"/>
      <c r="AR92" s="468"/>
    </row>
    <row r="93" spans="1:44" ht="45">
      <c r="A93" s="320" t="s">
        <v>389</v>
      </c>
      <c r="B93" s="798"/>
      <c r="C93" s="322"/>
      <c r="D93" s="322"/>
      <c r="E93" s="322"/>
      <c r="F93" s="322"/>
      <c r="G93" s="322"/>
      <c r="H93" s="322"/>
      <c r="I93" s="322"/>
      <c r="J93" s="322"/>
      <c r="K93" s="322"/>
      <c r="L93" s="799"/>
      <c r="M93" s="799"/>
      <c r="N93" s="799"/>
      <c r="O93" s="799"/>
      <c r="P93" s="799"/>
      <c r="Q93" s="800"/>
      <c r="R93" s="800"/>
      <c r="S93" s="801"/>
      <c r="T93" s="892">
        <f>SUM(B93:R93)</f>
        <v>0</v>
      </c>
      <c r="U93" s="518"/>
      <c r="V93" s="519"/>
      <c r="W93" s="519"/>
      <c r="X93" s="519"/>
      <c r="Y93" s="519"/>
      <c r="Z93" s="393"/>
      <c r="AA93" s="526"/>
      <c r="AB93" s="893"/>
      <c r="AC93" s="894"/>
      <c r="AD93" s="524"/>
      <c r="AE93" s="524"/>
      <c r="AF93" s="524"/>
      <c r="AG93" s="524"/>
      <c r="AH93" s="524"/>
      <c r="AI93" s="1039"/>
      <c r="AJ93" s="396"/>
      <c r="AK93" s="895"/>
      <c r="AL93" s="895"/>
      <c r="AM93" s="220">
        <f t="shared" si="48"/>
        <v>0</v>
      </c>
      <c r="AN93" s="206"/>
      <c r="AQ93" s="1053"/>
      <c r="AR93" s="468"/>
    </row>
    <row r="94" spans="1:44" ht="16.5" thickBot="1">
      <c r="A94" s="566" t="s">
        <v>390</v>
      </c>
      <c r="B94" s="896">
        <f t="shared" ref="B94:M94" si="65">SUM(B91:B93)</f>
        <v>0</v>
      </c>
      <c r="C94" s="568">
        <f t="shared" si="65"/>
        <v>0</v>
      </c>
      <c r="D94" s="568">
        <f t="shared" si="65"/>
        <v>0</v>
      </c>
      <c r="E94" s="568"/>
      <c r="F94" s="568"/>
      <c r="G94" s="568"/>
      <c r="H94" s="568"/>
      <c r="I94" s="568"/>
      <c r="J94" s="568">
        <f t="shared" si="65"/>
        <v>0</v>
      </c>
      <c r="K94" s="568"/>
      <c r="L94" s="897">
        <f t="shared" si="65"/>
        <v>0</v>
      </c>
      <c r="M94" s="897">
        <f t="shared" si="65"/>
        <v>0</v>
      </c>
      <c r="N94" s="897">
        <f>SUM(N91:N93)</f>
        <v>0</v>
      </c>
      <c r="O94" s="897"/>
      <c r="P94" s="897"/>
      <c r="Q94" s="898">
        <f>SUM(Q91:Q93)</f>
        <v>0</v>
      </c>
      <c r="R94" s="898"/>
      <c r="S94" s="899">
        <f>SUM(S91:S93)</f>
        <v>0</v>
      </c>
      <c r="T94" s="900">
        <f>SUM(T91:T93)</f>
        <v>0</v>
      </c>
      <c r="U94" s="687"/>
      <c r="V94" s="688"/>
      <c r="W94" s="688"/>
      <c r="X94" s="688"/>
      <c r="Y94" s="688"/>
      <c r="Z94" s="572">
        <f>SUM(Z91:Z93)</f>
        <v>0</v>
      </c>
      <c r="AA94" s="695">
        <f>SUM(AA91:AA93)</f>
        <v>0</v>
      </c>
      <c r="AB94" s="901">
        <f>SUM(AB91:AB93)</f>
        <v>0</v>
      </c>
      <c r="AC94" s="902"/>
      <c r="AD94" s="693"/>
      <c r="AE94" s="693"/>
      <c r="AF94" s="693"/>
      <c r="AG94" s="693"/>
      <c r="AH94" s="693"/>
      <c r="AI94" s="1040"/>
      <c r="AJ94" s="579">
        <f>SUM(AJ91:AJ93)</f>
        <v>0</v>
      </c>
      <c r="AK94" s="903">
        <f>SUM(AK91:AK93)</f>
        <v>0</v>
      </c>
      <c r="AL94" s="903">
        <f>SUM(AL91:AL93)</f>
        <v>0</v>
      </c>
      <c r="AM94" s="249">
        <f t="shared" si="48"/>
        <v>0</v>
      </c>
      <c r="AN94" s="206"/>
      <c r="AQ94" s="1053"/>
      <c r="AR94" s="468"/>
    </row>
    <row r="95" spans="1:44" ht="16.5" thickBot="1">
      <c r="A95" s="451" t="s">
        <v>391</v>
      </c>
      <c r="B95" s="863">
        <f t="shared" ref="B95:M95" si="66">B82+B84+B86+B88+B90+B94</f>
        <v>0</v>
      </c>
      <c r="C95" s="453">
        <f t="shared" si="66"/>
        <v>0</v>
      </c>
      <c r="D95" s="453">
        <f t="shared" si="66"/>
        <v>0</v>
      </c>
      <c r="E95" s="453"/>
      <c r="F95" s="453"/>
      <c r="G95" s="453"/>
      <c r="H95" s="453"/>
      <c r="I95" s="453"/>
      <c r="J95" s="453">
        <f t="shared" si="66"/>
        <v>0</v>
      </c>
      <c r="K95" s="453"/>
      <c r="L95" s="864">
        <f t="shared" si="66"/>
        <v>0</v>
      </c>
      <c r="M95" s="864">
        <f t="shared" si="66"/>
        <v>0</v>
      </c>
      <c r="N95" s="864">
        <f>N82+N84+N86+N88+N90+N94</f>
        <v>0</v>
      </c>
      <c r="O95" s="864"/>
      <c r="P95" s="864"/>
      <c r="Q95" s="865">
        <f>Q82+Q84+Q86+Q88+Q90+Q94</f>
        <v>0</v>
      </c>
      <c r="R95" s="865"/>
      <c r="S95" s="866">
        <f>S82+S84+S86+S88+S90+S94</f>
        <v>0</v>
      </c>
      <c r="T95" s="867">
        <f>T82+T84+T86+T88+T90+T94</f>
        <v>0</v>
      </c>
      <c r="U95" s="455"/>
      <c r="V95" s="456"/>
      <c r="W95" s="456"/>
      <c r="X95" s="456"/>
      <c r="Y95" s="456"/>
      <c r="Z95" s="457">
        <f>Z82+Z84+Z86+Z88+Z90+Z94</f>
        <v>0</v>
      </c>
      <c r="AA95" s="466">
        <f>AA82+AA84+AA86+AA88+AA90+AA94</f>
        <v>0</v>
      </c>
      <c r="AB95" s="868">
        <f>AB82+AB84+AB86+AB88+AB90+AB94</f>
        <v>0</v>
      </c>
      <c r="AC95" s="904"/>
      <c r="AD95" s="463"/>
      <c r="AE95" s="463"/>
      <c r="AF95" s="463"/>
      <c r="AG95" s="463"/>
      <c r="AH95" s="463"/>
      <c r="AI95" s="1035"/>
      <c r="AJ95" s="464">
        <f>AJ82+AJ84+AJ86+AJ88+AJ90+AJ94</f>
        <v>0</v>
      </c>
      <c r="AK95" s="869">
        <f>AK82+AK84+AK86+AK88+AK90+AK94</f>
        <v>0</v>
      </c>
      <c r="AL95" s="869">
        <f>AL82+AL84+AL86+AL88+AL90+AL94</f>
        <v>0</v>
      </c>
      <c r="AM95" s="205">
        <f t="shared" si="48"/>
        <v>0</v>
      </c>
      <c r="AN95" s="206"/>
      <c r="AQ95" s="1053"/>
      <c r="AR95" s="468"/>
    </row>
    <row r="96" spans="1:44" ht="30">
      <c r="A96" s="546" t="s">
        <v>392</v>
      </c>
      <c r="B96" s="905"/>
      <c r="C96" s="548"/>
      <c r="D96" s="548"/>
      <c r="E96" s="548"/>
      <c r="F96" s="548"/>
      <c r="G96" s="548"/>
      <c r="H96" s="548"/>
      <c r="I96" s="548"/>
      <c r="J96" s="548"/>
      <c r="K96" s="548"/>
      <c r="L96" s="906"/>
      <c r="M96" s="906"/>
      <c r="N96" s="906"/>
      <c r="O96" s="906"/>
      <c r="P96" s="906"/>
      <c r="Q96" s="907"/>
      <c r="R96" s="907"/>
      <c r="S96" s="908"/>
      <c r="T96" s="909">
        <f>SUM(B96:R96)</f>
        <v>0</v>
      </c>
      <c r="U96" s="550"/>
      <c r="V96" s="551"/>
      <c r="W96" s="551"/>
      <c r="X96" s="551"/>
      <c r="Y96" s="551"/>
      <c r="Z96" s="552"/>
      <c r="AA96" s="561"/>
      <c r="AB96" s="910"/>
      <c r="AC96" s="911"/>
      <c r="AD96" s="558"/>
      <c r="AE96" s="558"/>
      <c r="AF96" s="558"/>
      <c r="AG96" s="558"/>
      <c r="AH96" s="558"/>
      <c r="AI96" s="1041"/>
      <c r="AJ96" s="559"/>
      <c r="AK96" s="912"/>
      <c r="AL96" s="912"/>
      <c r="AM96" s="205">
        <f t="shared" si="48"/>
        <v>0</v>
      </c>
      <c r="AN96" s="206"/>
      <c r="AQ96" s="1053"/>
      <c r="AR96" s="468"/>
    </row>
    <row r="97" spans="1:44" ht="30">
      <c r="A97" s="320" t="s">
        <v>393</v>
      </c>
      <c r="B97" s="798"/>
      <c r="C97" s="322"/>
      <c r="D97" s="322"/>
      <c r="E97" s="322"/>
      <c r="F97" s="322"/>
      <c r="G97" s="322"/>
      <c r="H97" s="322"/>
      <c r="I97" s="322"/>
      <c r="J97" s="322"/>
      <c r="K97" s="322"/>
      <c r="L97" s="799"/>
      <c r="M97" s="799"/>
      <c r="N97" s="799"/>
      <c r="O97" s="799"/>
      <c r="P97" s="799"/>
      <c r="Q97" s="800"/>
      <c r="R97" s="800"/>
      <c r="S97" s="801"/>
      <c r="T97" s="892"/>
      <c r="U97" s="518"/>
      <c r="V97" s="519"/>
      <c r="W97" s="519"/>
      <c r="X97" s="519"/>
      <c r="Y97" s="519"/>
      <c r="Z97" s="393"/>
      <c r="AA97" s="526"/>
      <c r="AB97" s="893"/>
      <c r="AC97" s="894"/>
      <c r="AD97" s="524"/>
      <c r="AE97" s="524"/>
      <c r="AF97" s="524"/>
      <c r="AG97" s="524"/>
      <c r="AH97" s="524"/>
      <c r="AI97" s="1039"/>
      <c r="AJ97" s="396"/>
      <c r="AK97" s="895"/>
      <c r="AL97" s="895"/>
      <c r="AM97" s="220">
        <f t="shared" si="48"/>
        <v>0</v>
      </c>
      <c r="AN97" s="206"/>
      <c r="AQ97" s="1053"/>
      <c r="AR97" s="468"/>
    </row>
    <row r="98" spans="1:44" ht="45">
      <c r="A98" s="320" t="s">
        <v>394</v>
      </c>
      <c r="B98" s="798"/>
      <c r="C98" s="322"/>
      <c r="D98" s="322"/>
      <c r="E98" s="322"/>
      <c r="F98" s="322"/>
      <c r="G98" s="322"/>
      <c r="H98" s="322"/>
      <c r="I98" s="322"/>
      <c r="J98" s="322"/>
      <c r="K98" s="322"/>
      <c r="L98" s="799"/>
      <c r="M98" s="799"/>
      <c r="N98" s="799"/>
      <c r="O98" s="799"/>
      <c r="P98" s="799"/>
      <c r="Q98" s="800"/>
      <c r="R98" s="800"/>
      <c r="S98" s="801"/>
      <c r="T98" s="892">
        <f>SUM(B98:R98)</f>
        <v>0</v>
      </c>
      <c r="U98" s="518"/>
      <c r="V98" s="519"/>
      <c r="W98" s="519"/>
      <c r="X98" s="519"/>
      <c r="Y98" s="519"/>
      <c r="Z98" s="393"/>
      <c r="AA98" s="526"/>
      <c r="AB98" s="893"/>
      <c r="AC98" s="894"/>
      <c r="AD98" s="524"/>
      <c r="AE98" s="524"/>
      <c r="AF98" s="524"/>
      <c r="AG98" s="524"/>
      <c r="AH98" s="524"/>
      <c r="AI98" s="1039"/>
      <c r="AJ98" s="396"/>
      <c r="AK98" s="895"/>
      <c r="AL98" s="895"/>
      <c r="AM98" s="220">
        <f t="shared" si="48"/>
        <v>0</v>
      </c>
      <c r="AN98" s="206"/>
      <c r="AQ98" s="1053"/>
      <c r="AR98" s="468"/>
    </row>
    <row r="99" spans="1:44" ht="30">
      <c r="A99" s="500" t="s">
        <v>395</v>
      </c>
      <c r="B99" s="884">
        <f t="shared" ref="B99:M99" si="67">SUM(B96:B98)</f>
        <v>0</v>
      </c>
      <c r="C99" s="502">
        <f t="shared" si="67"/>
        <v>0</v>
      </c>
      <c r="D99" s="502">
        <f t="shared" si="67"/>
        <v>0</v>
      </c>
      <c r="E99" s="502"/>
      <c r="F99" s="502"/>
      <c r="G99" s="502"/>
      <c r="H99" s="502"/>
      <c r="I99" s="502"/>
      <c r="J99" s="502">
        <f t="shared" si="67"/>
        <v>0</v>
      </c>
      <c r="K99" s="502"/>
      <c r="L99" s="885">
        <f t="shared" si="67"/>
        <v>0</v>
      </c>
      <c r="M99" s="885">
        <f t="shared" si="67"/>
        <v>0</v>
      </c>
      <c r="N99" s="885">
        <f>SUM(N96:N98)</f>
        <v>0</v>
      </c>
      <c r="O99" s="885"/>
      <c r="P99" s="885"/>
      <c r="Q99" s="886">
        <f>SUM(Q96:Q98)</f>
        <v>0</v>
      </c>
      <c r="R99" s="886"/>
      <c r="S99" s="887">
        <f>SUM(S96:S98)</f>
        <v>0</v>
      </c>
      <c r="T99" s="888">
        <f>SUM(T96:T98)</f>
        <v>0</v>
      </c>
      <c r="U99" s="504"/>
      <c r="V99" s="505"/>
      <c r="W99" s="505"/>
      <c r="X99" s="505"/>
      <c r="Y99" s="505"/>
      <c r="Z99" s="506">
        <f>SUM(Z96:Z98)</f>
        <v>0</v>
      </c>
      <c r="AA99" s="515">
        <f>SUM(AA96:AA98)</f>
        <v>0</v>
      </c>
      <c r="AB99" s="889">
        <f>SUM(AB96:AB98)</f>
        <v>0</v>
      </c>
      <c r="AC99" s="890"/>
      <c r="AD99" s="512"/>
      <c r="AE99" s="512"/>
      <c r="AF99" s="512"/>
      <c r="AG99" s="512"/>
      <c r="AH99" s="512"/>
      <c r="AI99" s="1038"/>
      <c r="AJ99" s="513">
        <f>SUM(AJ96:AJ98)</f>
        <v>0</v>
      </c>
      <c r="AK99" s="891">
        <f>SUM(AK96:AK98)</f>
        <v>0</v>
      </c>
      <c r="AL99" s="891">
        <f>SUM(AL96:AL98)</f>
        <v>0</v>
      </c>
      <c r="AM99" s="220">
        <f t="shared" si="48"/>
        <v>0</v>
      </c>
      <c r="AN99" s="206"/>
      <c r="AQ99" s="1053"/>
      <c r="AR99" s="468"/>
    </row>
    <row r="100" spans="1:44" ht="45">
      <c r="A100" s="500" t="s">
        <v>396</v>
      </c>
      <c r="B100" s="884"/>
      <c r="C100" s="502"/>
      <c r="D100" s="502"/>
      <c r="E100" s="502"/>
      <c r="F100" s="502"/>
      <c r="G100" s="502"/>
      <c r="H100" s="502"/>
      <c r="I100" s="502"/>
      <c r="J100" s="502"/>
      <c r="K100" s="502"/>
      <c r="L100" s="885"/>
      <c r="M100" s="885"/>
      <c r="N100" s="885"/>
      <c r="O100" s="885"/>
      <c r="P100" s="885"/>
      <c r="Q100" s="886"/>
      <c r="R100" s="886"/>
      <c r="S100" s="887"/>
      <c r="T100" s="892">
        <f>SUM(B100:R100)</f>
        <v>0</v>
      </c>
      <c r="U100" s="518"/>
      <c r="V100" s="519"/>
      <c r="W100" s="519"/>
      <c r="X100" s="519"/>
      <c r="Y100" s="519"/>
      <c r="Z100" s="506"/>
      <c r="AA100" s="565"/>
      <c r="AB100" s="913"/>
      <c r="AC100" s="894"/>
      <c r="AD100" s="524"/>
      <c r="AE100" s="524"/>
      <c r="AF100" s="524"/>
      <c r="AG100" s="524"/>
      <c r="AH100" s="524"/>
      <c r="AI100" s="1039"/>
      <c r="AJ100" s="513"/>
      <c r="AK100" s="914"/>
      <c r="AL100" s="914"/>
      <c r="AM100" s="220">
        <f t="shared" si="48"/>
        <v>0</v>
      </c>
      <c r="AN100" s="206"/>
      <c r="AQ100" s="1053"/>
      <c r="AR100" s="468"/>
    </row>
    <row r="101" spans="1:44" ht="30">
      <c r="A101" s="500" t="s">
        <v>397</v>
      </c>
      <c r="B101" s="884"/>
      <c r="C101" s="502"/>
      <c r="D101" s="502"/>
      <c r="E101" s="502"/>
      <c r="F101" s="502"/>
      <c r="G101" s="502"/>
      <c r="H101" s="502"/>
      <c r="I101" s="502"/>
      <c r="J101" s="502"/>
      <c r="K101" s="502"/>
      <c r="L101" s="885"/>
      <c r="M101" s="885"/>
      <c r="N101" s="885"/>
      <c r="O101" s="885"/>
      <c r="P101" s="885"/>
      <c r="Q101" s="886"/>
      <c r="R101" s="886"/>
      <c r="S101" s="887"/>
      <c r="T101" s="892">
        <f>SUM(B101:R101)</f>
        <v>0</v>
      </c>
      <c r="U101" s="518"/>
      <c r="V101" s="519"/>
      <c r="W101" s="519"/>
      <c r="X101" s="519"/>
      <c r="Y101" s="519"/>
      <c r="Z101" s="506"/>
      <c r="AA101" s="565"/>
      <c r="AB101" s="913"/>
      <c r="AC101" s="894"/>
      <c r="AD101" s="524"/>
      <c r="AE101" s="524"/>
      <c r="AF101" s="524"/>
      <c r="AG101" s="524"/>
      <c r="AH101" s="524"/>
      <c r="AI101" s="1039"/>
      <c r="AJ101" s="513"/>
      <c r="AK101" s="914"/>
      <c r="AL101" s="914"/>
      <c r="AM101" s="220">
        <f t="shared" si="48"/>
        <v>0</v>
      </c>
      <c r="AN101" s="206"/>
      <c r="AQ101" s="1053"/>
      <c r="AR101" s="468"/>
    </row>
    <row r="102" spans="1:44" ht="16.5" thickBot="1">
      <c r="A102" s="566" t="s">
        <v>398</v>
      </c>
      <c r="B102" s="896"/>
      <c r="C102" s="568"/>
      <c r="D102" s="568"/>
      <c r="E102" s="568"/>
      <c r="F102" s="568"/>
      <c r="G102" s="568"/>
      <c r="H102" s="568"/>
      <c r="I102" s="568"/>
      <c r="J102" s="568"/>
      <c r="K102" s="568"/>
      <c r="L102" s="897"/>
      <c r="M102" s="897"/>
      <c r="N102" s="897"/>
      <c r="O102" s="897"/>
      <c r="P102" s="897"/>
      <c r="Q102" s="898"/>
      <c r="R102" s="898"/>
      <c r="S102" s="899"/>
      <c r="T102" s="915">
        <f>SUM(B102:R102)</f>
        <v>0</v>
      </c>
      <c r="U102" s="570"/>
      <c r="V102" s="571"/>
      <c r="W102" s="571"/>
      <c r="X102" s="571"/>
      <c r="Y102" s="571"/>
      <c r="Z102" s="572"/>
      <c r="AA102" s="581"/>
      <c r="AB102" s="916"/>
      <c r="AC102" s="917"/>
      <c r="AD102" s="578"/>
      <c r="AE102" s="578"/>
      <c r="AF102" s="578"/>
      <c r="AG102" s="578"/>
      <c r="AH102" s="578"/>
      <c r="AI102" s="1042"/>
      <c r="AJ102" s="579"/>
      <c r="AK102" s="918"/>
      <c r="AL102" s="918"/>
      <c r="AM102" s="249">
        <f t="shared" si="48"/>
        <v>0</v>
      </c>
      <c r="AN102" s="206"/>
      <c r="AQ102" s="1053"/>
      <c r="AR102" s="468"/>
    </row>
    <row r="103" spans="1:44" ht="16.5" thickBot="1">
      <c r="A103" s="451" t="s">
        <v>399</v>
      </c>
      <c r="B103" s="863">
        <f t="shared" ref="B103:M103" si="68">B99+B100+B101+B102</f>
        <v>0</v>
      </c>
      <c r="C103" s="453">
        <f t="shared" si="68"/>
        <v>0</v>
      </c>
      <c r="D103" s="453">
        <f t="shared" si="68"/>
        <v>0</v>
      </c>
      <c r="E103" s="453"/>
      <c r="F103" s="453"/>
      <c r="G103" s="453"/>
      <c r="H103" s="453"/>
      <c r="I103" s="453"/>
      <c r="J103" s="453">
        <f t="shared" si="68"/>
        <v>0</v>
      </c>
      <c r="K103" s="453"/>
      <c r="L103" s="864">
        <f t="shared" si="68"/>
        <v>0</v>
      </c>
      <c r="M103" s="864">
        <f t="shared" si="68"/>
        <v>0</v>
      </c>
      <c r="N103" s="864">
        <f>N99+N100+N101+N102</f>
        <v>0</v>
      </c>
      <c r="O103" s="864"/>
      <c r="P103" s="864"/>
      <c r="Q103" s="865">
        <f>Q99+Q100+Q101+Q102</f>
        <v>0</v>
      </c>
      <c r="R103" s="865"/>
      <c r="S103" s="866">
        <f>S99+S100+S101+S102</f>
        <v>0</v>
      </c>
      <c r="T103" s="867">
        <f>T99+T100+T101+T102</f>
        <v>0</v>
      </c>
      <c r="U103" s="455"/>
      <c r="V103" s="456"/>
      <c r="W103" s="456"/>
      <c r="X103" s="456"/>
      <c r="Y103" s="456"/>
      <c r="Z103" s="457">
        <f>Z99+Z100+Z101+Z102</f>
        <v>0</v>
      </c>
      <c r="AA103" s="466">
        <f>AA99+AA100+AA101+AA102</f>
        <v>0</v>
      </c>
      <c r="AB103" s="868">
        <f>AB99+AB100+AB101+AB102</f>
        <v>0</v>
      </c>
      <c r="AC103" s="462"/>
      <c r="AD103" s="463"/>
      <c r="AE103" s="463"/>
      <c r="AF103" s="463"/>
      <c r="AG103" s="463"/>
      <c r="AH103" s="463"/>
      <c r="AI103" s="1035"/>
      <c r="AJ103" s="464">
        <f>AJ99+AJ100+AJ101+AJ102</f>
        <v>0</v>
      </c>
      <c r="AK103" s="869">
        <f>AK99+AK100+AK101+AK102</f>
        <v>0</v>
      </c>
      <c r="AL103" s="869">
        <f>AL99+AL100+AL101+AL102</f>
        <v>0</v>
      </c>
      <c r="AM103" s="205">
        <f t="shared" si="48"/>
        <v>0</v>
      </c>
      <c r="AN103" s="206"/>
      <c r="AQ103" s="1053"/>
      <c r="AR103" s="468"/>
    </row>
    <row r="104" spans="1:44">
      <c r="A104" s="583" t="s">
        <v>400</v>
      </c>
      <c r="B104" s="919"/>
      <c r="C104" s="585"/>
      <c r="D104" s="585"/>
      <c r="E104" s="585"/>
      <c r="F104" s="585"/>
      <c r="G104" s="585"/>
      <c r="H104" s="585"/>
      <c r="I104" s="585"/>
      <c r="J104" s="585"/>
      <c r="K104" s="585"/>
      <c r="L104" s="920"/>
      <c r="M104" s="920"/>
      <c r="N104" s="920"/>
      <c r="O104" s="920"/>
      <c r="P104" s="920"/>
      <c r="Q104" s="921"/>
      <c r="R104" s="921"/>
      <c r="S104" s="922"/>
      <c r="T104" s="880">
        <f>SUM(B104:R104)</f>
        <v>0</v>
      </c>
      <c r="U104" s="488"/>
      <c r="V104" s="489"/>
      <c r="W104" s="489"/>
      <c r="X104" s="489"/>
      <c r="Y104" s="489"/>
      <c r="Z104" s="586"/>
      <c r="AA104" s="591"/>
      <c r="AB104" s="923"/>
      <c r="AC104" s="882"/>
      <c r="AD104" s="496"/>
      <c r="AE104" s="496"/>
      <c r="AF104" s="496"/>
      <c r="AG104" s="496"/>
      <c r="AH104" s="496"/>
      <c r="AI104" s="1037"/>
      <c r="AJ104" s="589"/>
      <c r="AK104" s="924"/>
      <c r="AL104" s="924"/>
      <c r="AM104" s="205">
        <f t="shared" si="48"/>
        <v>0</v>
      </c>
      <c r="AN104" s="206"/>
      <c r="AQ104" s="1053"/>
      <c r="AR104" s="468"/>
    </row>
    <row r="105" spans="1:44" ht="75">
      <c r="A105" s="500" t="s">
        <v>674</v>
      </c>
      <c r="B105" s="884"/>
      <c r="C105" s="502"/>
      <c r="D105" s="502"/>
      <c r="E105" s="502"/>
      <c r="F105" s="502"/>
      <c r="G105" s="502"/>
      <c r="H105" s="502"/>
      <c r="I105" s="502"/>
      <c r="J105" s="502"/>
      <c r="K105" s="502"/>
      <c r="L105" s="885"/>
      <c r="M105" s="885"/>
      <c r="N105" s="885"/>
      <c r="O105" s="885"/>
      <c r="P105" s="885"/>
      <c r="Q105" s="886"/>
      <c r="R105" s="886"/>
      <c r="S105" s="887"/>
      <c r="T105" s="892">
        <f>SUM(B105:R105)</f>
        <v>0</v>
      </c>
      <c r="U105" s="518"/>
      <c r="V105" s="519"/>
      <c r="W105" s="519"/>
      <c r="X105" s="519"/>
      <c r="Y105" s="519"/>
      <c r="Z105" s="506"/>
      <c r="AA105" s="565">
        <v>400000</v>
      </c>
      <c r="AB105" s="913"/>
      <c r="AC105" s="894"/>
      <c r="AD105" s="524"/>
      <c r="AE105" s="524"/>
      <c r="AF105" s="524"/>
      <c r="AG105" s="524"/>
      <c r="AH105" s="524"/>
      <c r="AI105" s="1039"/>
      <c r="AJ105" s="513"/>
      <c r="AK105" s="914"/>
      <c r="AL105" s="914"/>
      <c r="AM105" s="220">
        <f t="shared" si="48"/>
        <v>400000</v>
      </c>
      <c r="AN105" s="206"/>
      <c r="AQ105" s="1053"/>
      <c r="AR105" s="468"/>
    </row>
    <row r="106" spans="1:44" ht="195">
      <c r="A106" s="500" t="s">
        <v>675</v>
      </c>
      <c r="B106" s="884"/>
      <c r="C106" s="502"/>
      <c r="D106" s="502"/>
      <c r="E106" s="502"/>
      <c r="F106" s="502"/>
      <c r="G106" s="502"/>
      <c r="H106" s="502"/>
      <c r="I106" s="502"/>
      <c r="J106" s="502"/>
      <c r="K106" s="502"/>
      <c r="L106" s="885"/>
      <c r="M106" s="885"/>
      <c r="N106" s="885"/>
      <c r="O106" s="885"/>
      <c r="P106" s="885"/>
      <c r="Q106" s="886"/>
      <c r="R106" s="886"/>
      <c r="S106" s="887"/>
      <c r="T106" s="892">
        <f>SUM(B106:R106)</f>
        <v>0</v>
      </c>
      <c r="U106" s="518"/>
      <c r="V106" s="519"/>
      <c r="W106" s="519"/>
      <c r="X106" s="519"/>
      <c r="Y106" s="519"/>
      <c r="Z106" s="506"/>
      <c r="AA106" s="565">
        <v>545000</v>
      </c>
      <c r="AB106" s="913"/>
      <c r="AC106" s="894"/>
      <c r="AD106" s="524"/>
      <c r="AE106" s="524"/>
      <c r="AF106" s="524"/>
      <c r="AG106" s="524"/>
      <c r="AH106" s="524"/>
      <c r="AI106" s="1039"/>
      <c r="AJ106" s="513"/>
      <c r="AK106" s="914"/>
      <c r="AL106" s="914"/>
      <c r="AM106" s="220">
        <f t="shared" si="48"/>
        <v>545000</v>
      </c>
      <c r="AN106" s="206"/>
      <c r="AQ106" s="1053"/>
      <c r="AR106" s="468"/>
    </row>
    <row r="107" spans="1:44" ht="16.5" thickBot="1">
      <c r="A107" s="566" t="s">
        <v>402</v>
      </c>
      <c r="B107" s="896"/>
      <c r="C107" s="568"/>
      <c r="D107" s="568"/>
      <c r="E107" s="568"/>
      <c r="F107" s="568"/>
      <c r="G107" s="568"/>
      <c r="H107" s="568"/>
      <c r="I107" s="568"/>
      <c r="J107" s="568"/>
      <c r="K107" s="568"/>
      <c r="L107" s="897"/>
      <c r="M107" s="897"/>
      <c r="N107" s="897"/>
      <c r="O107" s="897"/>
      <c r="P107" s="897"/>
      <c r="Q107" s="898"/>
      <c r="R107" s="898"/>
      <c r="S107" s="899"/>
      <c r="T107" s="915">
        <f>SUM(B107:R107)</f>
        <v>0</v>
      </c>
      <c r="U107" s="570"/>
      <c r="V107" s="571"/>
      <c r="W107" s="571"/>
      <c r="X107" s="571"/>
      <c r="Y107" s="571"/>
      <c r="Z107" s="572"/>
      <c r="AA107" s="581">
        <f>(AA104+AA105+AA106)*27%</f>
        <v>255150.00000000003</v>
      </c>
      <c r="AB107" s="916"/>
      <c r="AC107" s="917"/>
      <c r="AD107" s="578"/>
      <c r="AE107" s="578"/>
      <c r="AF107" s="578"/>
      <c r="AG107" s="578"/>
      <c r="AH107" s="578"/>
      <c r="AI107" s="1042"/>
      <c r="AJ107" s="579"/>
      <c r="AK107" s="918"/>
      <c r="AL107" s="918"/>
      <c r="AM107" s="249">
        <f t="shared" si="48"/>
        <v>255150.00000000003</v>
      </c>
      <c r="AN107" s="206"/>
      <c r="AQ107" s="1053"/>
      <c r="AR107" s="468"/>
    </row>
    <row r="108" spans="1:44" ht="16.5" thickBot="1">
      <c r="A108" s="451" t="s">
        <v>403</v>
      </c>
      <c r="B108" s="863">
        <f t="shared" ref="B108:M108" si="69">SUM(B104:B107)</f>
        <v>0</v>
      </c>
      <c r="C108" s="453">
        <f t="shared" si="69"/>
        <v>0</v>
      </c>
      <c r="D108" s="453">
        <f t="shared" si="69"/>
        <v>0</v>
      </c>
      <c r="E108" s="453"/>
      <c r="F108" s="453"/>
      <c r="G108" s="453"/>
      <c r="H108" s="453"/>
      <c r="I108" s="453"/>
      <c r="J108" s="453">
        <f t="shared" si="69"/>
        <v>0</v>
      </c>
      <c r="K108" s="453"/>
      <c r="L108" s="864">
        <f t="shared" si="69"/>
        <v>0</v>
      </c>
      <c r="M108" s="864">
        <f t="shared" si="69"/>
        <v>0</v>
      </c>
      <c r="N108" s="864">
        <f>SUM(N104:N107)</f>
        <v>0</v>
      </c>
      <c r="O108" s="864"/>
      <c r="P108" s="864"/>
      <c r="Q108" s="865">
        <f>SUM(Q104:Q107)</f>
        <v>0</v>
      </c>
      <c r="R108" s="865"/>
      <c r="S108" s="866">
        <f>SUM(S104:S107)</f>
        <v>0</v>
      </c>
      <c r="T108" s="867">
        <f>SUM(T104:T107)</f>
        <v>0</v>
      </c>
      <c r="U108" s="455"/>
      <c r="V108" s="456"/>
      <c r="W108" s="456"/>
      <c r="X108" s="456"/>
      <c r="Y108" s="456"/>
      <c r="Z108" s="457">
        <f>SUM(Z104:Z107)</f>
        <v>0</v>
      </c>
      <c r="AA108" s="466">
        <f>SUM(AA104:AA107)</f>
        <v>1200150</v>
      </c>
      <c r="AB108" s="868">
        <f>SUM(AB104:AB107)</f>
        <v>0</v>
      </c>
      <c r="AC108" s="462"/>
      <c r="AD108" s="463"/>
      <c r="AE108" s="463"/>
      <c r="AF108" s="463"/>
      <c r="AG108" s="463"/>
      <c r="AH108" s="463"/>
      <c r="AI108" s="1035"/>
      <c r="AJ108" s="464">
        <f>SUM(AJ104:AJ107)</f>
        <v>0</v>
      </c>
      <c r="AK108" s="869">
        <f>SUM(AK104:AK107)</f>
        <v>0</v>
      </c>
      <c r="AL108" s="869">
        <f>SUM(AL104:AL107)</f>
        <v>0</v>
      </c>
      <c r="AM108" s="925">
        <f t="shared" si="48"/>
        <v>1200150</v>
      </c>
      <c r="AN108" s="206">
        <v>1454000</v>
      </c>
      <c r="AO108" s="206">
        <v>1454000</v>
      </c>
      <c r="AP108" s="592">
        <f>AM108-AO108</f>
        <v>-253850</v>
      </c>
      <c r="AQ108" s="1053">
        <v>1790480</v>
      </c>
      <c r="AR108" s="468">
        <f>AQ108-AO108</f>
        <v>336480</v>
      </c>
    </row>
    <row r="109" spans="1:44">
      <c r="A109" s="583" t="s">
        <v>404</v>
      </c>
      <c r="B109" s="919"/>
      <c r="C109" s="585"/>
      <c r="D109" s="585"/>
      <c r="E109" s="585"/>
      <c r="F109" s="585"/>
      <c r="G109" s="585"/>
      <c r="H109" s="585"/>
      <c r="I109" s="585"/>
      <c r="J109" s="585"/>
      <c r="K109" s="585"/>
      <c r="L109" s="920"/>
      <c r="M109" s="920"/>
      <c r="N109" s="920"/>
      <c r="O109" s="920"/>
      <c r="P109" s="920"/>
      <c r="Q109" s="921"/>
      <c r="R109" s="921"/>
      <c r="S109" s="922"/>
      <c r="T109" s="880">
        <f>SUM(B109:R109)</f>
        <v>0</v>
      </c>
      <c r="U109" s="488"/>
      <c r="V109" s="489"/>
      <c r="W109" s="489"/>
      <c r="X109" s="489"/>
      <c r="Y109" s="489"/>
      <c r="Z109" s="586"/>
      <c r="AA109" s="591"/>
      <c r="AB109" s="923"/>
      <c r="AC109" s="882"/>
      <c r="AD109" s="496"/>
      <c r="AE109" s="496"/>
      <c r="AF109" s="496"/>
      <c r="AG109" s="496"/>
      <c r="AH109" s="496"/>
      <c r="AI109" s="1037"/>
      <c r="AJ109" s="589">
        <f>SUM(AC109:AI109)</f>
        <v>0</v>
      </c>
      <c r="AK109" s="924"/>
      <c r="AL109" s="924"/>
      <c r="AM109" s="205">
        <f t="shared" si="48"/>
        <v>0</v>
      </c>
      <c r="AN109" s="206"/>
      <c r="AQ109" s="1053"/>
      <c r="AR109" s="468"/>
    </row>
    <row r="110" spans="1:44">
      <c r="A110" s="500" t="s">
        <v>405</v>
      </c>
      <c r="B110" s="884"/>
      <c r="C110" s="502"/>
      <c r="D110" s="502"/>
      <c r="E110" s="502"/>
      <c r="F110" s="502"/>
      <c r="G110" s="502"/>
      <c r="H110" s="502"/>
      <c r="I110" s="502"/>
      <c r="J110" s="502"/>
      <c r="K110" s="502"/>
      <c r="L110" s="885"/>
      <c r="M110" s="885"/>
      <c r="N110" s="885"/>
      <c r="O110" s="885"/>
      <c r="P110" s="885"/>
      <c r="Q110" s="886"/>
      <c r="R110" s="886"/>
      <c r="S110" s="887"/>
      <c r="T110" s="892">
        <f>SUM(B110:R110)</f>
        <v>0</v>
      </c>
      <c r="U110" s="518"/>
      <c r="V110" s="519"/>
      <c r="W110" s="519"/>
      <c r="X110" s="519"/>
      <c r="Y110" s="519"/>
      <c r="Z110" s="506"/>
      <c r="AA110" s="565"/>
      <c r="AB110" s="913"/>
      <c r="AC110" s="894"/>
      <c r="AD110" s="524"/>
      <c r="AE110" s="524"/>
      <c r="AF110" s="524"/>
      <c r="AG110" s="524"/>
      <c r="AH110" s="524"/>
      <c r="AI110" s="1039"/>
      <c r="AJ110" s="589">
        <f>SUM(AC110:AI110)</f>
        <v>0</v>
      </c>
      <c r="AK110" s="914"/>
      <c r="AL110" s="914"/>
      <c r="AM110" s="220">
        <f t="shared" si="48"/>
        <v>0</v>
      </c>
      <c r="AN110" s="206"/>
      <c r="AQ110" s="1053"/>
      <c r="AR110" s="468"/>
    </row>
    <row r="111" spans="1:44">
      <c r="A111" s="500" t="s">
        <v>406</v>
      </c>
      <c r="B111" s="884"/>
      <c r="C111" s="502"/>
      <c r="D111" s="502"/>
      <c r="E111" s="502"/>
      <c r="F111" s="502"/>
      <c r="G111" s="502"/>
      <c r="H111" s="502"/>
      <c r="I111" s="502"/>
      <c r="J111" s="502"/>
      <c r="K111" s="502"/>
      <c r="L111" s="885"/>
      <c r="M111" s="885"/>
      <c r="N111" s="885"/>
      <c r="O111" s="885"/>
      <c r="P111" s="885"/>
      <c r="Q111" s="886"/>
      <c r="R111" s="886"/>
      <c r="S111" s="887"/>
      <c r="T111" s="892">
        <f>SUM(B111:R111)</f>
        <v>0</v>
      </c>
      <c r="U111" s="518"/>
      <c r="V111" s="519"/>
      <c r="W111" s="519"/>
      <c r="X111" s="519"/>
      <c r="Y111" s="519"/>
      <c r="Z111" s="506"/>
      <c r="AA111" s="565"/>
      <c r="AB111" s="913"/>
      <c r="AC111" s="894"/>
      <c r="AD111" s="524"/>
      <c r="AE111" s="524"/>
      <c r="AF111" s="524"/>
      <c r="AG111" s="524"/>
      <c r="AH111" s="524"/>
      <c r="AI111" s="1039"/>
      <c r="AJ111" s="589">
        <f>SUM(AC111:AI111)</f>
        <v>0</v>
      </c>
      <c r="AK111" s="914"/>
      <c r="AL111" s="914"/>
      <c r="AM111" s="220">
        <f t="shared" si="48"/>
        <v>0</v>
      </c>
      <c r="AN111" s="206"/>
      <c r="AQ111" s="1053"/>
      <c r="AR111" s="468"/>
    </row>
    <row r="112" spans="1:44" ht="16.5" thickBot="1">
      <c r="A112" s="566" t="s">
        <v>407</v>
      </c>
      <c r="B112" s="896"/>
      <c r="C112" s="568"/>
      <c r="D112" s="568"/>
      <c r="E112" s="568"/>
      <c r="F112" s="568"/>
      <c r="G112" s="568"/>
      <c r="H112" s="568"/>
      <c r="I112" s="568"/>
      <c r="J112" s="568"/>
      <c r="K112" s="568"/>
      <c r="L112" s="897"/>
      <c r="M112" s="897"/>
      <c r="N112" s="897"/>
      <c r="O112" s="897"/>
      <c r="P112" s="897"/>
      <c r="Q112" s="898"/>
      <c r="R112" s="898"/>
      <c r="S112" s="899"/>
      <c r="T112" s="915">
        <f>SUM(B112:R112)</f>
        <v>0</v>
      </c>
      <c r="U112" s="570"/>
      <c r="V112" s="571"/>
      <c r="W112" s="571"/>
      <c r="X112" s="571"/>
      <c r="Y112" s="571"/>
      <c r="Z112" s="572"/>
      <c r="AA112" s="581"/>
      <c r="AB112" s="916"/>
      <c r="AC112" s="917"/>
      <c r="AD112" s="578"/>
      <c r="AE112" s="578"/>
      <c r="AF112" s="578"/>
      <c r="AG112" s="578"/>
      <c r="AH112" s="578"/>
      <c r="AI112" s="1042"/>
      <c r="AJ112" s="589">
        <f>SUM(AC112:AI112)</f>
        <v>0</v>
      </c>
      <c r="AK112" s="918"/>
      <c r="AL112" s="918"/>
      <c r="AM112" s="249">
        <f t="shared" si="48"/>
        <v>0</v>
      </c>
      <c r="AN112" s="206"/>
      <c r="AQ112" s="1053"/>
      <c r="AR112" s="468"/>
    </row>
    <row r="113" spans="1:44" ht="16.5" thickBot="1">
      <c r="A113" s="451" t="s">
        <v>408</v>
      </c>
      <c r="B113" s="863">
        <f t="shared" ref="B113:M113" si="70">SUM(B109:B112)</f>
        <v>0</v>
      </c>
      <c r="C113" s="453">
        <f t="shared" si="70"/>
        <v>0</v>
      </c>
      <c r="D113" s="453">
        <f t="shared" si="70"/>
        <v>0</v>
      </c>
      <c r="E113" s="453"/>
      <c r="F113" s="453"/>
      <c r="G113" s="453"/>
      <c r="H113" s="453"/>
      <c r="I113" s="453"/>
      <c r="J113" s="453">
        <f t="shared" si="70"/>
        <v>0</v>
      </c>
      <c r="K113" s="453"/>
      <c r="L113" s="864">
        <f t="shared" si="70"/>
        <v>0</v>
      </c>
      <c r="M113" s="864">
        <f t="shared" si="70"/>
        <v>0</v>
      </c>
      <c r="N113" s="864">
        <f>SUM(N109:N112)</f>
        <v>0</v>
      </c>
      <c r="O113" s="864"/>
      <c r="P113" s="864"/>
      <c r="Q113" s="865">
        <f>SUM(Q109:Q112)</f>
        <v>0</v>
      </c>
      <c r="R113" s="865"/>
      <c r="S113" s="866">
        <f>SUM(S109:S112)</f>
        <v>0</v>
      </c>
      <c r="T113" s="867">
        <f>SUM(T109:T112)</f>
        <v>0</v>
      </c>
      <c r="U113" s="455"/>
      <c r="V113" s="456"/>
      <c r="W113" s="456"/>
      <c r="X113" s="456"/>
      <c r="Y113" s="456"/>
      <c r="Z113" s="457">
        <f>SUM(Z109:Z112)</f>
        <v>0</v>
      </c>
      <c r="AA113" s="466">
        <f>SUM(AA109:AA112)</f>
        <v>0</v>
      </c>
      <c r="AB113" s="868">
        <f>SUM(AB109:AB112)</f>
        <v>0</v>
      </c>
      <c r="AC113" s="462"/>
      <c r="AD113" s="463"/>
      <c r="AE113" s="463"/>
      <c r="AF113" s="463"/>
      <c r="AG113" s="463"/>
      <c r="AH113" s="463"/>
      <c r="AI113" s="1035">
        <f>SUM(AI109:AI112)</f>
        <v>0</v>
      </c>
      <c r="AJ113" s="464">
        <f>SUM(AJ109:AJ112)</f>
        <v>0</v>
      </c>
      <c r="AK113" s="869">
        <f>SUM(AK109:AK112)</f>
        <v>0</v>
      </c>
      <c r="AL113" s="869">
        <f>SUM(AL109:AL112)</f>
        <v>0</v>
      </c>
      <c r="AM113" s="925">
        <f t="shared" si="48"/>
        <v>0</v>
      </c>
      <c r="AN113" s="206">
        <v>0</v>
      </c>
      <c r="AO113" s="206">
        <v>0</v>
      </c>
      <c r="AP113" s="592">
        <f>AM113-AO113</f>
        <v>0</v>
      </c>
      <c r="AQ113" s="1053"/>
      <c r="AR113" s="468"/>
    </row>
    <row r="114" spans="1:44" ht="30.75" thickBot="1">
      <c r="A114" s="350" t="s">
        <v>409</v>
      </c>
      <c r="B114" s="813"/>
      <c r="C114" s="352"/>
      <c r="D114" s="352"/>
      <c r="E114" s="352"/>
      <c r="F114" s="352"/>
      <c r="G114" s="352"/>
      <c r="H114" s="352"/>
      <c r="I114" s="352"/>
      <c r="J114" s="352"/>
      <c r="K114" s="352"/>
      <c r="L114" s="814"/>
      <c r="M114" s="814"/>
      <c r="N114" s="814"/>
      <c r="O114" s="814"/>
      <c r="P114" s="814"/>
      <c r="Q114" s="815"/>
      <c r="R114" s="815"/>
      <c r="S114" s="816"/>
      <c r="T114" s="765">
        <f>SUM(B114:R114)</f>
        <v>0</v>
      </c>
      <c r="U114" s="254"/>
      <c r="V114" s="255"/>
      <c r="W114" s="255"/>
      <c r="X114" s="255"/>
      <c r="Y114" s="255"/>
      <c r="Z114" s="256"/>
      <c r="AA114" s="265"/>
      <c r="AB114" s="766"/>
      <c r="AC114" s="261"/>
      <c r="AD114" s="262"/>
      <c r="AE114" s="262"/>
      <c r="AF114" s="262"/>
      <c r="AG114" s="262"/>
      <c r="AH114" s="262"/>
      <c r="AI114" s="1023"/>
      <c r="AJ114" s="263"/>
      <c r="AK114" s="768"/>
      <c r="AL114" s="768"/>
      <c r="AM114" s="205">
        <f t="shared" si="48"/>
        <v>0</v>
      </c>
      <c r="AN114" s="206"/>
      <c r="AQ114" s="1053"/>
      <c r="AR114" s="468"/>
    </row>
    <row r="115" spans="1:44" ht="30.75" thickBot="1">
      <c r="A115" s="350" t="s">
        <v>410</v>
      </c>
      <c r="B115" s="813"/>
      <c r="C115" s="352"/>
      <c r="D115" s="352"/>
      <c r="E115" s="352"/>
      <c r="F115" s="352"/>
      <c r="G115" s="352"/>
      <c r="H115" s="352"/>
      <c r="I115" s="352"/>
      <c r="J115" s="352"/>
      <c r="K115" s="352"/>
      <c r="L115" s="814"/>
      <c r="M115" s="814"/>
      <c r="N115" s="814"/>
      <c r="O115" s="814"/>
      <c r="P115" s="814"/>
      <c r="Q115" s="815"/>
      <c r="R115" s="815"/>
      <c r="S115" s="816"/>
      <c r="T115" s="765">
        <f>SUM(B115:R115)</f>
        <v>0</v>
      </c>
      <c r="U115" s="254"/>
      <c r="V115" s="255"/>
      <c r="W115" s="255"/>
      <c r="X115" s="255"/>
      <c r="Y115" s="255"/>
      <c r="Z115" s="256"/>
      <c r="AA115" s="265"/>
      <c r="AB115" s="766"/>
      <c r="AC115" s="261"/>
      <c r="AD115" s="262"/>
      <c r="AE115" s="262"/>
      <c r="AF115" s="262"/>
      <c r="AG115" s="262"/>
      <c r="AH115" s="262"/>
      <c r="AI115" s="1023"/>
      <c r="AJ115" s="263"/>
      <c r="AK115" s="768"/>
      <c r="AL115" s="768"/>
      <c r="AM115" s="205">
        <f t="shared" si="48"/>
        <v>0</v>
      </c>
      <c r="AN115" s="206"/>
      <c r="AQ115" s="1053"/>
      <c r="AR115" s="468"/>
    </row>
    <row r="116" spans="1:44" ht="16.5" thickBot="1">
      <c r="A116" s="451" t="s">
        <v>411</v>
      </c>
      <c r="B116" s="863">
        <f t="shared" ref="B116:M116" si="71">SUM(B114:B115)</f>
        <v>0</v>
      </c>
      <c r="C116" s="453">
        <f t="shared" si="71"/>
        <v>0</v>
      </c>
      <c r="D116" s="453">
        <f t="shared" si="71"/>
        <v>0</v>
      </c>
      <c r="E116" s="453"/>
      <c r="F116" s="453"/>
      <c r="G116" s="453"/>
      <c r="H116" s="453"/>
      <c r="I116" s="453"/>
      <c r="J116" s="453">
        <f t="shared" si="71"/>
        <v>0</v>
      </c>
      <c r="K116" s="453"/>
      <c r="L116" s="864">
        <f t="shared" si="71"/>
        <v>0</v>
      </c>
      <c r="M116" s="864">
        <f t="shared" si="71"/>
        <v>0</v>
      </c>
      <c r="N116" s="864">
        <f>SUM(N114:N115)</f>
        <v>0</v>
      </c>
      <c r="O116" s="864"/>
      <c r="P116" s="864"/>
      <c r="Q116" s="865">
        <f>SUM(Q114:Q115)</f>
        <v>0</v>
      </c>
      <c r="R116" s="865"/>
      <c r="S116" s="866">
        <f>SUM(S114:S115)</f>
        <v>0</v>
      </c>
      <c r="T116" s="867">
        <f>SUM(T114:T115)</f>
        <v>0</v>
      </c>
      <c r="U116" s="455"/>
      <c r="V116" s="456"/>
      <c r="W116" s="456"/>
      <c r="X116" s="456"/>
      <c r="Y116" s="456"/>
      <c r="Z116" s="457">
        <f>SUM(Z114:Z115)</f>
        <v>0</v>
      </c>
      <c r="AA116" s="466">
        <f>SUM(AA114:AA115)</f>
        <v>0</v>
      </c>
      <c r="AB116" s="868">
        <f>SUM(AB114:AB115)</f>
        <v>0</v>
      </c>
      <c r="AC116" s="462"/>
      <c r="AD116" s="463"/>
      <c r="AE116" s="463"/>
      <c r="AF116" s="463"/>
      <c r="AG116" s="463"/>
      <c r="AH116" s="463"/>
      <c r="AI116" s="1035"/>
      <c r="AJ116" s="464">
        <f>SUM(AJ114:AJ115)</f>
        <v>0</v>
      </c>
      <c r="AK116" s="869">
        <f>SUM(AK114:AK115)</f>
        <v>0</v>
      </c>
      <c r="AL116" s="869">
        <f>SUM(AL114:AL115)</f>
        <v>0</v>
      </c>
      <c r="AM116" s="205">
        <f t="shared" si="48"/>
        <v>0</v>
      </c>
      <c r="AN116" s="206"/>
      <c r="AQ116" s="1053"/>
      <c r="AR116" s="468"/>
    </row>
    <row r="117" spans="1:44" ht="30.75" thickBot="1">
      <c r="A117" s="593" t="s">
        <v>412</v>
      </c>
      <c r="B117" s="926"/>
      <c r="C117" s="595"/>
      <c r="D117" s="595"/>
      <c r="E117" s="595"/>
      <c r="F117" s="595"/>
      <c r="G117" s="595"/>
      <c r="H117" s="595"/>
      <c r="I117" s="595"/>
      <c r="J117" s="595"/>
      <c r="K117" s="595"/>
      <c r="L117" s="927"/>
      <c r="M117" s="927"/>
      <c r="N117" s="927"/>
      <c r="O117" s="927"/>
      <c r="P117" s="927"/>
      <c r="Q117" s="928"/>
      <c r="R117" s="928"/>
      <c r="S117" s="929"/>
      <c r="T117" s="765">
        <f>SUM(B117:R117)</f>
        <v>0</v>
      </c>
      <c r="U117" s="254"/>
      <c r="V117" s="255"/>
      <c r="W117" s="255"/>
      <c r="X117" s="255"/>
      <c r="Y117" s="255"/>
      <c r="Z117" s="596"/>
      <c r="AA117" s="265"/>
      <c r="AB117" s="766"/>
      <c r="AC117" s="261"/>
      <c r="AD117" s="262"/>
      <c r="AE117" s="262"/>
      <c r="AF117" s="262"/>
      <c r="AG117" s="262"/>
      <c r="AH117" s="262"/>
      <c r="AI117" s="1023"/>
      <c r="AJ117" s="598"/>
      <c r="AK117" s="768"/>
      <c r="AL117" s="768"/>
      <c r="AM117" s="205">
        <f t="shared" si="48"/>
        <v>0</v>
      </c>
      <c r="AN117" s="206"/>
      <c r="AQ117" s="1053"/>
      <c r="AR117" s="468"/>
    </row>
    <row r="118" spans="1:44" ht="30.75" thickBot="1">
      <c r="A118" s="599" t="s">
        <v>413</v>
      </c>
      <c r="B118" s="930">
        <f t="shared" ref="B118:M118" si="72">B117</f>
        <v>0</v>
      </c>
      <c r="C118" s="601">
        <f t="shared" si="72"/>
        <v>0</v>
      </c>
      <c r="D118" s="601">
        <f t="shared" si="72"/>
        <v>0</v>
      </c>
      <c r="E118" s="601"/>
      <c r="F118" s="601"/>
      <c r="G118" s="601"/>
      <c r="H118" s="601"/>
      <c r="I118" s="601"/>
      <c r="J118" s="601">
        <f t="shared" si="72"/>
        <v>0</v>
      </c>
      <c r="K118" s="601"/>
      <c r="L118" s="931">
        <f t="shared" si="72"/>
        <v>0</v>
      </c>
      <c r="M118" s="931">
        <f t="shared" si="72"/>
        <v>0</v>
      </c>
      <c r="N118" s="931">
        <f>N117</f>
        <v>0</v>
      </c>
      <c r="O118" s="931"/>
      <c r="P118" s="931"/>
      <c r="Q118" s="932">
        <f>Q117</f>
        <v>0</v>
      </c>
      <c r="R118" s="932"/>
      <c r="S118" s="933">
        <f>S117</f>
        <v>0</v>
      </c>
      <c r="T118" s="934">
        <f>T117</f>
        <v>0</v>
      </c>
      <c r="U118" s="603"/>
      <c r="V118" s="604"/>
      <c r="W118" s="604"/>
      <c r="X118" s="604"/>
      <c r="Y118" s="604"/>
      <c r="Z118" s="605">
        <f>Z117</f>
        <v>0</v>
      </c>
      <c r="AA118" s="614">
        <f>AA117</f>
        <v>0</v>
      </c>
      <c r="AB118" s="935">
        <f>AB117</f>
        <v>0</v>
      </c>
      <c r="AC118" s="610"/>
      <c r="AD118" s="611"/>
      <c r="AE118" s="611"/>
      <c r="AF118" s="611"/>
      <c r="AG118" s="611"/>
      <c r="AH118" s="611"/>
      <c r="AI118" s="1043"/>
      <c r="AJ118" s="612">
        <f>AJ117</f>
        <v>0</v>
      </c>
      <c r="AK118" s="936">
        <f>AK117</f>
        <v>0</v>
      </c>
      <c r="AL118" s="936">
        <f>AL117</f>
        <v>0</v>
      </c>
      <c r="AM118" s="205">
        <f t="shared" si="48"/>
        <v>0</v>
      </c>
      <c r="AN118" s="206"/>
      <c r="AQ118" s="1053"/>
      <c r="AR118" s="468"/>
    </row>
    <row r="119" spans="1:44" ht="30.75" thickBot="1">
      <c r="A119" s="599" t="s">
        <v>414</v>
      </c>
      <c r="B119" s="930"/>
      <c r="C119" s="601"/>
      <c r="D119" s="601"/>
      <c r="E119" s="601"/>
      <c r="F119" s="601"/>
      <c r="G119" s="601"/>
      <c r="H119" s="601"/>
      <c r="I119" s="601"/>
      <c r="J119" s="601"/>
      <c r="K119" s="601"/>
      <c r="L119" s="931"/>
      <c r="M119" s="931"/>
      <c r="N119" s="931"/>
      <c r="O119" s="931"/>
      <c r="P119" s="931"/>
      <c r="Q119" s="932"/>
      <c r="R119" s="932"/>
      <c r="S119" s="933"/>
      <c r="T119" s="765">
        <f>SUM(B119:R119)</f>
        <v>0</v>
      </c>
      <c r="U119" s="254"/>
      <c r="V119" s="255"/>
      <c r="W119" s="255"/>
      <c r="X119" s="255"/>
      <c r="Y119" s="255"/>
      <c r="Z119" s="605"/>
      <c r="AA119" s="618"/>
      <c r="AB119" s="937"/>
      <c r="AC119" s="261"/>
      <c r="AD119" s="262"/>
      <c r="AE119" s="262"/>
      <c r="AF119" s="262"/>
      <c r="AG119" s="262"/>
      <c r="AH119" s="262"/>
      <c r="AI119" s="1023"/>
      <c r="AJ119" s="612"/>
      <c r="AK119" s="938"/>
      <c r="AL119" s="938"/>
      <c r="AM119" s="205">
        <f t="shared" si="48"/>
        <v>0</v>
      </c>
      <c r="AN119" s="206"/>
      <c r="AQ119" s="1053"/>
      <c r="AR119" s="468"/>
    </row>
    <row r="120" spans="1:44" ht="16.5" thickBot="1">
      <c r="A120" s="599" t="s">
        <v>415</v>
      </c>
      <c r="B120" s="930"/>
      <c r="C120" s="601"/>
      <c r="D120" s="601"/>
      <c r="E120" s="601"/>
      <c r="F120" s="601"/>
      <c r="G120" s="601"/>
      <c r="H120" s="601"/>
      <c r="I120" s="601"/>
      <c r="J120" s="601"/>
      <c r="K120" s="601"/>
      <c r="L120" s="931"/>
      <c r="M120" s="931"/>
      <c r="N120" s="931"/>
      <c r="O120" s="931"/>
      <c r="P120" s="931"/>
      <c r="Q120" s="932"/>
      <c r="R120" s="932"/>
      <c r="S120" s="933"/>
      <c r="T120" s="765">
        <f>SUM(B120:R120)</f>
        <v>0</v>
      </c>
      <c r="U120" s="254"/>
      <c r="V120" s="255"/>
      <c r="W120" s="255"/>
      <c r="X120" s="255"/>
      <c r="Y120" s="255"/>
      <c r="Z120" s="605"/>
      <c r="AA120" s="622"/>
      <c r="AB120" s="939"/>
      <c r="AC120" s="261"/>
      <c r="AD120" s="262"/>
      <c r="AE120" s="262"/>
      <c r="AF120" s="262"/>
      <c r="AG120" s="262"/>
      <c r="AH120" s="262"/>
      <c r="AI120" s="1023"/>
      <c r="AJ120" s="612"/>
      <c r="AK120" s="940"/>
      <c r="AL120" s="940"/>
      <c r="AM120" s="205">
        <f t="shared" si="48"/>
        <v>0</v>
      </c>
      <c r="AN120" s="206"/>
      <c r="AQ120" s="1053"/>
      <c r="AR120" s="468"/>
    </row>
    <row r="121" spans="1:44" ht="16.5" thickBot="1">
      <c r="A121" s="350" t="s">
        <v>416</v>
      </c>
      <c r="B121" s="813">
        <f t="shared" ref="B121:M121" si="73">B118+B119+B120</f>
        <v>0</v>
      </c>
      <c r="C121" s="352">
        <f t="shared" si="73"/>
        <v>0</v>
      </c>
      <c r="D121" s="352">
        <f t="shared" si="73"/>
        <v>0</v>
      </c>
      <c r="E121" s="352"/>
      <c r="F121" s="352"/>
      <c r="G121" s="352"/>
      <c r="H121" s="352"/>
      <c r="I121" s="352"/>
      <c r="J121" s="352">
        <f t="shared" si="73"/>
        <v>0</v>
      </c>
      <c r="K121" s="352"/>
      <c r="L121" s="814">
        <f t="shared" si="73"/>
        <v>0</v>
      </c>
      <c r="M121" s="814">
        <f t="shared" si="73"/>
        <v>0</v>
      </c>
      <c r="N121" s="814">
        <f>N118+N119+N120</f>
        <v>0</v>
      </c>
      <c r="O121" s="814"/>
      <c r="P121" s="814"/>
      <c r="Q121" s="815">
        <f>Q118+Q119+Q120</f>
        <v>0</v>
      </c>
      <c r="R121" s="815"/>
      <c r="S121" s="816">
        <f>S118+S119+S120</f>
        <v>0</v>
      </c>
      <c r="T121" s="817">
        <f>T118+T119+T120</f>
        <v>0</v>
      </c>
      <c r="U121" s="424"/>
      <c r="V121" s="354"/>
      <c r="W121" s="354"/>
      <c r="X121" s="354"/>
      <c r="Y121" s="354"/>
      <c r="Z121" s="256">
        <f>Z118+Z119+Z120</f>
        <v>0</v>
      </c>
      <c r="AA121" s="360">
        <f>AA118+AA119+AA120</f>
        <v>0</v>
      </c>
      <c r="AB121" s="818">
        <f>AB118+AB119+AB120</f>
        <v>0</v>
      </c>
      <c r="AC121" s="357"/>
      <c r="AD121" s="358"/>
      <c r="AE121" s="358"/>
      <c r="AF121" s="358"/>
      <c r="AG121" s="358"/>
      <c r="AH121" s="358"/>
      <c r="AI121" s="1034"/>
      <c r="AJ121" s="263">
        <f>AJ118+AJ119+AJ120</f>
        <v>0</v>
      </c>
      <c r="AK121" s="820">
        <f>AK118+AK119+AK120</f>
        <v>0</v>
      </c>
      <c r="AL121" s="820">
        <f>AL118+AL119+AL120</f>
        <v>0</v>
      </c>
      <c r="AM121" s="205">
        <f t="shared" si="48"/>
        <v>0</v>
      </c>
      <c r="AN121" s="206"/>
      <c r="AQ121" s="1053"/>
      <c r="AR121" s="468"/>
    </row>
    <row r="122" spans="1:44" ht="16.5" thickBot="1">
      <c r="A122" s="451" t="s">
        <v>417</v>
      </c>
      <c r="B122" s="863">
        <f t="shared" ref="B122:M122" si="74">B121</f>
        <v>0</v>
      </c>
      <c r="C122" s="453">
        <f t="shared" si="74"/>
        <v>0</v>
      </c>
      <c r="D122" s="453">
        <f t="shared" si="74"/>
        <v>0</v>
      </c>
      <c r="E122" s="453"/>
      <c r="F122" s="453"/>
      <c r="G122" s="453"/>
      <c r="H122" s="453"/>
      <c r="I122" s="453"/>
      <c r="J122" s="453">
        <f t="shared" si="74"/>
        <v>0</v>
      </c>
      <c r="K122" s="453"/>
      <c r="L122" s="864">
        <f t="shared" si="74"/>
        <v>0</v>
      </c>
      <c r="M122" s="864">
        <f t="shared" si="74"/>
        <v>0</v>
      </c>
      <c r="N122" s="864">
        <f>N121</f>
        <v>0</v>
      </c>
      <c r="O122" s="864"/>
      <c r="P122" s="864"/>
      <c r="Q122" s="865">
        <f>Q121</f>
        <v>0</v>
      </c>
      <c r="R122" s="865"/>
      <c r="S122" s="866">
        <f>S121</f>
        <v>0</v>
      </c>
      <c r="T122" s="867">
        <f>T121</f>
        <v>0</v>
      </c>
      <c r="U122" s="455"/>
      <c r="V122" s="456"/>
      <c r="W122" s="456"/>
      <c r="X122" s="456"/>
      <c r="Y122" s="456"/>
      <c r="Z122" s="457">
        <f>Z121</f>
        <v>0</v>
      </c>
      <c r="AA122" s="466">
        <f>AA121</f>
        <v>0</v>
      </c>
      <c r="AB122" s="868">
        <f>AB121</f>
        <v>0</v>
      </c>
      <c r="AC122" s="462"/>
      <c r="AD122" s="463"/>
      <c r="AE122" s="463"/>
      <c r="AF122" s="463"/>
      <c r="AG122" s="463"/>
      <c r="AH122" s="463"/>
      <c r="AI122" s="1035"/>
      <c r="AJ122" s="464">
        <f>AJ121</f>
        <v>0</v>
      </c>
      <c r="AK122" s="869">
        <f>AK121</f>
        <v>0</v>
      </c>
      <c r="AL122" s="869">
        <f>AL121</f>
        <v>0</v>
      </c>
      <c r="AM122" s="205">
        <f t="shared" si="48"/>
        <v>0</v>
      </c>
      <c r="AN122" s="206"/>
      <c r="AQ122" s="1053"/>
      <c r="AR122" s="468"/>
    </row>
    <row r="123" spans="1:44" ht="19.5" thickBot="1">
      <c r="A123" s="624" t="s">
        <v>418</v>
      </c>
      <c r="B123" s="625">
        <f t="shared" ref="B123:R123" si="75">B18+B26+B80+B95+B103+B108+B113+B116+B122</f>
        <v>7339686</v>
      </c>
      <c r="C123" s="626">
        <f t="shared" si="75"/>
        <v>5629195</v>
      </c>
      <c r="D123" s="626">
        <f t="shared" si="75"/>
        <v>2993673</v>
      </c>
      <c r="E123" s="626">
        <f t="shared" si="75"/>
        <v>4777720</v>
      </c>
      <c r="F123" s="626">
        <f t="shared" si="75"/>
        <v>5226984</v>
      </c>
      <c r="G123" s="626">
        <f t="shared" si="75"/>
        <v>4144579</v>
      </c>
      <c r="H123" s="626">
        <f t="shared" si="75"/>
        <v>5025596</v>
      </c>
      <c r="I123" s="626">
        <f t="shared" si="75"/>
        <v>3871668</v>
      </c>
      <c r="J123" s="626">
        <f t="shared" si="75"/>
        <v>3911384</v>
      </c>
      <c r="K123" s="626">
        <f t="shared" si="75"/>
        <v>3882584</v>
      </c>
      <c r="L123" s="626">
        <f t="shared" si="75"/>
        <v>3683432</v>
      </c>
      <c r="M123" s="626">
        <f t="shared" si="75"/>
        <v>3253232</v>
      </c>
      <c r="N123" s="626">
        <f t="shared" si="75"/>
        <v>3683432</v>
      </c>
      <c r="O123" s="626">
        <f t="shared" si="75"/>
        <v>3253232</v>
      </c>
      <c r="P123" s="626">
        <f t="shared" si="75"/>
        <v>3253232</v>
      </c>
      <c r="Q123" s="626">
        <f t="shared" si="75"/>
        <v>3296432</v>
      </c>
      <c r="R123" s="626">
        <f t="shared" si="75"/>
        <v>2419901</v>
      </c>
      <c r="S123" s="626">
        <f>S18+S26+S80+S95+S103+S108+S113+S116+S122</f>
        <v>3920057</v>
      </c>
      <c r="T123" s="627">
        <f t="shared" ref="T123:AL123" si="76">T18+T26+T80+T95+T103+T108+T113+T116+T122</f>
        <v>73566019</v>
      </c>
      <c r="U123" s="625">
        <f t="shared" si="76"/>
        <v>688320</v>
      </c>
      <c r="V123" s="626">
        <f t="shared" si="76"/>
        <v>600000</v>
      </c>
      <c r="W123" s="626">
        <f>W18+W26+W80+W95+W103+W108+W113+W116+W122</f>
        <v>600000</v>
      </c>
      <c r="X123" s="626">
        <f t="shared" si="76"/>
        <v>932100</v>
      </c>
      <c r="Y123" s="626">
        <f t="shared" si="76"/>
        <v>286800</v>
      </c>
      <c r="Z123" s="626">
        <f t="shared" si="76"/>
        <v>3107220</v>
      </c>
      <c r="AA123" s="626">
        <f t="shared" si="76"/>
        <v>7356950</v>
      </c>
      <c r="AB123" s="626">
        <f t="shared" si="76"/>
        <v>0</v>
      </c>
      <c r="AC123" s="626">
        <f t="shared" si="76"/>
        <v>3602848</v>
      </c>
      <c r="AD123" s="626">
        <f t="shared" si="76"/>
        <v>3570147</v>
      </c>
      <c r="AE123" s="626">
        <f>AE18+AE26+AE80+AE95+AE103+AE108+AE113+AE116+AE122</f>
        <v>4264656</v>
      </c>
      <c r="AF123" s="626">
        <f t="shared" si="76"/>
        <v>3239733</v>
      </c>
      <c r="AG123" s="626">
        <f>AG18+AG26+AG80+AG95+AG103+AG108+AG113+AG116+AG122</f>
        <v>501900</v>
      </c>
      <c r="AH123" s="626">
        <f>AH18+AH26+AH80+AH95+AH103+AH108+AH113+AH116+AH122</f>
        <v>3508267</v>
      </c>
      <c r="AI123" s="626">
        <f t="shared" si="76"/>
        <v>2801000</v>
      </c>
      <c r="AJ123" s="626">
        <f>AJ18+AJ26+AJ80+AJ95+AJ103+AJ108+AJ113+AJ116+AJ122</f>
        <v>16705094</v>
      </c>
      <c r="AK123" s="626">
        <f t="shared" si="76"/>
        <v>0</v>
      </c>
      <c r="AL123" s="626">
        <f t="shared" si="76"/>
        <v>0</v>
      </c>
      <c r="AM123" s="941">
        <f>T123+Z123+AB123+AK123+AL123+AJ123+AA123</f>
        <v>100735283</v>
      </c>
      <c r="AN123" s="206">
        <f>SUM(AN4:AN122)</f>
        <v>93309383</v>
      </c>
      <c r="AO123" s="206">
        <f>SUM(AO4:AO122)</f>
        <v>93309383</v>
      </c>
      <c r="AP123" s="631">
        <f>SUM(AP4:AP122)</f>
        <v>7425900</v>
      </c>
      <c r="AQ123" s="1055">
        <v>97363142</v>
      </c>
      <c r="AR123" s="1056">
        <f>AQ123-AO123</f>
        <v>4053759</v>
      </c>
    </row>
    <row r="124" spans="1:44" ht="30.75" thickBot="1">
      <c r="A124" s="425" t="s">
        <v>419</v>
      </c>
      <c r="B124" s="942"/>
      <c r="C124" s="943"/>
      <c r="D124" s="943"/>
      <c r="E124" s="943"/>
      <c r="F124" s="943"/>
      <c r="G124" s="943"/>
      <c r="H124" s="943"/>
      <c r="I124" s="943"/>
      <c r="J124" s="943"/>
      <c r="K124" s="943"/>
      <c r="L124" s="853"/>
      <c r="M124" s="853"/>
      <c r="N124" s="853"/>
      <c r="O124" s="853"/>
      <c r="P124" s="853"/>
      <c r="Q124" s="854"/>
      <c r="R124" s="854"/>
      <c r="S124" s="855"/>
      <c r="T124" s="880">
        <f t="shared" ref="T124:T129" si="77">SUM(B124:R124)</f>
        <v>0</v>
      </c>
      <c r="U124" s="488"/>
      <c r="V124" s="489"/>
      <c r="W124" s="489"/>
      <c r="X124" s="489"/>
      <c r="Y124" s="489"/>
      <c r="Z124" s="490"/>
      <c r="AA124" s="499"/>
      <c r="AB124" s="881"/>
      <c r="AC124" s="882"/>
      <c r="AD124" s="496"/>
      <c r="AE124" s="496"/>
      <c r="AF124" s="496"/>
      <c r="AG124" s="496"/>
      <c r="AH124" s="496"/>
      <c r="AI124" s="1037"/>
      <c r="AJ124" s="497"/>
      <c r="AK124" s="883"/>
      <c r="AL124" s="883"/>
      <c r="AM124" s="205">
        <f t="shared" si="48"/>
        <v>0</v>
      </c>
      <c r="AN124" s="206"/>
      <c r="AQ124" s="1053"/>
      <c r="AR124" s="468"/>
    </row>
    <row r="125" spans="1:44" ht="30.75" thickBot="1">
      <c r="A125" s="320" t="s">
        <v>420</v>
      </c>
      <c r="B125" s="944"/>
      <c r="C125" s="945"/>
      <c r="D125" s="945"/>
      <c r="E125" s="945"/>
      <c r="F125" s="945"/>
      <c r="G125" s="945"/>
      <c r="H125" s="945"/>
      <c r="I125" s="945"/>
      <c r="J125" s="945"/>
      <c r="K125" s="945"/>
      <c r="L125" s="799"/>
      <c r="M125" s="799"/>
      <c r="N125" s="799"/>
      <c r="O125" s="799"/>
      <c r="P125" s="799"/>
      <c r="Q125" s="800"/>
      <c r="R125" s="800"/>
      <c r="S125" s="801"/>
      <c r="T125" s="892">
        <f t="shared" si="77"/>
        <v>0</v>
      </c>
      <c r="U125" s="518"/>
      <c r="V125" s="519"/>
      <c r="W125" s="519"/>
      <c r="X125" s="519"/>
      <c r="Y125" s="519"/>
      <c r="Z125" s="393"/>
      <c r="AA125" s="526"/>
      <c r="AB125" s="893"/>
      <c r="AC125" s="894"/>
      <c r="AD125" s="524"/>
      <c r="AE125" s="524"/>
      <c r="AF125" s="524"/>
      <c r="AG125" s="524"/>
      <c r="AH125" s="524"/>
      <c r="AI125" s="1039"/>
      <c r="AJ125" s="396"/>
      <c r="AK125" s="895"/>
      <c r="AL125" s="895"/>
      <c r="AM125" s="205">
        <f t="shared" si="48"/>
        <v>0</v>
      </c>
      <c r="AN125" s="206"/>
      <c r="AP125" s="1785"/>
      <c r="AQ125" s="1785"/>
      <c r="AR125" s="1785"/>
    </row>
    <row r="126" spans="1:44" ht="60.75" thickBot="1">
      <c r="A126" s="320" t="s">
        <v>421</v>
      </c>
      <c r="B126" s="944"/>
      <c r="C126" s="945"/>
      <c r="D126" s="945"/>
      <c r="E126" s="945"/>
      <c r="F126" s="945"/>
      <c r="G126" s="945"/>
      <c r="H126" s="945"/>
      <c r="I126" s="945"/>
      <c r="J126" s="945"/>
      <c r="K126" s="945"/>
      <c r="L126" s="799"/>
      <c r="M126" s="799"/>
      <c r="N126" s="799"/>
      <c r="O126" s="799"/>
      <c r="P126" s="799"/>
      <c r="Q126" s="800"/>
      <c r="R126" s="800"/>
      <c r="S126" s="801"/>
      <c r="T126" s="892">
        <f t="shared" si="77"/>
        <v>0</v>
      </c>
      <c r="U126" s="518"/>
      <c r="V126" s="519"/>
      <c r="W126" s="519"/>
      <c r="X126" s="519"/>
      <c r="Y126" s="519"/>
      <c r="Z126" s="393"/>
      <c r="AA126" s="526"/>
      <c r="AB126" s="893"/>
      <c r="AC126" s="894"/>
      <c r="AD126" s="524"/>
      <c r="AE126" s="524"/>
      <c r="AF126" s="524"/>
      <c r="AG126" s="524"/>
      <c r="AH126" s="524"/>
      <c r="AI126" s="1039"/>
      <c r="AJ126" s="396"/>
      <c r="AK126" s="895"/>
      <c r="AL126" s="895"/>
      <c r="AM126" s="205">
        <f t="shared" si="48"/>
        <v>0</v>
      </c>
      <c r="AN126" s="206"/>
      <c r="AQ126" s="1053"/>
      <c r="AR126" s="468"/>
    </row>
    <row r="127" spans="1:44" ht="30.75" thickBot="1">
      <c r="A127" s="320" t="s">
        <v>422</v>
      </c>
      <c r="B127" s="944"/>
      <c r="C127" s="945"/>
      <c r="D127" s="945"/>
      <c r="E127" s="945"/>
      <c r="F127" s="945"/>
      <c r="G127" s="945"/>
      <c r="H127" s="945"/>
      <c r="I127" s="945"/>
      <c r="J127" s="945"/>
      <c r="K127" s="945"/>
      <c r="L127" s="799"/>
      <c r="M127" s="799"/>
      <c r="N127" s="799"/>
      <c r="O127" s="799"/>
      <c r="P127" s="799"/>
      <c r="Q127" s="800"/>
      <c r="R127" s="800"/>
      <c r="S127" s="801"/>
      <c r="T127" s="892">
        <f t="shared" si="77"/>
        <v>0</v>
      </c>
      <c r="U127" s="518"/>
      <c r="V127" s="519"/>
      <c r="W127" s="519"/>
      <c r="X127" s="519"/>
      <c r="Y127" s="519"/>
      <c r="Z127" s="393"/>
      <c r="AA127" s="526"/>
      <c r="AB127" s="893"/>
      <c r="AC127" s="894"/>
      <c r="AD127" s="524"/>
      <c r="AE127" s="524"/>
      <c r="AF127" s="524"/>
      <c r="AG127" s="524"/>
      <c r="AH127" s="524"/>
      <c r="AI127" s="1039"/>
      <c r="AJ127" s="396"/>
      <c r="AK127" s="895"/>
      <c r="AL127" s="895"/>
      <c r="AM127" s="205">
        <f t="shared" si="48"/>
        <v>0</v>
      </c>
      <c r="AN127" s="206"/>
      <c r="AQ127" s="1053"/>
      <c r="AR127" s="468"/>
    </row>
    <row r="128" spans="1:44" ht="30.75" thickBot="1">
      <c r="A128" s="320" t="s">
        <v>423</v>
      </c>
      <c r="B128" s="944"/>
      <c r="C128" s="945"/>
      <c r="D128" s="945"/>
      <c r="E128" s="945"/>
      <c r="F128" s="945"/>
      <c r="G128" s="945"/>
      <c r="H128" s="945"/>
      <c r="I128" s="945"/>
      <c r="J128" s="945"/>
      <c r="K128" s="945"/>
      <c r="L128" s="799"/>
      <c r="M128" s="799"/>
      <c r="N128" s="799"/>
      <c r="O128" s="799"/>
      <c r="P128" s="799"/>
      <c r="Q128" s="800"/>
      <c r="R128" s="800"/>
      <c r="S128" s="801"/>
      <c r="T128" s="892">
        <f t="shared" si="77"/>
        <v>0</v>
      </c>
      <c r="U128" s="518"/>
      <c r="V128" s="519"/>
      <c r="W128" s="519"/>
      <c r="X128" s="519"/>
      <c r="Y128" s="519"/>
      <c r="Z128" s="393"/>
      <c r="AA128" s="526"/>
      <c r="AB128" s="893"/>
      <c r="AC128" s="894"/>
      <c r="AD128" s="524"/>
      <c r="AE128" s="524"/>
      <c r="AF128" s="524"/>
      <c r="AG128" s="524"/>
      <c r="AH128" s="524"/>
      <c r="AI128" s="1039"/>
      <c r="AJ128" s="396"/>
      <c r="AK128" s="895"/>
      <c r="AL128" s="895"/>
      <c r="AM128" s="205">
        <f t="shared" si="48"/>
        <v>0</v>
      </c>
      <c r="AN128" s="206"/>
      <c r="AQ128" s="1053"/>
      <c r="AR128" s="468"/>
    </row>
    <row r="129" spans="1:44" ht="30.75" thickBot="1">
      <c r="A129" s="320" t="s">
        <v>424</v>
      </c>
      <c r="B129" s="944"/>
      <c r="C129" s="945"/>
      <c r="D129" s="945"/>
      <c r="E129" s="945"/>
      <c r="F129" s="945"/>
      <c r="G129" s="945"/>
      <c r="H129" s="945"/>
      <c r="I129" s="945"/>
      <c r="J129" s="945"/>
      <c r="K129" s="945"/>
      <c r="L129" s="799"/>
      <c r="M129" s="799"/>
      <c r="N129" s="799"/>
      <c r="O129" s="799"/>
      <c r="P129" s="799"/>
      <c r="Q129" s="800"/>
      <c r="R129" s="800"/>
      <c r="S129" s="801"/>
      <c r="T129" s="892">
        <f t="shared" si="77"/>
        <v>0</v>
      </c>
      <c r="U129" s="518"/>
      <c r="V129" s="519"/>
      <c r="W129" s="519"/>
      <c r="X129" s="519"/>
      <c r="Y129" s="519"/>
      <c r="Z129" s="393"/>
      <c r="AA129" s="526"/>
      <c r="AB129" s="893"/>
      <c r="AC129" s="894"/>
      <c r="AD129" s="524"/>
      <c r="AE129" s="524"/>
      <c r="AF129" s="524"/>
      <c r="AG129" s="524"/>
      <c r="AH129" s="524"/>
      <c r="AI129" s="1039"/>
      <c r="AJ129" s="396"/>
      <c r="AK129" s="895"/>
      <c r="AL129" s="895"/>
      <c r="AM129" s="205">
        <f t="shared" si="48"/>
        <v>0</v>
      </c>
      <c r="AN129" s="206"/>
      <c r="AQ129" s="1053"/>
      <c r="AR129" s="468"/>
    </row>
    <row r="130" spans="1:44" ht="30.75" thickBot="1">
      <c r="A130" s="500" t="s">
        <v>425</v>
      </c>
      <c r="B130" s="946">
        <f t="shared" ref="B130:M130" si="78">SUM(B124:B129)</f>
        <v>0</v>
      </c>
      <c r="C130" s="947">
        <f t="shared" si="78"/>
        <v>0</v>
      </c>
      <c r="D130" s="947">
        <f t="shared" si="78"/>
        <v>0</v>
      </c>
      <c r="E130" s="947"/>
      <c r="F130" s="947"/>
      <c r="G130" s="947"/>
      <c r="H130" s="947"/>
      <c r="I130" s="947"/>
      <c r="J130" s="947">
        <f t="shared" si="78"/>
        <v>0</v>
      </c>
      <c r="K130" s="947"/>
      <c r="L130" s="885">
        <f t="shared" si="78"/>
        <v>0</v>
      </c>
      <c r="M130" s="885">
        <f t="shared" si="78"/>
        <v>0</v>
      </c>
      <c r="N130" s="885">
        <f>SUM(N124:N129)</f>
        <v>0</v>
      </c>
      <c r="O130" s="885"/>
      <c r="P130" s="885"/>
      <c r="Q130" s="886">
        <f>SUM(Q124:Q129)</f>
        <v>0</v>
      </c>
      <c r="R130" s="886"/>
      <c r="S130" s="887">
        <f>SUM(S124:S129)</f>
        <v>0</v>
      </c>
      <c r="T130" s="888">
        <f>SUM(T124:T129)</f>
        <v>0</v>
      </c>
      <c r="U130" s="504"/>
      <c r="V130" s="505"/>
      <c r="W130" s="505"/>
      <c r="X130" s="505"/>
      <c r="Y130" s="505"/>
      <c r="Z130" s="506">
        <f>SUM(Z124:Z129)</f>
        <v>0</v>
      </c>
      <c r="AA130" s="515">
        <f>SUM(AA124:AA129)</f>
        <v>0</v>
      </c>
      <c r="AB130" s="889">
        <f>SUM(AB124:AB129)</f>
        <v>0</v>
      </c>
      <c r="AC130" s="890"/>
      <c r="AD130" s="512"/>
      <c r="AE130" s="512"/>
      <c r="AF130" s="512"/>
      <c r="AG130" s="512"/>
      <c r="AH130" s="512"/>
      <c r="AI130" s="1038"/>
      <c r="AJ130" s="513">
        <f>SUM(AJ124:AJ129)</f>
        <v>0</v>
      </c>
      <c r="AK130" s="891">
        <f>SUM(AK124:AK129)</f>
        <v>0</v>
      </c>
      <c r="AL130" s="891">
        <f>SUM(AL124:AL129)</f>
        <v>0</v>
      </c>
      <c r="AM130" s="205">
        <f t="shared" si="48"/>
        <v>0</v>
      </c>
      <c r="AN130" s="206"/>
      <c r="AQ130" s="1053"/>
      <c r="AR130" s="468"/>
    </row>
    <row r="131" spans="1:44" ht="45.75" thickBot="1">
      <c r="A131" s="320" t="s">
        <v>426</v>
      </c>
      <c r="B131" s="944"/>
      <c r="C131" s="945"/>
      <c r="D131" s="945"/>
      <c r="E131" s="945"/>
      <c r="F131" s="945"/>
      <c r="G131" s="945"/>
      <c r="H131" s="945"/>
      <c r="I131" s="945"/>
      <c r="J131" s="945"/>
      <c r="K131" s="945"/>
      <c r="L131" s="799"/>
      <c r="M131" s="799"/>
      <c r="N131" s="799"/>
      <c r="O131" s="799"/>
      <c r="P131" s="799"/>
      <c r="Q131" s="800"/>
      <c r="R131" s="800"/>
      <c r="S131" s="801"/>
      <c r="T131" s="892">
        <f>SUM(B131:R131)</f>
        <v>0</v>
      </c>
      <c r="U131" s="518"/>
      <c r="V131" s="519"/>
      <c r="W131" s="519"/>
      <c r="X131" s="519"/>
      <c r="Y131" s="519"/>
      <c r="Z131" s="393"/>
      <c r="AA131" s="526"/>
      <c r="AB131" s="893"/>
      <c r="AC131" s="894"/>
      <c r="AD131" s="524"/>
      <c r="AE131" s="524"/>
      <c r="AF131" s="524"/>
      <c r="AG131" s="524"/>
      <c r="AH131" s="524"/>
      <c r="AI131" s="1039"/>
      <c r="AJ131" s="396"/>
      <c r="AK131" s="895"/>
      <c r="AL131" s="895"/>
      <c r="AM131" s="205">
        <f t="shared" si="48"/>
        <v>0</v>
      </c>
      <c r="AN131" s="206"/>
      <c r="AQ131" s="1053"/>
      <c r="AR131" s="468"/>
    </row>
    <row r="132" spans="1:44" ht="16.5" thickBot="1">
      <c r="A132" s="500" t="s">
        <v>427</v>
      </c>
      <c r="B132" s="946">
        <f t="shared" ref="B132:M132" si="79">B131</f>
        <v>0</v>
      </c>
      <c r="C132" s="947">
        <f t="shared" si="79"/>
        <v>0</v>
      </c>
      <c r="D132" s="947">
        <f t="shared" si="79"/>
        <v>0</v>
      </c>
      <c r="E132" s="947"/>
      <c r="F132" s="947"/>
      <c r="G132" s="947"/>
      <c r="H132" s="947"/>
      <c r="I132" s="947"/>
      <c r="J132" s="947">
        <f t="shared" si="79"/>
        <v>0</v>
      </c>
      <c r="K132" s="947"/>
      <c r="L132" s="885">
        <f t="shared" si="79"/>
        <v>0</v>
      </c>
      <c r="M132" s="885">
        <f t="shared" si="79"/>
        <v>0</v>
      </c>
      <c r="N132" s="885">
        <f>N131</f>
        <v>0</v>
      </c>
      <c r="O132" s="885"/>
      <c r="P132" s="885"/>
      <c r="Q132" s="886">
        <f>Q131</f>
        <v>0</v>
      </c>
      <c r="R132" s="886"/>
      <c r="S132" s="887">
        <f>S131</f>
        <v>0</v>
      </c>
      <c r="T132" s="888">
        <f>T131</f>
        <v>0</v>
      </c>
      <c r="U132" s="504"/>
      <c r="V132" s="505"/>
      <c r="W132" s="505"/>
      <c r="X132" s="505"/>
      <c r="Y132" s="505"/>
      <c r="Z132" s="506">
        <f>Z131</f>
        <v>0</v>
      </c>
      <c r="AA132" s="515">
        <f>AA131</f>
        <v>0</v>
      </c>
      <c r="AB132" s="889">
        <f>AB131</f>
        <v>0</v>
      </c>
      <c r="AC132" s="890"/>
      <c r="AD132" s="512"/>
      <c r="AE132" s="512"/>
      <c r="AF132" s="512"/>
      <c r="AG132" s="512"/>
      <c r="AH132" s="512"/>
      <c r="AI132" s="1038"/>
      <c r="AJ132" s="513">
        <f>AJ131</f>
        <v>0</v>
      </c>
      <c r="AK132" s="891">
        <f>AK131</f>
        <v>0</v>
      </c>
      <c r="AL132" s="891">
        <f>AL131</f>
        <v>0</v>
      </c>
      <c r="AM132" s="205">
        <f t="shared" si="48"/>
        <v>0</v>
      </c>
      <c r="AN132" s="206"/>
      <c r="AQ132" s="1053"/>
      <c r="AR132" s="468"/>
    </row>
    <row r="133" spans="1:44" ht="30.75" thickBot="1">
      <c r="A133" s="566" t="s">
        <v>428</v>
      </c>
      <c r="B133" s="948"/>
      <c r="C133" s="949"/>
      <c r="D133" s="949"/>
      <c r="E133" s="949"/>
      <c r="F133" s="949"/>
      <c r="G133" s="949"/>
      <c r="H133" s="949"/>
      <c r="I133" s="949"/>
      <c r="J133" s="949"/>
      <c r="K133" s="949"/>
      <c r="L133" s="897"/>
      <c r="M133" s="897"/>
      <c r="N133" s="897"/>
      <c r="O133" s="897"/>
      <c r="P133" s="897"/>
      <c r="Q133" s="898"/>
      <c r="R133" s="898"/>
      <c r="S133" s="899"/>
      <c r="T133" s="915">
        <f>SUM(B133:R133)</f>
        <v>0</v>
      </c>
      <c r="U133" s="570"/>
      <c r="V133" s="571"/>
      <c r="W133" s="571"/>
      <c r="X133" s="571"/>
      <c r="Y133" s="571"/>
      <c r="Z133" s="572"/>
      <c r="AA133" s="581"/>
      <c r="AB133" s="916"/>
      <c r="AC133" s="917"/>
      <c r="AD133" s="578"/>
      <c r="AE133" s="578"/>
      <c r="AF133" s="578"/>
      <c r="AG133" s="578"/>
      <c r="AH133" s="578"/>
      <c r="AI133" s="1042"/>
      <c r="AJ133" s="579"/>
      <c r="AK133" s="918"/>
      <c r="AL133" s="918"/>
      <c r="AM133" s="205">
        <f t="shared" ref="AM133:AM186" si="80">T133+Z133+AB133+AK133+AL133+AJ133+AA133</f>
        <v>0</v>
      </c>
      <c r="AN133" s="206"/>
      <c r="AQ133" s="1053"/>
      <c r="AR133" s="468"/>
    </row>
    <row r="134" spans="1:44" ht="32.25" thickBot="1">
      <c r="A134" s="451" t="s">
        <v>429</v>
      </c>
      <c r="B134" s="950">
        <f t="shared" ref="B134:M134" si="81">B130+B132+B133</f>
        <v>0</v>
      </c>
      <c r="C134" s="951">
        <f t="shared" si="81"/>
        <v>0</v>
      </c>
      <c r="D134" s="951">
        <f t="shared" si="81"/>
        <v>0</v>
      </c>
      <c r="E134" s="951"/>
      <c r="F134" s="951"/>
      <c r="G134" s="951"/>
      <c r="H134" s="951"/>
      <c r="I134" s="951"/>
      <c r="J134" s="951">
        <f t="shared" si="81"/>
        <v>0</v>
      </c>
      <c r="K134" s="951"/>
      <c r="L134" s="864">
        <f t="shared" si="81"/>
        <v>0</v>
      </c>
      <c r="M134" s="864">
        <f t="shared" si="81"/>
        <v>0</v>
      </c>
      <c r="N134" s="864">
        <f>N130+N132+N133</f>
        <v>0</v>
      </c>
      <c r="O134" s="864"/>
      <c r="P134" s="864"/>
      <c r="Q134" s="865">
        <f>Q130+Q132+Q133</f>
        <v>0</v>
      </c>
      <c r="R134" s="865"/>
      <c r="S134" s="866">
        <f>S130+S132+S133</f>
        <v>0</v>
      </c>
      <c r="T134" s="867">
        <f>T130+T132+T133</f>
        <v>0</v>
      </c>
      <c r="U134" s="455"/>
      <c r="V134" s="456"/>
      <c r="W134" s="456"/>
      <c r="X134" s="456"/>
      <c r="Y134" s="456"/>
      <c r="Z134" s="457">
        <f>Z130+Z132+Z133</f>
        <v>0</v>
      </c>
      <c r="AA134" s="466">
        <f>AA130+AA132+AA133</f>
        <v>0</v>
      </c>
      <c r="AB134" s="868">
        <f>AB130+AB132+AB133</f>
        <v>0</v>
      </c>
      <c r="AC134" s="462"/>
      <c r="AD134" s="463"/>
      <c r="AE134" s="463"/>
      <c r="AF134" s="463"/>
      <c r="AG134" s="463"/>
      <c r="AH134" s="463"/>
      <c r="AI134" s="1035"/>
      <c r="AJ134" s="464">
        <f>AJ130+AJ132+AJ133</f>
        <v>0</v>
      </c>
      <c r="AK134" s="869">
        <f>AK130+AK132+AK133</f>
        <v>0</v>
      </c>
      <c r="AL134" s="869">
        <f>AL130+AL132+AL133</f>
        <v>0</v>
      </c>
      <c r="AM134" s="205">
        <f t="shared" si="80"/>
        <v>0</v>
      </c>
      <c r="AN134" s="206"/>
      <c r="AQ134" s="1053"/>
      <c r="AR134" s="468"/>
    </row>
    <row r="135" spans="1:44" ht="30.75" thickBot="1">
      <c r="A135" s="599" t="s">
        <v>430</v>
      </c>
      <c r="B135" s="952"/>
      <c r="C135" s="953"/>
      <c r="D135" s="953"/>
      <c r="E135" s="953"/>
      <c r="F135" s="953"/>
      <c r="G135" s="953"/>
      <c r="H135" s="953"/>
      <c r="I135" s="953"/>
      <c r="J135" s="953"/>
      <c r="K135" s="953"/>
      <c r="L135" s="931"/>
      <c r="M135" s="931"/>
      <c r="N135" s="931"/>
      <c r="O135" s="931"/>
      <c r="P135" s="931"/>
      <c r="Q135" s="932"/>
      <c r="R135" s="932"/>
      <c r="S135" s="933"/>
      <c r="T135" s="765">
        <f>SUM(B135:R135)</f>
        <v>0</v>
      </c>
      <c r="U135" s="254"/>
      <c r="V135" s="255"/>
      <c r="W135" s="255"/>
      <c r="X135" s="255"/>
      <c r="Y135" s="255"/>
      <c r="Z135" s="605"/>
      <c r="AA135" s="618"/>
      <c r="AB135" s="937"/>
      <c r="AC135" s="261"/>
      <c r="AD135" s="262"/>
      <c r="AE135" s="262"/>
      <c r="AF135" s="262"/>
      <c r="AG135" s="262"/>
      <c r="AH135" s="262"/>
      <c r="AI135" s="1023"/>
      <c r="AJ135" s="612"/>
      <c r="AK135" s="938"/>
      <c r="AL135" s="938"/>
      <c r="AM135" s="205">
        <f t="shared" si="80"/>
        <v>0</v>
      </c>
      <c r="AN135" s="206"/>
      <c r="AQ135" s="1053"/>
      <c r="AR135" s="468"/>
    </row>
    <row r="136" spans="1:44" ht="16.5" thickBot="1">
      <c r="A136" s="599" t="s">
        <v>431</v>
      </c>
      <c r="B136" s="952"/>
      <c r="C136" s="953"/>
      <c r="D136" s="953"/>
      <c r="E136" s="953"/>
      <c r="F136" s="953"/>
      <c r="G136" s="953"/>
      <c r="H136" s="953"/>
      <c r="I136" s="953"/>
      <c r="J136" s="953"/>
      <c r="K136" s="953"/>
      <c r="L136" s="931"/>
      <c r="M136" s="931"/>
      <c r="N136" s="931"/>
      <c r="O136" s="931"/>
      <c r="P136" s="931"/>
      <c r="Q136" s="932"/>
      <c r="R136" s="932"/>
      <c r="S136" s="933"/>
      <c r="T136" s="765">
        <f>SUM(B136:R136)</f>
        <v>0</v>
      </c>
      <c r="U136" s="254"/>
      <c r="V136" s="255"/>
      <c r="W136" s="255"/>
      <c r="X136" s="255"/>
      <c r="Y136" s="255"/>
      <c r="Z136" s="605"/>
      <c r="AA136" s="618"/>
      <c r="AB136" s="937"/>
      <c r="AC136" s="261"/>
      <c r="AD136" s="262"/>
      <c r="AE136" s="262"/>
      <c r="AF136" s="262"/>
      <c r="AG136" s="262"/>
      <c r="AH136" s="262"/>
      <c r="AI136" s="1023"/>
      <c r="AJ136" s="612"/>
      <c r="AK136" s="938"/>
      <c r="AL136" s="938"/>
      <c r="AM136" s="205">
        <f t="shared" si="80"/>
        <v>0</v>
      </c>
      <c r="AN136" s="206"/>
      <c r="AQ136" s="1053"/>
      <c r="AR136" s="468"/>
    </row>
    <row r="137" spans="1:44" ht="30.75" thickBot="1">
      <c r="A137" s="599" t="s">
        <v>432</v>
      </c>
      <c r="B137" s="952"/>
      <c r="C137" s="953"/>
      <c r="D137" s="953"/>
      <c r="E137" s="953"/>
      <c r="F137" s="953"/>
      <c r="G137" s="953"/>
      <c r="H137" s="953"/>
      <c r="I137" s="953"/>
      <c r="J137" s="953"/>
      <c r="K137" s="953"/>
      <c r="L137" s="931"/>
      <c r="M137" s="931"/>
      <c r="N137" s="931"/>
      <c r="O137" s="931"/>
      <c r="P137" s="931"/>
      <c r="Q137" s="932"/>
      <c r="R137" s="932"/>
      <c r="S137" s="933"/>
      <c r="T137" s="765">
        <f>SUM(B137:R137)</f>
        <v>0</v>
      </c>
      <c r="U137" s="254"/>
      <c r="V137" s="255"/>
      <c r="W137" s="255"/>
      <c r="X137" s="255"/>
      <c r="Y137" s="255"/>
      <c r="Z137" s="605"/>
      <c r="AA137" s="618"/>
      <c r="AB137" s="937"/>
      <c r="AC137" s="261"/>
      <c r="AD137" s="262"/>
      <c r="AE137" s="262"/>
      <c r="AF137" s="262"/>
      <c r="AG137" s="262"/>
      <c r="AH137" s="262"/>
      <c r="AI137" s="1023"/>
      <c r="AJ137" s="612"/>
      <c r="AK137" s="938"/>
      <c r="AL137" s="938"/>
      <c r="AM137" s="205">
        <f t="shared" si="80"/>
        <v>0</v>
      </c>
      <c r="AN137" s="206"/>
      <c r="AQ137" s="1053"/>
      <c r="AR137" s="468"/>
    </row>
    <row r="138" spans="1:44" ht="30.75" thickBot="1">
      <c r="A138" s="350" t="s">
        <v>433</v>
      </c>
      <c r="B138" s="954">
        <f t="shared" ref="B138:M138" si="82">SUM(B135:B137)</f>
        <v>0</v>
      </c>
      <c r="C138" s="955">
        <f t="shared" si="82"/>
        <v>0</v>
      </c>
      <c r="D138" s="955">
        <f t="shared" si="82"/>
        <v>0</v>
      </c>
      <c r="E138" s="955"/>
      <c r="F138" s="955"/>
      <c r="G138" s="955"/>
      <c r="H138" s="955"/>
      <c r="I138" s="955"/>
      <c r="J138" s="955">
        <f t="shared" si="82"/>
        <v>0</v>
      </c>
      <c r="K138" s="955"/>
      <c r="L138" s="814">
        <f t="shared" si="82"/>
        <v>0</v>
      </c>
      <c r="M138" s="814">
        <f t="shared" si="82"/>
        <v>0</v>
      </c>
      <c r="N138" s="814">
        <f>SUM(N135:N137)</f>
        <v>0</v>
      </c>
      <c r="O138" s="814"/>
      <c r="P138" s="814"/>
      <c r="Q138" s="815">
        <f>SUM(Q135:Q137)</f>
        <v>0</v>
      </c>
      <c r="R138" s="815"/>
      <c r="S138" s="816">
        <f>SUM(S135:S137)</f>
        <v>0</v>
      </c>
      <c r="T138" s="817">
        <f>SUM(T135:T137)</f>
        <v>0</v>
      </c>
      <c r="U138" s="424"/>
      <c r="V138" s="354"/>
      <c r="W138" s="354"/>
      <c r="X138" s="354"/>
      <c r="Y138" s="354"/>
      <c r="Z138" s="256">
        <f>SUM(Z135:Z137)</f>
        <v>0</v>
      </c>
      <c r="AA138" s="360">
        <f>SUM(AA135:AA137)</f>
        <v>0</v>
      </c>
      <c r="AB138" s="818">
        <f>SUM(AB135:AB137)</f>
        <v>0</v>
      </c>
      <c r="AC138" s="357"/>
      <c r="AD138" s="358"/>
      <c r="AE138" s="358"/>
      <c r="AF138" s="358"/>
      <c r="AG138" s="358"/>
      <c r="AH138" s="358"/>
      <c r="AI138" s="1034"/>
      <c r="AJ138" s="263">
        <f>SUM(AJ135:AJ137)</f>
        <v>0</v>
      </c>
      <c r="AK138" s="820">
        <f>SUM(AK135:AK137)</f>
        <v>0</v>
      </c>
      <c r="AL138" s="820">
        <f>SUM(AL135:AL137)</f>
        <v>0</v>
      </c>
      <c r="AM138" s="205">
        <f t="shared" si="80"/>
        <v>0</v>
      </c>
      <c r="AN138" s="206"/>
      <c r="AQ138" s="1053"/>
      <c r="AR138" s="468"/>
    </row>
    <row r="139" spans="1:44" ht="30.75" thickBot="1">
      <c r="A139" s="350" t="s">
        <v>434</v>
      </c>
      <c r="B139" s="954"/>
      <c r="C139" s="955"/>
      <c r="D139" s="955"/>
      <c r="E139" s="955"/>
      <c r="F139" s="955"/>
      <c r="G139" s="955"/>
      <c r="H139" s="955"/>
      <c r="I139" s="955"/>
      <c r="J139" s="955"/>
      <c r="K139" s="955"/>
      <c r="L139" s="814"/>
      <c r="M139" s="814"/>
      <c r="N139" s="814"/>
      <c r="O139" s="814"/>
      <c r="P139" s="814"/>
      <c r="Q139" s="815"/>
      <c r="R139" s="815"/>
      <c r="S139" s="816"/>
      <c r="T139" s="765">
        <f>SUM(B139:R139)</f>
        <v>0</v>
      </c>
      <c r="U139" s="254"/>
      <c r="V139" s="255"/>
      <c r="W139" s="255"/>
      <c r="X139" s="255"/>
      <c r="Y139" s="255"/>
      <c r="Z139" s="256"/>
      <c r="AA139" s="265"/>
      <c r="AB139" s="766"/>
      <c r="AC139" s="261"/>
      <c r="AD139" s="262"/>
      <c r="AE139" s="262"/>
      <c r="AF139" s="262"/>
      <c r="AG139" s="262"/>
      <c r="AH139" s="262"/>
      <c r="AI139" s="1023"/>
      <c r="AJ139" s="263"/>
      <c r="AK139" s="768"/>
      <c r="AL139" s="768"/>
      <c r="AM139" s="205">
        <f t="shared" si="80"/>
        <v>0</v>
      </c>
      <c r="AN139" s="206"/>
      <c r="AQ139" s="1053"/>
      <c r="AR139" s="468"/>
    </row>
    <row r="140" spans="1:44" ht="32.25" thickBot="1">
      <c r="A140" s="451" t="s">
        <v>435</v>
      </c>
      <c r="B140" s="950">
        <f t="shared" ref="B140:M140" si="83">B138+B139</f>
        <v>0</v>
      </c>
      <c r="C140" s="951">
        <f t="shared" si="83"/>
        <v>0</v>
      </c>
      <c r="D140" s="951">
        <f t="shared" si="83"/>
        <v>0</v>
      </c>
      <c r="E140" s="951"/>
      <c r="F140" s="951"/>
      <c r="G140" s="951"/>
      <c r="H140" s="951"/>
      <c r="I140" s="951"/>
      <c r="J140" s="951">
        <f t="shared" si="83"/>
        <v>0</v>
      </c>
      <c r="K140" s="951"/>
      <c r="L140" s="864">
        <f t="shared" si="83"/>
        <v>0</v>
      </c>
      <c r="M140" s="864">
        <f t="shared" si="83"/>
        <v>0</v>
      </c>
      <c r="N140" s="864">
        <f>N138+N139</f>
        <v>0</v>
      </c>
      <c r="O140" s="864"/>
      <c r="P140" s="864"/>
      <c r="Q140" s="865">
        <f>Q138+Q139</f>
        <v>0</v>
      </c>
      <c r="R140" s="865"/>
      <c r="S140" s="866">
        <f>S138+S139</f>
        <v>0</v>
      </c>
      <c r="T140" s="867">
        <f>T138+T139</f>
        <v>0</v>
      </c>
      <c r="U140" s="455"/>
      <c r="V140" s="456"/>
      <c r="W140" s="456"/>
      <c r="X140" s="456"/>
      <c r="Y140" s="456"/>
      <c r="Z140" s="457">
        <f>Z138+Z139</f>
        <v>0</v>
      </c>
      <c r="AA140" s="466">
        <f>AA138+AA139</f>
        <v>0</v>
      </c>
      <c r="AB140" s="868">
        <f>AB138+AB139</f>
        <v>0</v>
      </c>
      <c r="AC140" s="462"/>
      <c r="AD140" s="463"/>
      <c r="AE140" s="463"/>
      <c r="AF140" s="463"/>
      <c r="AG140" s="463"/>
      <c r="AH140" s="463"/>
      <c r="AI140" s="1035"/>
      <c r="AJ140" s="464">
        <f>AJ138+AJ139</f>
        <v>0</v>
      </c>
      <c r="AK140" s="869">
        <f>AK138+AK139</f>
        <v>0</v>
      </c>
      <c r="AL140" s="869">
        <f>AL138+AL139</f>
        <v>0</v>
      </c>
      <c r="AM140" s="205">
        <f t="shared" si="80"/>
        <v>0</v>
      </c>
      <c r="AN140" s="206"/>
      <c r="AQ140" s="1053"/>
      <c r="AR140" s="468"/>
    </row>
    <row r="141" spans="1:44" ht="16.5" thickBot="1">
      <c r="A141" s="632" t="s">
        <v>436</v>
      </c>
      <c r="B141" s="956"/>
      <c r="C141" s="957"/>
      <c r="D141" s="957"/>
      <c r="E141" s="957"/>
      <c r="F141" s="957"/>
      <c r="G141" s="957"/>
      <c r="H141" s="957"/>
      <c r="I141" s="957"/>
      <c r="J141" s="957"/>
      <c r="K141" s="957"/>
      <c r="L141" s="958"/>
      <c r="M141" s="958"/>
      <c r="N141" s="958"/>
      <c r="O141" s="958"/>
      <c r="P141" s="958"/>
      <c r="Q141" s="959"/>
      <c r="R141" s="959"/>
      <c r="S141" s="960"/>
      <c r="T141" s="765">
        <f>SUM(B141:R141)</f>
        <v>0</v>
      </c>
      <c r="U141" s="254"/>
      <c r="V141" s="255"/>
      <c r="W141" s="255"/>
      <c r="X141" s="255"/>
      <c r="Y141" s="255"/>
      <c r="Z141" s="635"/>
      <c r="AA141" s="640"/>
      <c r="AB141" s="961"/>
      <c r="AC141" s="261"/>
      <c r="AD141" s="262"/>
      <c r="AE141" s="262"/>
      <c r="AF141" s="262"/>
      <c r="AG141" s="262"/>
      <c r="AH141" s="262"/>
      <c r="AI141" s="1023"/>
      <c r="AJ141" s="638"/>
      <c r="AK141" s="962"/>
      <c r="AL141" s="962"/>
      <c r="AM141" s="205">
        <f t="shared" si="80"/>
        <v>0</v>
      </c>
      <c r="AN141" s="206"/>
      <c r="AQ141" s="1053"/>
      <c r="AR141" s="468"/>
    </row>
    <row r="142" spans="1:44" ht="30.75" thickBot="1">
      <c r="A142" s="599" t="s">
        <v>437</v>
      </c>
      <c r="B142" s="952"/>
      <c r="C142" s="953"/>
      <c r="D142" s="953"/>
      <c r="E142" s="953"/>
      <c r="F142" s="953"/>
      <c r="G142" s="953"/>
      <c r="H142" s="953"/>
      <c r="I142" s="953"/>
      <c r="J142" s="953"/>
      <c r="K142" s="953"/>
      <c r="L142" s="931"/>
      <c r="M142" s="931"/>
      <c r="N142" s="931"/>
      <c r="O142" s="931"/>
      <c r="P142" s="931"/>
      <c r="Q142" s="932"/>
      <c r="R142" s="932"/>
      <c r="S142" s="933"/>
      <c r="T142" s="765">
        <f>SUM(B142:R142)</f>
        <v>0</v>
      </c>
      <c r="U142" s="254"/>
      <c r="V142" s="255"/>
      <c r="W142" s="255"/>
      <c r="X142" s="255"/>
      <c r="Y142" s="255"/>
      <c r="Z142" s="605"/>
      <c r="AA142" s="618"/>
      <c r="AB142" s="937"/>
      <c r="AC142" s="261"/>
      <c r="AD142" s="262"/>
      <c r="AE142" s="262"/>
      <c r="AF142" s="262"/>
      <c r="AG142" s="262"/>
      <c r="AH142" s="262"/>
      <c r="AI142" s="1023"/>
      <c r="AJ142" s="612"/>
      <c r="AK142" s="938"/>
      <c r="AL142" s="938"/>
      <c r="AM142" s="205">
        <f t="shared" si="80"/>
        <v>0</v>
      </c>
      <c r="AN142" s="206"/>
      <c r="AQ142" s="1053"/>
      <c r="AR142" s="468"/>
    </row>
    <row r="143" spans="1:44" ht="16.5" thickBot="1">
      <c r="A143" s="350" t="s">
        <v>438</v>
      </c>
      <c r="B143" s="954">
        <f t="shared" ref="B143:M143" si="84">SUM(B141:B142)</f>
        <v>0</v>
      </c>
      <c r="C143" s="955">
        <f t="shared" si="84"/>
        <v>0</v>
      </c>
      <c r="D143" s="955">
        <f t="shared" si="84"/>
        <v>0</v>
      </c>
      <c r="E143" s="955"/>
      <c r="F143" s="955"/>
      <c r="G143" s="955"/>
      <c r="H143" s="955"/>
      <c r="I143" s="955"/>
      <c r="J143" s="955">
        <f t="shared" si="84"/>
        <v>0</v>
      </c>
      <c r="K143" s="955"/>
      <c r="L143" s="814">
        <f t="shared" si="84"/>
        <v>0</v>
      </c>
      <c r="M143" s="814">
        <f t="shared" si="84"/>
        <v>0</v>
      </c>
      <c r="N143" s="814">
        <f>SUM(N141:N142)</f>
        <v>0</v>
      </c>
      <c r="O143" s="814"/>
      <c r="P143" s="814"/>
      <c r="Q143" s="815">
        <f>SUM(Q141:Q142)</f>
        <v>0</v>
      </c>
      <c r="R143" s="815"/>
      <c r="S143" s="816">
        <f>SUM(S141:S142)</f>
        <v>0</v>
      </c>
      <c r="T143" s="817">
        <f>SUM(T141:T142)</f>
        <v>0</v>
      </c>
      <c r="U143" s="424"/>
      <c r="V143" s="354"/>
      <c r="W143" s="354"/>
      <c r="X143" s="354"/>
      <c r="Y143" s="354"/>
      <c r="Z143" s="256">
        <f>SUM(Z141:Z142)</f>
        <v>0</v>
      </c>
      <c r="AA143" s="360">
        <f>SUM(AA141:AA142)</f>
        <v>0</v>
      </c>
      <c r="AB143" s="818">
        <f>SUM(AB141:AB142)</f>
        <v>0</v>
      </c>
      <c r="AC143" s="357"/>
      <c r="AD143" s="358"/>
      <c r="AE143" s="358"/>
      <c r="AF143" s="358"/>
      <c r="AG143" s="358"/>
      <c r="AH143" s="358"/>
      <c r="AI143" s="1034"/>
      <c r="AJ143" s="263">
        <f>SUM(AJ141:AJ142)</f>
        <v>0</v>
      </c>
      <c r="AK143" s="820">
        <f>SUM(AK141:AK142)</f>
        <v>0</v>
      </c>
      <c r="AL143" s="820">
        <f>SUM(AL141:AL142)</f>
        <v>0</v>
      </c>
      <c r="AM143" s="205">
        <f t="shared" si="80"/>
        <v>0</v>
      </c>
      <c r="AN143" s="206"/>
      <c r="AQ143" s="1053"/>
      <c r="AR143" s="468"/>
    </row>
    <row r="144" spans="1:44" ht="30.75" thickBot="1">
      <c r="A144" s="593" t="s">
        <v>439</v>
      </c>
      <c r="B144" s="963"/>
      <c r="C144" s="964"/>
      <c r="D144" s="964"/>
      <c r="E144" s="964"/>
      <c r="F144" s="964"/>
      <c r="G144" s="964"/>
      <c r="H144" s="964"/>
      <c r="I144" s="964"/>
      <c r="J144" s="964"/>
      <c r="K144" s="964"/>
      <c r="L144" s="927"/>
      <c r="M144" s="927"/>
      <c r="N144" s="927"/>
      <c r="O144" s="927"/>
      <c r="P144" s="927"/>
      <c r="Q144" s="928"/>
      <c r="R144" s="928"/>
      <c r="S144" s="929"/>
      <c r="T144" s="765">
        <f>SUM(B144:R144)</f>
        <v>0</v>
      </c>
      <c r="U144" s="254"/>
      <c r="V144" s="255"/>
      <c r="W144" s="255"/>
      <c r="X144" s="255"/>
      <c r="Y144" s="255"/>
      <c r="Z144" s="596"/>
      <c r="AA144" s="644"/>
      <c r="AB144" s="965"/>
      <c r="AC144" s="261"/>
      <c r="AD144" s="262"/>
      <c r="AE144" s="262"/>
      <c r="AF144" s="262"/>
      <c r="AG144" s="262"/>
      <c r="AH144" s="262"/>
      <c r="AI144" s="1023"/>
      <c r="AJ144" s="598"/>
      <c r="AK144" s="966"/>
      <c r="AL144" s="966"/>
      <c r="AM144" s="205">
        <f t="shared" si="80"/>
        <v>0</v>
      </c>
      <c r="AN144" s="206"/>
      <c r="AQ144" s="1053"/>
      <c r="AR144" s="468"/>
    </row>
    <row r="145" spans="1:44" ht="30.75" thickBot="1">
      <c r="A145" s="646" t="s">
        <v>440</v>
      </c>
      <c r="B145" s="963"/>
      <c r="C145" s="964"/>
      <c r="D145" s="964"/>
      <c r="E145" s="964"/>
      <c r="F145" s="964"/>
      <c r="G145" s="964"/>
      <c r="H145" s="964"/>
      <c r="I145" s="964"/>
      <c r="J145" s="964"/>
      <c r="K145" s="964"/>
      <c r="L145" s="927"/>
      <c r="M145" s="927"/>
      <c r="N145" s="927"/>
      <c r="O145" s="927"/>
      <c r="P145" s="927"/>
      <c r="Q145" s="928"/>
      <c r="R145" s="928"/>
      <c r="S145" s="929"/>
      <c r="T145" s="765">
        <f>SUM(B145:R145)</f>
        <v>0</v>
      </c>
      <c r="U145" s="254"/>
      <c r="V145" s="255"/>
      <c r="W145" s="255"/>
      <c r="X145" s="255"/>
      <c r="Y145" s="255"/>
      <c r="Z145" s="596"/>
      <c r="AA145" s="644"/>
      <c r="AB145" s="965"/>
      <c r="AC145" s="261"/>
      <c r="AD145" s="262"/>
      <c r="AE145" s="262"/>
      <c r="AF145" s="262"/>
      <c r="AG145" s="262"/>
      <c r="AH145" s="262"/>
      <c r="AI145" s="1023"/>
      <c r="AJ145" s="598"/>
      <c r="AK145" s="966"/>
      <c r="AL145" s="966"/>
      <c r="AM145" s="205">
        <f t="shared" si="80"/>
        <v>0</v>
      </c>
      <c r="AN145" s="206"/>
      <c r="AQ145" s="1053"/>
      <c r="AR145" s="468"/>
    </row>
    <row r="146" spans="1:44" ht="16.5" thickBot="1">
      <c r="A146" s="599" t="s">
        <v>441</v>
      </c>
      <c r="B146" s="952">
        <f t="shared" ref="B146:M146" si="85">SUM(B144:B145)</f>
        <v>0</v>
      </c>
      <c r="C146" s="953">
        <f t="shared" si="85"/>
        <v>0</v>
      </c>
      <c r="D146" s="953">
        <f t="shared" si="85"/>
        <v>0</v>
      </c>
      <c r="E146" s="953"/>
      <c r="F146" s="953"/>
      <c r="G146" s="953"/>
      <c r="H146" s="953"/>
      <c r="I146" s="953"/>
      <c r="J146" s="953">
        <f t="shared" si="85"/>
        <v>0</v>
      </c>
      <c r="K146" s="953"/>
      <c r="L146" s="931">
        <f t="shared" si="85"/>
        <v>0</v>
      </c>
      <c r="M146" s="931">
        <f t="shared" si="85"/>
        <v>0</v>
      </c>
      <c r="N146" s="931">
        <f>SUM(N144:N145)</f>
        <v>0</v>
      </c>
      <c r="O146" s="931"/>
      <c r="P146" s="931"/>
      <c r="Q146" s="932">
        <f>SUM(Q144:Q145)</f>
        <v>0</v>
      </c>
      <c r="R146" s="932"/>
      <c r="S146" s="933">
        <f>SUM(S144:S145)</f>
        <v>0</v>
      </c>
      <c r="T146" s="934">
        <f>SUM(T144:T145)</f>
        <v>0</v>
      </c>
      <c r="U146" s="603"/>
      <c r="V146" s="604"/>
      <c r="W146" s="604"/>
      <c r="X146" s="604"/>
      <c r="Y146" s="604"/>
      <c r="Z146" s="605">
        <f>SUM(Z144:Z145)</f>
        <v>0</v>
      </c>
      <c r="AA146" s="614">
        <f>SUM(AA144:AA145)</f>
        <v>0</v>
      </c>
      <c r="AB146" s="935">
        <f>SUM(AB144:AB145)</f>
        <v>0</v>
      </c>
      <c r="AC146" s="610"/>
      <c r="AD146" s="611"/>
      <c r="AE146" s="611"/>
      <c r="AF146" s="611"/>
      <c r="AG146" s="611"/>
      <c r="AH146" s="611"/>
      <c r="AI146" s="1043"/>
      <c r="AJ146" s="612">
        <f>SUM(AJ144:AJ145)</f>
        <v>0</v>
      </c>
      <c r="AK146" s="936">
        <f>SUM(AK144:AK145)</f>
        <v>0</v>
      </c>
      <c r="AL146" s="936">
        <f>SUM(AL144:AL145)</f>
        <v>0</v>
      </c>
      <c r="AM146" s="205">
        <f t="shared" si="80"/>
        <v>0</v>
      </c>
      <c r="AN146" s="206"/>
      <c r="AQ146" s="1053"/>
      <c r="AR146" s="468"/>
    </row>
    <row r="147" spans="1:44" ht="30.75" thickBot="1">
      <c r="A147" s="646" t="s">
        <v>442</v>
      </c>
      <c r="B147" s="967"/>
      <c r="C147" s="968"/>
      <c r="D147" s="968"/>
      <c r="E147" s="968"/>
      <c r="F147" s="968"/>
      <c r="G147" s="968"/>
      <c r="H147" s="968"/>
      <c r="I147" s="968"/>
      <c r="J147" s="968"/>
      <c r="K147" s="968"/>
      <c r="L147" s="969"/>
      <c r="M147" s="969"/>
      <c r="N147" s="969"/>
      <c r="O147" s="969"/>
      <c r="P147" s="969"/>
      <c r="Q147" s="970"/>
      <c r="R147" s="970"/>
      <c r="S147" s="971"/>
      <c r="T147" s="765">
        <f>SUM(B147:R147)</f>
        <v>0</v>
      </c>
      <c r="U147" s="254"/>
      <c r="V147" s="255"/>
      <c r="W147" s="255"/>
      <c r="X147" s="255"/>
      <c r="Y147" s="255"/>
      <c r="Z147" s="649"/>
      <c r="AA147" s="265"/>
      <c r="AB147" s="766"/>
      <c r="AC147" s="261"/>
      <c r="AD147" s="262"/>
      <c r="AE147" s="262"/>
      <c r="AF147" s="262"/>
      <c r="AG147" s="262"/>
      <c r="AH147" s="262"/>
      <c r="AI147" s="1023"/>
      <c r="AJ147" s="651"/>
      <c r="AK147" s="768"/>
      <c r="AL147" s="768"/>
      <c r="AM147" s="205">
        <f t="shared" si="80"/>
        <v>0</v>
      </c>
      <c r="AN147" s="206"/>
      <c r="AQ147" s="1053"/>
      <c r="AR147" s="468"/>
    </row>
    <row r="148" spans="1:44" ht="30.75" thickBot="1">
      <c r="A148" s="646" t="s">
        <v>443</v>
      </c>
      <c r="B148" s="967"/>
      <c r="C148" s="968"/>
      <c r="D148" s="968"/>
      <c r="E148" s="968"/>
      <c r="F148" s="968"/>
      <c r="G148" s="968"/>
      <c r="H148" s="968"/>
      <c r="I148" s="968"/>
      <c r="J148" s="968"/>
      <c r="K148" s="968"/>
      <c r="L148" s="969"/>
      <c r="M148" s="969"/>
      <c r="N148" s="969"/>
      <c r="O148" s="969"/>
      <c r="P148" s="969"/>
      <c r="Q148" s="970"/>
      <c r="R148" s="970"/>
      <c r="S148" s="971"/>
      <c r="T148" s="765">
        <f>SUM(B148:R148)</f>
        <v>0</v>
      </c>
      <c r="U148" s="254"/>
      <c r="V148" s="255"/>
      <c r="W148" s="255"/>
      <c r="X148" s="255"/>
      <c r="Y148" s="255"/>
      <c r="Z148" s="649"/>
      <c r="AA148" s="265"/>
      <c r="AB148" s="766"/>
      <c r="AC148" s="261"/>
      <c r="AD148" s="262"/>
      <c r="AE148" s="262"/>
      <c r="AF148" s="262"/>
      <c r="AG148" s="262"/>
      <c r="AH148" s="262"/>
      <c r="AI148" s="1023"/>
      <c r="AJ148" s="651"/>
      <c r="AK148" s="768"/>
      <c r="AL148" s="768"/>
      <c r="AM148" s="205">
        <f t="shared" si="80"/>
        <v>0</v>
      </c>
      <c r="AN148" s="206"/>
      <c r="AQ148" s="1053"/>
      <c r="AR148" s="468"/>
    </row>
    <row r="149" spans="1:44" ht="16.5" thickBot="1">
      <c r="A149" s="599" t="s">
        <v>444</v>
      </c>
      <c r="B149" s="952">
        <f t="shared" ref="B149:M149" si="86">SUM(B147:B148)</f>
        <v>0</v>
      </c>
      <c r="C149" s="953">
        <f t="shared" si="86"/>
        <v>0</v>
      </c>
      <c r="D149" s="953">
        <f t="shared" si="86"/>
        <v>0</v>
      </c>
      <c r="E149" s="953"/>
      <c r="F149" s="953"/>
      <c r="G149" s="953"/>
      <c r="H149" s="953"/>
      <c r="I149" s="953"/>
      <c r="J149" s="953">
        <f t="shared" si="86"/>
        <v>0</v>
      </c>
      <c r="K149" s="953"/>
      <c r="L149" s="931">
        <f t="shared" si="86"/>
        <v>0</v>
      </c>
      <c r="M149" s="931">
        <f t="shared" si="86"/>
        <v>0</v>
      </c>
      <c r="N149" s="931">
        <f>SUM(N147:N148)</f>
        <v>0</v>
      </c>
      <c r="O149" s="931"/>
      <c r="P149" s="931"/>
      <c r="Q149" s="932">
        <f>SUM(Q147:Q148)</f>
        <v>0</v>
      </c>
      <c r="R149" s="932"/>
      <c r="S149" s="933">
        <f>SUM(S147:S148)</f>
        <v>0</v>
      </c>
      <c r="T149" s="934">
        <f>SUM(T147:T148)</f>
        <v>0</v>
      </c>
      <c r="U149" s="603"/>
      <c r="V149" s="604"/>
      <c r="W149" s="604"/>
      <c r="X149" s="604"/>
      <c r="Y149" s="604"/>
      <c r="Z149" s="605">
        <f>SUM(Z147:Z148)</f>
        <v>0</v>
      </c>
      <c r="AA149" s="614">
        <f>SUM(AA147:AA148)</f>
        <v>0</v>
      </c>
      <c r="AB149" s="935">
        <f>SUM(AB147:AB148)</f>
        <v>0</v>
      </c>
      <c r="AC149" s="610"/>
      <c r="AD149" s="611"/>
      <c r="AE149" s="611"/>
      <c r="AF149" s="611"/>
      <c r="AG149" s="611"/>
      <c r="AH149" s="611"/>
      <c r="AI149" s="1043"/>
      <c r="AJ149" s="612">
        <f>SUM(AJ147:AJ148)</f>
        <v>0</v>
      </c>
      <c r="AK149" s="936">
        <f>SUM(AK147:AK148)</f>
        <v>0</v>
      </c>
      <c r="AL149" s="936">
        <f>SUM(AL147:AL148)</f>
        <v>0</v>
      </c>
      <c r="AM149" s="205">
        <f t="shared" si="80"/>
        <v>0</v>
      </c>
      <c r="AN149" s="206"/>
      <c r="AQ149" s="1053"/>
      <c r="AR149" s="468"/>
    </row>
    <row r="150" spans="1:44" ht="16.5" thickBot="1">
      <c r="A150" s="646" t="s">
        <v>445</v>
      </c>
      <c r="B150" s="967"/>
      <c r="C150" s="968"/>
      <c r="D150" s="968"/>
      <c r="E150" s="968"/>
      <c r="F150" s="968"/>
      <c r="G150" s="968"/>
      <c r="H150" s="968"/>
      <c r="I150" s="968"/>
      <c r="J150" s="968"/>
      <c r="K150" s="968"/>
      <c r="L150" s="969"/>
      <c r="M150" s="969"/>
      <c r="N150" s="969"/>
      <c r="O150" s="969"/>
      <c r="P150" s="969"/>
      <c r="Q150" s="970"/>
      <c r="R150" s="970"/>
      <c r="S150" s="971"/>
      <c r="T150" s="765">
        <f>SUM(B150:R150)</f>
        <v>0</v>
      </c>
      <c r="U150" s="254"/>
      <c r="V150" s="255"/>
      <c r="W150" s="255"/>
      <c r="X150" s="255"/>
      <c r="Y150" s="255"/>
      <c r="Z150" s="649"/>
      <c r="AA150" s="265"/>
      <c r="AB150" s="766"/>
      <c r="AC150" s="261"/>
      <c r="AD150" s="262"/>
      <c r="AE150" s="262"/>
      <c r="AF150" s="262"/>
      <c r="AG150" s="262"/>
      <c r="AH150" s="262"/>
      <c r="AI150" s="1023"/>
      <c r="AJ150" s="651"/>
      <c r="AK150" s="768"/>
      <c r="AL150" s="768"/>
      <c r="AM150" s="205">
        <f t="shared" si="80"/>
        <v>0</v>
      </c>
      <c r="AN150" s="206"/>
      <c r="AQ150" s="1053"/>
      <c r="AR150" s="468"/>
    </row>
    <row r="151" spans="1:44" ht="30.75" thickBot="1">
      <c r="A151" s="599" t="s">
        <v>446</v>
      </c>
      <c r="B151" s="952">
        <f t="shared" ref="B151:M151" si="87">B150</f>
        <v>0</v>
      </c>
      <c r="C151" s="953">
        <f t="shared" si="87"/>
        <v>0</v>
      </c>
      <c r="D151" s="953">
        <f t="shared" si="87"/>
        <v>0</v>
      </c>
      <c r="E151" s="953"/>
      <c r="F151" s="953"/>
      <c r="G151" s="953"/>
      <c r="H151" s="953"/>
      <c r="I151" s="953"/>
      <c r="J151" s="953">
        <f t="shared" si="87"/>
        <v>0</v>
      </c>
      <c r="K151" s="953"/>
      <c r="L151" s="931">
        <f t="shared" si="87"/>
        <v>0</v>
      </c>
      <c r="M151" s="931">
        <f t="shared" si="87"/>
        <v>0</v>
      </c>
      <c r="N151" s="931">
        <f>N150</f>
        <v>0</v>
      </c>
      <c r="O151" s="931"/>
      <c r="P151" s="931"/>
      <c r="Q151" s="932">
        <f>Q150</f>
        <v>0</v>
      </c>
      <c r="R151" s="932"/>
      <c r="S151" s="933">
        <f>S150</f>
        <v>0</v>
      </c>
      <c r="T151" s="934">
        <f>T150</f>
        <v>0</v>
      </c>
      <c r="U151" s="603"/>
      <c r="V151" s="604"/>
      <c r="W151" s="604"/>
      <c r="X151" s="604"/>
      <c r="Y151" s="604"/>
      <c r="Z151" s="605">
        <f>Z150</f>
        <v>0</v>
      </c>
      <c r="AA151" s="614">
        <f>AA150</f>
        <v>0</v>
      </c>
      <c r="AB151" s="935">
        <f>AB150</f>
        <v>0</v>
      </c>
      <c r="AC151" s="610"/>
      <c r="AD151" s="611"/>
      <c r="AE151" s="611"/>
      <c r="AF151" s="611"/>
      <c r="AG151" s="611"/>
      <c r="AH151" s="611"/>
      <c r="AI151" s="1043"/>
      <c r="AJ151" s="612">
        <f>AJ150</f>
        <v>0</v>
      </c>
      <c r="AK151" s="936">
        <f>AK150</f>
        <v>0</v>
      </c>
      <c r="AL151" s="936">
        <f>AL150</f>
        <v>0</v>
      </c>
      <c r="AM151" s="205">
        <f t="shared" si="80"/>
        <v>0</v>
      </c>
      <c r="AN151" s="206"/>
      <c r="AQ151" s="1053"/>
      <c r="AR151" s="468"/>
    </row>
    <row r="152" spans="1:44" ht="16.5" thickBot="1">
      <c r="A152" s="350" t="s">
        <v>447</v>
      </c>
      <c r="B152" s="954">
        <f t="shared" ref="B152:M152" si="88">B146+B149+B151</f>
        <v>0</v>
      </c>
      <c r="C152" s="955">
        <f t="shared" si="88"/>
        <v>0</v>
      </c>
      <c r="D152" s="955">
        <f t="shared" si="88"/>
        <v>0</v>
      </c>
      <c r="E152" s="955"/>
      <c r="F152" s="955"/>
      <c r="G152" s="955"/>
      <c r="H152" s="955"/>
      <c r="I152" s="955"/>
      <c r="J152" s="955">
        <f t="shared" si="88"/>
        <v>0</v>
      </c>
      <c r="K152" s="955"/>
      <c r="L152" s="814">
        <f t="shared" si="88"/>
        <v>0</v>
      </c>
      <c r="M152" s="814">
        <f t="shared" si="88"/>
        <v>0</v>
      </c>
      <c r="N152" s="814">
        <f>N146+N149+N151</f>
        <v>0</v>
      </c>
      <c r="O152" s="814"/>
      <c r="P152" s="814"/>
      <c r="Q152" s="815">
        <f>Q146+Q149+Q151</f>
        <v>0</v>
      </c>
      <c r="R152" s="815"/>
      <c r="S152" s="816">
        <f>S146+S149+S151</f>
        <v>0</v>
      </c>
      <c r="T152" s="817">
        <f>T146+T149+T151</f>
        <v>0</v>
      </c>
      <c r="U152" s="424"/>
      <c r="V152" s="354"/>
      <c r="W152" s="354"/>
      <c r="X152" s="354"/>
      <c r="Y152" s="354"/>
      <c r="Z152" s="256">
        <f>Z146+Z149+Z151</f>
        <v>0</v>
      </c>
      <c r="AA152" s="360">
        <f>AA146+AA149+AA151</f>
        <v>0</v>
      </c>
      <c r="AB152" s="818">
        <f>AB146+AB149+AB151</f>
        <v>0</v>
      </c>
      <c r="AC152" s="357"/>
      <c r="AD152" s="358"/>
      <c r="AE152" s="358"/>
      <c r="AF152" s="358"/>
      <c r="AG152" s="358"/>
      <c r="AH152" s="358"/>
      <c r="AI152" s="1034"/>
      <c r="AJ152" s="263">
        <f>AJ146+AJ149+AJ151</f>
        <v>0</v>
      </c>
      <c r="AK152" s="820">
        <f>AK146+AK149+AK151</f>
        <v>0</v>
      </c>
      <c r="AL152" s="820">
        <f>AL146+AL149+AL151</f>
        <v>0</v>
      </c>
      <c r="AM152" s="205">
        <f t="shared" si="80"/>
        <v>0</v>
      </c>
      <c r="AN152" s="206"/>
      <c r="AQ152" s="1053"/>
      <c r="AR152" s="468"/>
    </row>
    <row r="153" spans="1:44" ht="16.5" thickBot="1">
      <c r="A153" s="599" t="s">
        <v>448</v>
      </c>
      <c r="B153" s="952"/>
      <c r="C153" s="953"/>
      <c r="D153" s="953"/>
      <c r="E153" s="953"/>
      <c r="F153" s="953"/>
      <c r="G153" s="953"/>
      <c r="H153" s="953"/>
      <c r="I153" s="953"/>
      <c r="J153" s="953"/>
      <c r="K153" s="953"/>
      <c r="L153" s="931"/>
      <c r="M153" s="931"/>
      <c r="N153" s="931"/>
      <c r="O153" s="931"/>
      <c r="P153" s="931"/>
      <c r="Q153" s="932"/>
      <c r="R153" s="932"/>
      <c r="S153" s="933"/>
      <c r="T153" s="765">
        <f>SUM(B153:R153)</f>
        <v>0</v>
      </c>
      <c r="U153" s="254"/>
      <c r="V153" s="255"/>
      <c r="W153" s="255"/>
      <c r="X153" s="255"/>
      <c r="Y153" s="255"/>
      <c r="Z153" s="605"/>
      <c r="AA153" s="618"/>
      <c r="AB153" s="937"/>
      <c r="AC153" s="261"/>
      <c r="AD153" s="262"/>
      <c r="AE153" s="262"/>
      <c r="AF153" s="262"/>
      <c r="AG153" s="262"/>
      <c r="AH153" s="262"/>
      <c r="AI153" s="1023"/>
      <c r="AJ153" s="612"/>
      <c r="AK153" s="938"/>
      <c r="AL153" s="938"/>
      <c r="AM153" s="205">
        <f t="shared" si="80"/>
        <v>0</v>
      </c>
      <c r="AN153" s="206"/>
      <c r="AQ153" s="1053"/>
      <c r="AR153" s="468"/>
    </row>
    <row r="154" spans="1:44" ht="16.5" thickBot="1">
      <c r="A154" s="599" t="s">
        <v>449</v>
      </c>
      <c r="B154" s="952"/>
      <c r="C154" s="953"/>
      <c r="D154" s="953"/>
      <c r="E154" s="953"/>
      <c r="F154" s="953"/>
      <c r="G154" s="953"/>
      <c r="H154" s="953"/>
      <c r="I154" s="953"/>
      <c r="J154" s="953"/>
      <c r="K154" s="953"/>
      <c r="L154" s="931"/>
      <c r="M154" s="931"/>
      <c r="N154" s="931"/>
      <c r="O154" s="931"/>
      <c r="P154" s="931"/>
      <c r="Q154" s="932"/>
      <c r="R154" s="932"/>
      <c r="S154" s="933"/>
      <c r="T154" s="765">
        <f>SUM(B154:R154)</f>
        <v>0</v>
      </c>
      <c r="U154" s="254"/>
      <c r="V154" s="255"/>
      <c r="W154" s="255"/>
      <c r="X154" s="255"/>
      <c r="Y154" s="255"/>
      <c r="Z154" s="605"/>
      <c r="AA154" s="618"/>
      <c r="AB154" s="937"/>
      <c r="AC154" s="261"/>
      <c r="AD154" s="262"/>
      <c r="AE154" s="262"/>
      <c r="AF154" s="262"/>
      <c r="AG154" s="262"/>
      <c r="AH154" s="262"/>
      <c r="AI154" s="1023"/>
      <c r="AJ154" s="612"/>
      <c r="AK154" s="938"/>
      <c r="AL154" s="938"/>
      <c r="AM154" s="205">
        <f t="shared" si="80"/>
        <v>0</v>
      </c>
      <c r="AN154" s="206"/>
      <c r="AQ154" s="1053"/>
      <c r="AR154" s="468"/>
    </row>
    <row r="155" spans="1:44" ht="16.5" thickBot="1">
      <c r="A155" s="599" t="s">
        <v>450</v>
      </c>
      <c r="B155" s="952"/>
      <c r="C155" s="953"/>
      <c r="D155" s="953"/>
      <c r="E155" s="953"/>
      <c r="F155" s="953"/>
      <c r="G155" s="953"/>
      <c r="H155" s="953"/>
      <c r="I155" s="953"/>
      <c r="J155" s="953"/>
      <c r="K155" s="953"/>
      <c r="L155" s="931"/>
      <c r="M155" s="931"/>
      <c r="N155" s="931"/>
      <c r="O155" s="931"/>
      <c r="P155" s="931"/>
      <c r="Q155" s="932"/>
      <c r="R155" s="932"/>
      <c r="S155" s="933"/>
      <c r="T155" s="765">
        <f>SUM(B155:R155)</f>
        <v>0</v>
      </c>
      <c r="U155" s="254"/>
      <c r="V155" s="255"/>
      <c r="W155" s="255"/>
      <c r="X155" s="255"/>
      <c r="Y155" s="255"/>
      <c r="Z155" s="605"/>
      <c r="AA155" s="618"/>
      <c r="AB155" s="937"/>
      <c r="AC155" s="261"/>
      <c r="AD155" s="262"/>
      <c r="AE155" s="262"/>
      <c r="AF155" s="262"/>
      <c r="AG155" s="262"/>
      <c r="AH155" s="262"/>
      <c r="AI155" s="1023"/>
      <c r="AJ155" s="612"/>
      <c r="AK155" s="938"/>
      <c r="AL155" s="938"/>
      <c r="AM155" s="205">
        <f t="shared" si="80"/>
        <v>0</v>
      </c>
      <c r="AN155" s="206"/>
      <c r="AQ155" s="1053"/>
      <c r="AR155" s="468"/>
    </row>
    <row r="156" spans="1:44" ht="30.75" thickBot="1">
      <c r="A156" s="599" t="s">
        <v>451</v>
      </c>
      <c r="B156" s="952"/>
      <c r="C156" s="953"/>
      <c r="D156" s="953"/>
      <c r="E156" s="953"/>
      <c r="F156" s="953"/>
      <c r="G156" s="953"/>
      <c r="H156" s="953"/>
      <c r="I156" s="953"/>
      <c r="J156" s="953"/>
      <c r="K156" s="953"/>
      <c r="L156" s="931"/>
      <c r="M156" s="931"/>
      <c r="N156" s="931"/>
      <c r="O156" s="931"/>
      <c r="P156" s="931"/>
      <c r="Q156" s="932"/>
      <c r="R156" s="932"/>
      <c r="S156" s="933"/>
      <c r="T156" s="765">
        <f>SUM(B156:R156)</f>
        <v>0</v>
      </c>
      <c r="U156" s="254"/>
      <c r="V156" s="255"/>
      <c r="W156" s="255"/>
      <c r="X156" s="255"/>
      <c r="Y156" s="255"/>
      <c r="Z156" s="605"/>
      <c r="AA156" s="618"/>
      <c r="AB156" s="937"/>
      <c r="AC156" s="261"/>
      <c r="AD156" s="262"/>
      <c r="AE156" s="262"/>
      <c r="AF156" s="262"/>
      <c r="AG156" s="262"/>
      <c r="AH156" s="262"/>
      <c r="AI156" s="1023"/>
      <c r="AJ156" s="612"/>
      <c r="AK156" s="938"/>
      <c r="AL156" s="938"/>
      <c r="AM156" s="205">
        <f t="shared" si="80"/>
        <v>0</v>
      </c>
      <c r="AN156" s="206"/>
      <c r="AQ156" s="1053"/>
      <c r="AR156" s="468"/>
    </row>
    <row r="157" spans="1:44" ht="16.5" thickBot="1">
      <c r="A157" s="599" t="s">
        <v>452</v>
      </c>
      <c r="B157" s="952"/>
      <c r="C157" s="953"/>
      <c r="D157" s="953"/>
      <c r="E157" s="953"/>
      <c r="F157" s="953"/>
      <c r="G157" s="953"/>
      <c r="H157" s="953"/>
      <c r="I157" s="953"/>
      <c r="J157" s="953"/>
      <c r="K157" s="953"/>
      <c r="L157" s="931"/>
      <c r="M157" s="931"/>
      <c r="N157" s="931"/>
      <c r="O157" s="931"/>
      <c r="P157" s="931"/>
      <c r="Q157" s="932"/>
      <c r="R157" s="932"/>
      <c r="S157" s="933"/>
      <c r="T157" s="765">
        <f>SUM(B157:R157)</f>
        <v>0</v>
      </c>
      <c r="U157" s="254"/>
      <c r="V157" s="255"/>
      <c r="W157" s="255"/>
      <c r="X157" s="255"/>
      <c r="Y157" s="255"/>
      <c r="Z157" s="605"/>
      <c r="AA157" s="618"/>
      <c r="AB157" s="937"/>
      <c r="AC157" s="261"/>
      <c r="AD157" s="262"/>
      <c r="AE157" s="262"/>
      <c r="AF157" s="262"/>
      <c r="AG157" s="262"/>
      <c r="AH157" s="262"/>
      <c r="AI157" s="1023"/>
      <c r="AJ157" s="612"/>
      <c r="AK157" s="938"/>
      <c r="AL157" s="938"/>
      <c r="AM157" s="205">
        <f t="shared" si="80"/>
        <v>0</v>
      </c>
      <c r="AN157" s="206"/>
      <c r="AQ157" s="1053"/>
      <c r="AR157" s="468"/>
    </row>
    <row r="158" spans="1:44" ht="16.5" thickBot="1">
      <c r="A158" s="350" t="s">
        <v>453</v>
      </c>
      <c r="B158" s="954">
        <f t="shared" ref="B158:M158" si="89">SUM(B153:B157)</f>
        <v>0</v>
      </c>
      <c r="C158" s="955">
        <f t="shared" si="89"/>
        <v>0</v>
      </c>
      <c r="D158" s="955">
        <f t="shared" si="89"/>
        <v>0</v>
      </c>
      <c r="E158" s="955"/>
      <c r="F158" s="955"/>
      <c r="G158" s="955"/>
      <c r="H158" s="955"/>
      <c r="I158" s="955"/>
      <c r="J158" s="955">
        <f t="shared" si="89"/>
        <v>0</v>
      </c>
      <c r="K158" s="955"/>
      <c r="L158" s="814">
        <f t="shared" si="89"/>
        <v>0</v>
      </c>
      <c r="M158" s="814">
        <f t="shared" si="89"/>
        <v>0</v>
      </c>
      <c r="N158" s="814">
        <f>SUM(N153:N157)</f>
        <v>0</v>
      </c>
      <c r="O158" s="814"/>
      <c r="P158" s="814"/>
      <c r="Q158" s="815">
        <f>SUM(Q153:Q157)</f>
        <v>0</v>
      </c>
      <c r="R158" s="815"/>
      <c r="S158" s="816">
        <f>SUM(S153:S157)</f>
        <v>0</v>
      </c>
      <c r="T158" s="817">
        <f>SUM(T153:T157)</f>
        <v>0</v>
      </c>
      <c r="U158" s="424"/>
      <c r="V158" s="354"/>
      <c r="W158" s="354"/>
      <c r="X158" s="354"/>
      <c r="Y158" s="354"/>
      <c r="Z158" s="256">
        <f>SUM(Z153:Z157)</f>
        <v>0</v>
      </c>
      <c r="AA158" s="360">
        <f>SUM(AA153:AA157)</f>
        <v>0</v>
      </c>
      <c r="AB158" s="818">
        <f>SUM(AB153:AB157)</f>
        <v>0</v>
      </c>
      <c r="AC158" s="357"/>
      <c r="AD158" s="358"/>
      <c r="AE158" s="358"/>
      <c r="AF158" s="358"/>
      <c r="AG158" s="358"/>
      <c r="AH158" s="358"/>
      <c r="AI158" s="1034"/>
      <c r="AJ158" s="263">
        <f>SUM(AJ153:AJ157)</f>
        <v>0</v>
      </c>
      <c r="AK158" s="820">
        <f>SUM(AK153:AK157)</f>
        <v>0</v>
      </c>
      <c r="AL158" s="820">
        <f>SUM(AL153:AL157)</f>
        <v>0</v>
      </c>
      <c r="AM158" s="205">
        <f t="shared" si="80"/>
        <v>0</v>
      </c>
      <c r="AN158" s="206"/>
      <c r="AQ158" s="1053"/>
      <c r="AR158" s="468"/>
    </row>
    <row r="159" spans="1:44" ht="16.5" thickBot="1">
      <c r="A159" s="451" t="s">
        <v>454</v>
      </c>
      <c r="B159" s="950">
        <f t="shared" ref="B159:M159" si="90">B143+B152+B158</f>
        <v>0</v>
      </c>
      <c r="C159" s="951">
        <f t="shared" si="90"/>
        <v>0</v>
      </c>
      <c r="D159" s="951">
        <f t="shared" si="90"/>
        <v>0</v>
      </c>
      <c r="E159" s="951"/>
      <c r="F159" s="951"/>
      <c r="G159" s="951"/>
      <c r="H159" s="951"/>
      <c r="I159" s="951"/>
      <c r="J159" s="951">
        <f t="shared" si="90"/>
        <v>0</v>
      </c>
      <c r="K159" s="951"/>
      <c r="L159" s="864">
        <f t="shared" si="90"/>
        <v>0</v>
      </c>
      <c r="M159" s="864">
        <f t="shared" si="90"/>
        <v>0</v>
      </c>
      <c r="N159" s="864">
        <f>N143+N152+N158</f>
        <v>0</v>
      </c>
      <c r="O159" s="864"/>
      <c r="P159" s="864"/>
      <c r="Q159" s="865">
        <f>Q143+Q152+Q158</f>
        <v>0</v>
      </c>
      <c r="R159" s="865"/>
      <c r="S159" s="866">
        <f>S143+S152+S158</f>
        <v>0</v>
      </c>
      <c r="T159" s="867">
        <f>T143+T152+T158</f>
        <v>0</v>
      </c>
      <c r="U159" s="455"/>
      <c r="V159" s="456"/>
      <c r="W159" s="456"/>
      <c r="X159" s="456"/>
      <c r="Y159" s="456"/>
      <c r="Z159" s="457">
        <f>Z143+Z152+Z158</f>
        <v>0</v>
      </c>
      <c r="AA159" s="466">
        <f>AA143+AA152+AA158</f>
        <v>0</v>
      </c>
      <c r="AB159" s="868">
        <f>AB143+AB152+AB158</f>
        <v>0</v>
      </c>
      <c r="AC159" s="462"/>
      <c r="AD159" s="463"/>
      <c r="AE159" s="463"/>
      <c r="AF159" s="463"/>
      <c r="AG159" s="463"/>
      <c r="AH159" s="463"/>
      <c r="AI159" s="1035"/>
      <c r="AJ159" s="464">
        <f>AJ143+AJ152+AJ158</f>
        <v>0</v>
      </c>
      <c r="AK159" s="869">
        <f>AK143+AK152+AK158</f>
        <v>0</v>
      </c>
      <c r="AL159" s="869">
        <f>AL143+AL152+AL158</f>
        <v>0</v>
      </c>
      <c r="AM159" s="205">
        <f t="shared" si="80"/>
        <v>0</v>
      </c>
      <c r="AN159" s="206"/>
      <c r="AQ159" s="1053"/>
      <c r="AR159" s="468"/>
    </row>
    <row r="160" spans="1:44">
      <c r="A160" s="652" t="s">
        <v>455</v>
      </c>
      <c r="B160" s="972"/>
      <c r="C160" s="973"/>
      <c r="D160" s="973"/>
      <c r="E160" s="973"/>
      <c r="F160" s="973"/>
      <c r="G160" s="973"/>
      <c r="H160" s="973"/>
      <c r="I160" s="973"/>
      <c r="J160" s="973"/>
      <c r="K160" s="973"/>
      <c r="L160" s="974"/>
      <c r="M160" s="974"/>
      <c r="N160" s="974"/>
      <c r="O160" s="974"/>
      <c r="P160" s="974"/>
      <c r="Q160" s="975"/>
      <c r="R160" s="975"/>
      <c r="S160" s="976"/>
      <c r="T160" s="977">
        <v>0</v>
      </c>
      <c r="U160" s="656"/>
      <c r="V160" s="657"/>
      <c r="W160" s="657"/>
      <c r="X160" s="657"/>
      <c r="Y160" s="657"/>
      <c r="Z160" s="658"/>
      <c r="AA160" s="667"/>
      <c r="AB160" s="978"/>
      <c r="AC160" s="979"/>
      <c r="AD160" s="664"/>
      <c r="AE160" s="664"/>
      <c r="AF160" s="664"/>
      <c r="AG160" s="664"/>
      <c r="AH160" s="664"/>
      <c r="AI160" s="1044"/>
      <c r="AJ160" s="665"/>
      <c r="AK160" s="980"/>
      <c r="AL160" s="980"/>
      <c r="AM160" s="205">
        <f t="shared" si="80"/>
        <v>0</v>
      </c>
      <c r="AN160" s="206"/>
      <c r="AQ160" s="1053"/>
      <c r="AR160" s="468"/>
    </row>
    <row r="161" spans="1:44" ht="30">
      <c r="A161" s="669" t="s">
        <v>456</v>
      </c>
      <c r="B161" s="981"/>
      <c r="C161" s="982"/>
      <c r="D161" s="982"/>
      <c r="E161" s="982"/>
      <c r="F161" s="982"/>
      <c r="G161" s="982"/>
      <c r="H161" s="982"/>
      <c r="I161" s="982"/>
      <c r="J161" s="982"/>
      <c r="K161" s="982"/>
      <c r="L161" s="983">
        <v>430200</v>
      </c>
      <c r="M161" s="983"/>
      <c r="N161" s="983">
        <v>430200</v>
      </c>
      <c r="O161" s="983"/>
      <c r="P161" s="983"/>
      <c r="Q161" s="984"/>
      <c r="R161" s="984"/>
      <c r="S161" s="985"/>
      <c r="T161" s="986">
        <f>SUM(B161:S161)</f>
        <v>860400</v>
      </c>
      <c r="U161" s="673"/>
      <c r="V161" s="674"/>
      <c r="W161" s="674"/>
      <c r="X161" s="674"/>
      <c r="Y161" s="674"/>
      <c r="Z161" s="675"/>
      <c r="AA161" s="684">
        <v>1370000</v>
      </c>
      <c r="AB161" s="987"/>
      <c r="AC161" s="988"/>
      <c r="AD161" s="681"/>
      <c r="AE161" s="681"/>
      <c r="AF161" s="681"/>
      <c r="AG161" s="681"/>
      <c r="AH161" s="681"/>
      <c r="AI161" s="1045"/>
      <c r="AJ161" s="682"/>
      <c r="AK161" s="989"/>
      <c r="AL161" s="989"/>
      <c r="AM161" s="220">
        <f t="shared" si="80"/>
        <v>2230400</v>
      </c>
      <c r="AN161" s="206"/>
      <c r="AQ161" s="1053"/>
      <c r="AR161" s="468"/>
    </row>
    <row r="162" spans="1:44" ht="45">
      <c r="A162" s="320" t="s">
        <v>457</v>
      </c>
      <c r="B162" s="944"/>
      <c r="C162" s="945"/>
      <c r="D162" s="945"/>
      <c r="E162" s="945"/>
      <c r="F162" s="945"/>
      <c r="G162" s="945"/>
      <c r="H162" s="945"/>
      <c r="I162" s="945"/>
      <c r="J162" s="945"/>
      <c r="K162" s="945"/>
      <c r="L162" s="799"/>
      <c r="M162" s="799"/>
      <c r="N162" s="799"/>
      <c r="O162" s="799"/>
      <c r="P162" s="799"/>
      <c r="Q162" s="800"/>
      <c r="R162" s="800"/>
      <c r="S162" s="801"/>
      <c r="T162" s="986">
        <v>0</v>
      </c>
      <c r="U162" s="673"/>
      <c r="V162" s="674"/>
      <c r="W162" s="674"/>
      <c r="X162" s="674"/>
      <c r="Y162" s="674"/>
      <c r="Z162" s="393"/>
      <c r="AA162" s="526"/>
      <c r="AB162" s="893"/>
      <c r="AC162" s="988"/>
      <c r="AD162" s="681"/>
      <c r="AE162" s="681"/>
      <c r="AF162" s="681"/>
      <c r="AG162" s="681"/>
      <c r="AH162" s="681"/>
      <c r="AI162" s="1045"/>
      <c r="AJ162" s="396"/>
      <c r="AK162" s="895"/>
      <c r="AL162" s="895"/>
      <c r="AM162" s="220">
        <f t="shared" si="80"/>
        <v>0</v>
      </c>
      <c r="AN162" s="206"/>
      <c r="AQ162" s="1053"/>
      <c r="AR162" s="468"/>
    </row>
    <row r="163" spans="1:44">
      <c r="A163" s="500" t="s">
        <v>458</v>
      </c>
      <c r="B163" s="946">
        <f t="shared" ref="B163:M163" si="91">B162</f>
        <v>0</v>
      </c>
      <c r="C163" s="947">
        <f t="shared" si="91"/>
        <v>0</v>
      </c>
      <c r="D163" s="947">
        <f t="shared" si="91"/>
        <v>0</v>
      </c>
      <c r="E163" s="947"/>
      <c r="F163" s="947"/>
      <c r="G163" s="947"/>
      <c r="H163" s="947"/>
      <c r="I163" s="947"/>
      <c r="J163" s="947">
        <f t="shared" si="91"/>
        <v>0</v>
      </c>
      <c r="K163" s="947"/>
      <c r="L163" s="885">
        <f t="shared" si="91"/>
        <v>0</v>
      </c>
      <c r="M163" s="885">
        <f t="shared" si="91"/>
        <v>0</v>
      </c>
      <c r="N163" s="885">
        <f>N162</f>
        <v>0</v>
      </c>
      <c r="O163" s="885"/>
      <c r="P163" s="885"/>
      <c r="Q163" s="886">
        <f>Q162</f>
        <v>0</v>
      </c>
      <c r="R163" s="886"/>
      <c r="S163" s="887">
        <f>S162</f>
        <v>0</v>
      </c>
      <c r="T163" s="986">
        <v>0</v>
      </c>
      <c r="U163" s="673"/>
      <c r="V163" s="674"/>
      <c r="W163" s="674"/>
      <c r="X163" s="674"/>
      <c r="Y163" s="674"/>
      <c r="Z163" s="506">
        <f>Z162</f>
        <v>0</v>
      </c>
      <c r="AA163" s="515">
        <f>AA162</f>
        <v>0</v>
      </c>
      <c r="AB163" s="889">
        <f>AB162</f>
        <v>0</v>
      </c>
      <c r="AC163" s="988"/>
      <c r="AD163" s="681"/>
      <c r="AE163" s="681"/>
      <c r="AF163" s="681"/>
      <c r="AG163" s="681"/>
      <c r="AH163" s="681"/>
      <c r="AI163" s="1045"/>
      <c r="AJ163" s="513">
        <f>AJ162</f>
        <v>0</v>
      </c>
      <c r="AK163" s="891">
        <f>AK162</f>
        <v>0</v>
      </c>
      <c r="AL163" s="891">
        <f>AL162</f>
        <v>0</v>
      </c>
      <c r="AM163" s="220">
        <f t="shared" si="80"/>
        <v>0</v>
      </c>
      <c r="AN163" s="206"/>
      <c r="AQ163" s="1053"/>
      <c r="AR163" s="468"/>
    </row>
    <row r="164" spans="1:44">
      <c r="A164" s="500" t="s">
        <v>459</v>
      </c>
      <c r="B164" s="946"/>
      <c r="C164" s="947"/>
      <c r="D164" s="947"/>
      <c r="E164" s="947"/>
      <c r="F164" s="947"/>
      <c r="G164" s="947"/>
      <c r="H164" s="947"/>
      <c r="I164" s="947"/>
      <c r="J164" s="947"/>
      <c r="K164" s="947"/>
      <c r="L164" s="885"/>
      <c r="M164" s="885"/>
      <c r="N164" s="885"/>
      <c r="O164" s="885"/>
      <c r="P164" s="885"/>
      <c r="Q164" s="886"/>
      <c r="R164" s="886"/>
      <c r="S164" s="887"/>
      <c r="T164" s="986">
        <v>0</v>
      </c>
      <c r="U164" s="673"/>
      <c r="V164" s="674"/>
      <c r="W164" s="674"/>
      <c r="X164" s="674"/>
      <c r="Y164" s="674"/>
      <c r="Z164" s="506"/>
      <c r="AA164" s="565"/>
      <c r="AB164" s="913"/>
      <c r="AC164" s="988"/>
      <c r="AD164" s="681"/>
      <c r="AE164" s="681"/>
      <c r="AF164" s="681"/>
      <c r="AG164" s="681"/>
      <c r="AH164" s="681"/>
      <c r="AI164" s="1045"/>
      <c r="AJ164" s="513"/>
      <c r="AK164" s="914"/>
      <c r="AL164" s="914"/>
      <c r="AM164" s="220">
        <f t="shared" si="80"/>
        <v>0</v>
      </c>
      <c r="AN164" s="206"/>
      <c r="AQ164" s="1053"/>
      <c r="AR164" s="468"/>
    </row>
    <row r="165" spans="1:44">
      <c r="A165" s="500" t="s">
        <v>460</v>
      </c>
      <c r="B165" s="946"/>
      <c r="C165" s="947"/>
      <c r="D165" s="947"/>
      <c r="E165" s="947"/>
      <c r="F165" s="947"/>
      <c r="G165" s="947"/>
      <c r="H165" s="947"/>
      <c r="I165" s="947"/>
      <c r="J165" s="947"/>
      <c r="K165" s="947"/>
      <c r="L165" s="885"/>
      <c r="M165" s="885"/>
      <c r="N165" s="885"/>
      <c r="O165" s="885"/>
      <c r="P165" s="885"/>
      <c r="Q165" s="886"/>
      <c r="R165" s="886"/>
      <c r="S165" s="887"/>
      <c r="T165" s="986">
        <v>0</v>
      </c>
      <c r="U165" s="673"/>
      <c r="V165" s="674"/>
      <c r="W165" s="674"/>
      <c r="X165" s="674"/>
      <c r="Y165" s="674"/>
      <c r="Z165" s="506"/>
      <c r="AA165" s="565">
        <v>370000</v>
      </c>
      <c r="AB165" s="913"/>
      <c r="AC165" s="988"/>
      <c r="AD165" s="681"/>
      <c r="AE165" s="681"/>
      <c r="AF165" s="681"/>
      <c r="AG165" s="681"/>
      <c r="AH165" s="681"/>
      <c r="AI165" s="1045"/>
      <c r="AJ165" s="513"/>
      <c r="AK165" s="914"/>
      <c r="AL165" s="914"/>
      <c r="AM165" s="220">
        <f t="shared" si="80"/>
        <v>370000</v>
      </c>
      <c r="AN165" s="206"/>
      <c r="AQ165" s="1053"/>
      <c r="AR165" s="468"/>
    </row>
    <row r="166" spans="1:44">
      <c r="A166" s="500" t="s">
        <v>461</v>
      </c>
      <c r="B166" s="946"/>
      <c r="C166" s="947"/>
      <c r="D166" s="947"/>
      <c r="E166" s="947"/>
      <c r="F166" s="947"/>
      <c r="G166" s="947"/>
      <c r="H166" s="947"/>
      <c r="I166" s="947"/>
      <c r="J166" s="947"/>
      <c r="K166" s="947"/>
      <c r="L166" s="885"/>
      <c r="M166" s="885"/>
      <c r="N166" s="885"/>
      <c r="O166" s="885"/>
      <c r="P166" s="885"/>
      <c r="Q166" s="886"/>
      <c r="R166" s="886"/>
      <c r="S166" s="887"/>
      <c r="T166" s="986">
        <v>0</v>
      </c>
      <c r="U166" s="673"/>
      <c r="V166" s="674"/>
      <c r="W166" s="674"/>
      <c r="X166" s="674"/>
      <c r="Y166" s="674"/>
      <c r="Z166" s="506"/>
      <c r="AA166" s="565"/>
      <c r="AB166" s="913"/>
      <c r="AC166" s="988"/>
      <c r="AD166" s="681"/>
      <c r="AE166" s="681"/>
      <c r="AF166" s="681"/>
      <c r="AG166" s="681"/>
      <c r="AH166" s="681"/>
      <c r="AI166" s="1045"/>
      <c r="AJ166" s="513"/>
      <c r="AK166" s="914"/>
      <c r="AL166" s="914"/>
      <c r="AM166" s="220">
        <f t="shared" si="80"/>
        <v>0</v>
      </c>
      <c r="AN166" s="206"/>
      <c r="AQ166" s="1053"/>
      <c r="AR166" s="468"/>
    </row>
    <row r="167" spans="1:44">
      <c r="A167" s="500" t="s">
        <v>462</v>
      </c>
      <c r="B167" s="946"/>
      <c r="C167" s="947"/>
      <c r="D167" s="947"/>
      <c r="E167" s="947"/>
      <c r="F167" s="947"/>
      <c r="G167" s="947"/>
      <c r="H167" s="947"/>
      <c r="I167" s="947"/>
      <c r="J167" s="947"/>
      <c r="K167" s="947"/>
      <c r="L167" s="885"/>
      <c r="M167" s="885"/>
      <c r="N167" s="885"/>
      <c r="O167" s="885"/>
      <c r="P167" s="885"/>
      <c r="Q167" s="886"/>
      <c r="R167" s="886"/>
      <c r="S167" s="887"/>
      <c r="T167" s="892">
        <f>SUM(B167:R167)</f>
        <v>0</v>
      </c>
      <c r="U167" s="518"/>
      <c r="V167" s="519"/>
      <c r="W167" s="519"/>
      <c r="X167" s="519"/>
      <c r="Y167" s="519"/>
      <c r="Z167" s="506"/>
      <c r="AA167" s="565"/>
      <c r="AB167" s="913"/>
      <c r="AC167" s="894"/>
      <c r="AD167" s="524"/>
      <c r="AE167" s="524"/>
      <c r="AF167" s="524"/>
      <c r="AG167" s="524"/>
      <c r="AH167" s="524"/>
      <c r="AI167" s="1039"/>
      <c r="AJ167" s="513"/>
      <c r="AK167" s="914"/>
      <c r="AL167" s="914"/>
      <c r="AM167" s="220">
        <f t="shared" si="80"/>
        <v>0</v>
      </c>
      <c r="AN167" s="206"/>
      <c r="AQ167" s="1053"/>
      <c r="AR167" s="468"/>
    </row>
    <row r="168" spans="1:44" ht="16.5" thickBot="1">
      <c r="A168" s="335" t="s">
        <v>557</v>
      </c>
      <c r="B168" s="990"/>
      <c r="C168" s="991"/>
      <c r="D168" s="991"/>
      <c r="E168" s="991"/>
      <c r="F168" s="991"/>
      <c r="G168" s="991"/>
      <c r="H168" s="991"/>
      <c r="I168" s="991"/>
      <c r="J168" s="991"/>
      <c r="K168" s="991"/>
      <c r="L168" s="806"/>
      <c r="M168" s="806"/>
      <c r="N168" s="806"/>
      <c r="O168" s="806"/>
      <c r="P168" s="806"/>
      <c r="Q168" s="807"/>
      <c r="R168" s="807"/>
      <c r="S168" s="808">
        <v>10000</v>
      </c>
      <c r="T168" s="915">
        <f>SUM(B168:S168)</f>
        <v>10000</v>
      </c>
      <c r="U168" s="570"/>
      <c r="V168" s="571"/>
      <c r="W168" s="571"/>
      <c r="X168" s="571"/>
      <c r="Y168" s="571"/>
      <c r="Z168" s="377"/>
      <c r="AA168" s="992"/>
      <c r="AB168" s="993"/>
      <c r="AC168" s="917"/>
      <c r="AD168" s="578"/>
      <c r="AE168" s="578"/>
      <c r="AF168" s="578"/>
      <c r="AG168" s="578"/>
      <c r="AH168" s="578"/>
      <c r="AI168" s="1042">
        <v>3000</v>
      </c>
      <c r="AJ168" s="384">
        <f>AI168</f>
        <v>3000</v>
      </c>
      <c r="AK168" s="994"/>
      <c r="AL168" s="994"/>
      <c r="AM168" s="249">
        <f t="shared" si="80"/>
        <v>13000</v>
      </c>
      <c r="AN168" s="206"/>
      <c r="AQ168" s="1053"/>
      <c r="AR168" s="468"/>
    </row>
    <row r="169" spans="1:44" ht="16.5" thickBot="1">
      <c r="A169" s="350" t="s">
        <v>556</v>
      </c>
      <c r="B169" s="954">
        <f t="shared" ref="B169:M169" si="92">B168</f>
        <v>0</v>
      </c>
      <c r="C169" s="955">
        <f t="shared" si="92"/>
        <v>0</v>
      </c>
      <c r="D169" s="955">
        <f t="shared" si="92"/>
        <v>0</v>
      </c>
      <c r="E169" s="955"/>
      <c r="F169" s="955"/>
      <c r="G169" s="955"/>
      <c r="H169" s="955"/>
      <c r="I169" s="955"/>
      <c r="J169" s="955">
        <f t="shared" si="92"/>
        <v>0</v>
      </c>
      <c r="K169" s="955"/>
      <c r="L169" s="814">
        <f t="shared" si="92"/>
        <v>0</v>
      </c>
      <c r="M169" s="814">
        <f t="shared" si="92"/>
        <v>0</v>
      </c>
      <c r="N169" s="814">
        <f>N168</f>
        <v>0</v>
      </c>
      <c r="O169" s="814"/>
      <c r="P169" s="814"/>
      <c r="Q169" s="815">
        <f>Q168</f>
        <v>0</v>
      </c>
      <c r="R169" s="815"/>
      <c r="S169" s="816">
        <f>S168</f>
        <v>10000</v>
      </c>
      <c r="T169" s="817">
        <f>T168</f>
        <v>10000</v>
      </c>
      <c r="U169" s="424"/>
      <c r="V169" s="354"/>
      <c r="W169" s="354"/>
      <c r="X169" s="354"/>
      <c r="Y169" s="354"/>
      <c r="Z169" s="256">
        <f>Z168</f>
        <v>0</v>
      </c>
      <c r="AA169" s="360">
        <f>AA168</f>
        <v>0</v>
      </c>
      <c r="AB169" s="818">
        <f>AB168</f>
        <v>0</v>
      </c>
      <c r="AC169" s="819"/>
      <c r="AD169" s="358"/>
      <c r="AE169" s="358"/>
      <c r="AF169" s="358"/>
      <c r="AG169" s="358"/>
      <c r="AH169" s="358"/>
      <c r="AI169" s="1034">
        <f>AI168</f>
        <v>3000</v>
      </c>
      <c r="AJ169" s="263">
        <f>AJ168</f>
        <v>3000</v>
      </c>
      <c r="AK169" s="820">
        <f>AK168</f>
        <v>0</v>
      </c>
      <c r="AL169" s="820">
        <f>AL168</f>
        <v>0</v>
      </c>
      <c r="AM169" s="205">
        <f t="shared" si="80"/>
        <v>13000</v>
      </c>
      <c r="AN169" s="206"/>
      <c r="AQ169" s="1053"/>
      <c r="AR169" s="468"/>
    </row>
    <row r="170" spans="1:44" ht="16.5" thickBot="1">
      <c r="A170" s="451" t="s">
        <v>464</v>
      </c>
      <c r="B170" s="950">
        <f>B163+B164+B165+B166+B167+B169</f>
        <v>0</v>
      </c>
      <c r="C170" s="951">
        <f>C163+C164+C165+C166+C167+C169</f>
        <v>0</v>
      </c>
      <c r="D170" s="951">
        <f>D163+D164+D165+D166+D167+D169</f>
        <v>0</v>
      </c>
      <c r="E170" s="951"/>
      <c r="F170" s="951"/>
      <c r="G170" s="951"/>
      <c r="H170" s="951"/>
      <c r="I170" s="951"/>
      <c r="J170" s="951">
        <f>J163+J164+J165+J166+J167+J169</f>
        <v>0</v>
      </c>
      <c r="K170" s="951"/>
      <c r="L170" s="864">
        <f>L163+L164+L165+L166+L167+L169+L160+L161</f>
        <v>430200</v>
      </c>
      <c r="M170" s="864">
        <f>M163+M164+M165+M166+M167+M169</f>
        <v>0</v>
      </c>
      <c r="N170" s="864">
        <f>N163+N164+N165+N166+N167+N169+N160+N161</f>
        <v>430200</v>
      </c>
      <c r="O170" s="864"/>
      <c r="P170" s="864"/>
      <c r="Q170" s="865">
        <f>Q163+Q164+Q165+Q166+Q167+Q169</f>
        <v>0</v>
      </c>
      <c r="R170" s="865"/>
      <c r="S170" s="866">
        <f>S163+S164+S165+S166+S167+S169</f>
        <v>10000</v>
      </c>
      <c r="T170" s="867">
        <f>T163+T164+T165+T166+T167+T169+T160+T161</f>
        <v>870400</v>
      </c>
      <c r="U170" s="455"/>
      <c r="V170" s="456"/>
      <c r="W170" s="456"/>
      <c r="X170" s="456"/>
      <c r="Y170" s="456"/>
      <c r="Z170" s="457">
        <f>Z163+Z164+Z165+Z166+Z167+Z169+Z160+Z161</f>
        <v>0</v>
      </c>
      <c r="AA170" s="466">
        <f>AA163+AA164+AA165+AA166+AA167+AA169+AA160+AA161</f>
        <v>1740000</v>
      </c>
      <c r="AB170" s="868">
        <f>AB163+AB164+AB165+AB166+AB167+AB169+AB160+AB161</f>
        <v>0</v>
      </c>
      <c r="AC170" s="462"/>
      <c r="AD170" s="463"/>
      <c r="AE170" s="463"/>
      <c r="AF170" s="463"/>
      <c r="AG170" s="463"/>
      <c r="AH170" s="463"/>
      <c r="AI170" s="1035">
        <f>AI160+AI161+AI163+AI164+AI165+AI166+AI167+AI169</f>
        <v>3000</v>
      </c>
      <c r="AJ170" s="464">
        <f>AJ163+AJ164+AJ165+AJ166+AJ167+AJ169+AJ160+AJ161</f>
        <v>3000</v>
      </c>
      <c r="AK170" s="869">
        <f>AK163+AK164+AK165+AK166+AK167+AK169+AK160+AK161</f>
        <v>0</v>
      </c>
      <c r="AL170" s="869">
        <f>AL163+AL164+AL165+AL166+AL167+AL169+AL160+AL161</f>
        <v>0</v>
      </c>
      <c r="AM170" s="870">
        <f t="shared" si="80"/>
        <v>2613400</v>
      </c>
      <c r="AN170" s="206"/>
      <c r="AQ170" s="1053"/>
      <c r="AR170" s="468"/>
    </row>
    <row r="171" spans="1:44">
      <c r="A171" s="583" t="s">
        <v>465</v>
      </c>
      <c r="B171" s="995"/>
      <c r="C171" s="996"/>
      <c r="D171" s="996"/>
      <c r="E171" s="996"/>
      <c r="F171" s="996"/>
      <c r="G171" s="996"/>
      <c r="H171" s="996"/>
      <c r="I171" s="996"/>
      <c r="J171" s="996"/>
      <c r="K171" s="996"/>
      <c r="L171" s="920"/>
      <c r="M171" s="920"/>
      <c r="N171" s="920"/>
      <c r="O171" s="920"/>
      <c r="P171" s="920"/>
      <c r="Q171" s="921"/>
      <c r="R171" s="921"/>
      <c r="S171" s="922"/>
      <c r="T171" s="880">
        <f>SUM(B171:R171)</f>
        <v>0</v>
      </c>
      <c r="U171" s="488"/>
      <c r="V171" s="489"/>
      <c r="W171" s="489"/>
      <c r="X171" s="489"/>
      <c r="Y171" s="489"/>
      <c r="Z171" s="586"/>
      <c r="AA171" s="591"/>
      <c r="AB171" s="923"/>
      <c r="AC171" s="882"/>
      <c r="AD171" s="496"/>
      <c r="AE171" s="496"/>
      <c r="AF171" s="496"/>
      <c r="AG171" s="496"/>
      <c r="AH171" s="496"/>
      <c r="AI171" s="1037"/>
      <c r="AJ171" s="589"/>
      <c r="AK171" s="924"/>
      <c r="AL171" s="924"/>
      <c r="AM171" s="205">
        <f t="shared" si="80"/>
        <v>0</v>
      </c>
      <c r="AN171" s="206"/>
      <c r="AQ171" s="1053"/>
      <c r="AR171" s="468"/>
    </row>
    <row r="172" spans="1:44" ht="16.5" thickBot="1">
      <c r="A172" s="566" t="s">
        <v>466</v>
      </c>
      <c r="B172" s="948"/>
      <c r="C172" s="949"/>
      <c r="D172" s="949"/>
      <c r="E172" s="949"/>
      <c r="F172" s="949"/>
      <c r="G172" s="949"/>
      <c r="H172" s="949"/>
      <c r="I172" s="949"/>
      <c r="J172" s="949"/>
      <c r="K172" s="949"/>
      <c r="L172" s="897"/>
      <c r="M172" s="897"/>
      <c r="N172" s="897"/>
      <c r="O172" s="897"/>
      <c r="P172" s="897"/>
      <c r="Q172" s="898"/>
      <c r="R172" s="898"/>
      <c r="S172" s="899"/>
      <c r="T172" s="915">
        <f>SUM(B172:R172)</f>
        <v>0</v>
      </c>
      <c r="U172" s="570"/>
      <c r="V172" s="571"/>
      <c r="W172" s="571"/>
      <c r="X172" s="571"/>
      <c r="Y172" s="571"/>
      <c r="Z172" s="572"/>
      <c r="AA172" s="581"/>
      <c r="AB172" s="916"/>
      <c r="AC172" s="917"/>
      <c r="AD172" s="578"/>
      <c r="AE172" s="578"/>
      <c r="AF172" s="578"/>
      <c r="AG172" s="578"/>
      <c r="AH172" s="578"/>
      <c r="AI172" s="1042"/>
      <c r="AJ172" s="579"/>
      <c r="AK172" s="918"/>
      <c r="AL172" s="918"/>
      <c r="AM172" s="249">
        <f t="shared" si="80"/>
        <v>0</v>
      </c>
      <c r="AN172" s="206"/>
      <c r="AQ172" s="1053"/>
      <c r="AR172" s="468"/>
    </row>
    <row r="173" spans="1:44" ht="16.5" thickBot="1">
      <c r="A173" s="451" t="s">
        <v>467</v>
      </c>
      <c r="B173" s="950">
        <f t="shared" ref="B173:M173" si="93">SUM(B171:B172)</f>
        <v>0</v>
      </c>
      <c r="C173" s="951">
        <f t="shared" si="93"/>
        <v>0</v>
      </c>
      <c r="D173" s="951">
        <f t="shared" si="93"/>
        <v>0</v>
      </c>
      <c r="E173" s="951"/>
      <c r="F173" s="951"/>
      <c r="G173" s="951"/>
      <c r="H173" s="951"/>
      <c r="I173" s="951"/>
      <c r="J173" s="951">
        <f t="shared" si="93"/>
        <v>0</v>
      </c>
      <c r="K173" s="951"/>
      <c r="L173" s="864">
        <f t="shared" si="93"/>
        <v>0</v>
      </c>
      <c r="M173" s="864">
        <f t="shared" si="93"/>
        <v>0</v>
      </c>
      <c r="N173" s="864">
        <f>SUM(N171:N172)</f>
        <v>0</v>
      </c>
      <c r="O173" s="864"/>
      <c r="P173" s="864"/>
      <c r="Q173" s="865">
        <f>SUM(Q171:Q172)</f>
        <v>0</v>
      </c>
      <c r="R173" s="865"/>
      <c r="S173" s="866">
        <f>SUM(S171:S172)</f>
        <v>0</v>
      </c>
      <c r="T173" s="867">
        <f>SUM(T171:T172)</f>
        <v>0</v>
      </c>
      <c r="U173" s="455"/>
      <c r="V173" s="456"/>
      <c r="W173" s="456"/>
      <c r="X173" s="456"/>
      <c r="Y173" s="456"/>
      <c r="Z173" s="457">
        <f>SUM(Z171:Z172)</f>
        <v>0</v>
      </c>
      <c r="AA173" s="466">
        <f>SUM(AA171:AA172)</f>
        <v>0</v>
      </c>
      <c r="AB173" s="868">
        <f>SUM(AB171:AB172)</f>
        <v>0</v>
      </c>
      <c r="AC173" s="462"/>
      <c r="AD173" s="463"/>
      <c r="AE173" s="463"/>
      <c r="AF173" s="463"/>
      <c r="AG173" s="463"/>
      <c r="AH173" s="463"/>
      <c r="AI173" s="1035"/>
      <c r="AJ173" s="464">
        <f>SUM(AJ171:AJ172)</f>
        <v>0</v>
      </c>
      <c r="AK173" s="869">
        <f>SUM(AK171:AK172)</f>
        <v>0</v>
      </c>
      <c r="AL173" s="869">
        <f>SUM(AL171:AL172)</f>
        <v>0</v>
      </c>
      <c r="AM173" s="870">
        <f t="shared" si="80"/>
        <v>0</v>
      </c>
      <c r="AN173" s="206"/>
      <c r="AQ173" s="1053"/>
      <c r="AR173" s="468"/>
    </row>
    <row r="174" spans="1:44" ht="30.75" thickBot="1">
      <c r="A174" s="697" t="s">
        <v>468</v>
      </c>
      <c r="B174" s="997"/>
      <c r="C174" s="998"/>
      <c r="D174" s="998"/>
      <c r="E174" s="998"/>
      <c r="F174" s="998"/>
      <c r="G174" s="998"/>
      <c r="H174" s="998"/>
      <c r="I174" s="998"/>
      <c r="J174" s="998"/>
      <c r="K174" s="998"/>
      <c r="L174" s="999"/>
      <c r="M174" s="999"/>
      <c r="N174" s="999"/>
      <c r="O174" s="999"/>
      <c r="P174" s="999"/>
      <c r="Q174" s="1000"/>
      <c r="R174" s="1000"/>
      <c r="S174" s="1001"/>
      <c r="T174" s="1002">
        <f>SUM(B174:R174)</f>
        <v>0</v>
      </c>
      <c r="U174" s="701"/>
      <c r="V174" s="702"/>
      <c r="W174" s="702"/>
      <c r="X174" s="702"/>
      <c r="Y174" s="702"/>
      <c r="Z174" s="703"/>
      <c r="AA174" s="712"/>
      <c r="AB174" s="1003"/>
      <c r="AC174" s="1004"/>
      <c r="AD174" s="709"/>
      <c r="AE174" s="709"/>
      <c r="AF174" s="709"/>
      <c r="AG174" s="709"/>
      <c r="AH174" s="709"/>
      <c r="AI174" s="1046"/>
      <c r="AJ174" s="710"/>
      <c r="AK174" s="1005"/>
      <c r="AL174" s="1005"/>
      <c r="AM174" s="205">
        <f t="shared" si="80"/>
        <v>0</v>
      </c>
      <c r="AN174" s="206"/>
      <c r="AQ174" s="1053"/>
      <c r="AR174" s="468"/>
    </row>
    <row r="175" spans="1:44" ht="16.5" thickBot="1">
      <c r="A175" s="451" t="s">
        <v>469</v>
      </c>
      <c r="B175" s="950">
        <f t="shared" ref="B175:M175" si="94">B174</f>
        <v>0</v>
      </c>
      <c r="C175" s="951">
        <f t="shared" si="94"/>
        <v>0</v>
      </c>
      <c r="D175" s="951">
        <f t="shared" si="94"/>
        <v>0</v>
      </c>
      <c r="E175" s="951"/>
      <c r="F175" s="951"/>
      <c r="G175" s="951"/>
      <c r="H175" s="951"/>
      <c r="I175" s="951"/>
      <c r="J175" s="951">
        <f t="shared" si="94"/>
        <v>0</v>
      </c>
      <c r="K175" s="951"/>
      <c r="L175" s="864">
        <f t="shared" si="94"/>
        <v>0</v>
      </c>
      <c r="M175" s="864">
        <f t="shared" si="94"/>
        <v>0</v>
      </c>
      <c r="N175" s="864">
        <f>N174</f>
        <v>0</v>
      </c>
      <c r="O175" s="864"/>
      <c r="P175" s="864"/>
      <c r="Q175" s="865">
        <f>Q174</f>
        <v>0</v>
      </c>
      <c r="R175" s="865"/>
      <c r="S175" s="866">
        <f>S174</f>
        <v>0</v>
      </c>
      <c r="T175" s="867">
        <f>T174</f>
        <v>0</v>
      </c>
      <c r="U175" s="455"/>
      <c r="V175" s="456"/>
      <c r="W175" s="456"/>
      <c r="X175" s="456"/>
      <c r="Y175" s="456"/>
      <c r="Z175" s="457">
        <f>Z174</f>
        <v>0</v>
      </c>
      <c r="AA175" s="466">
        <f>AA174</f>
        <v>0</v>
      </c>
      <c r="AB175" s="868">
        <f>AB174</f>
        <v>0</v>
      </c>
      <c r="AC175" s="462"/>
      <c r="AD175" s="463"/>
      <c r="AE175" s="463"/>
      <c r="AF175" s="463"/>
      <c r="AG175" s="463"/>
      <c r="AH175" s="463"/>
      <c r="AI175" s="1035"/>
      <c r="AJ175" s="464">
        <f>AJ174</f>
        <v>0</v>
      </c>
      <c r="AK175" s="869">
        <f>AK174</f>
        <v>0</v>
      </c>
      <c r="AL175" s="869">
        <f>AL174</f>
        <v>0</v>
      </c>
      <c r="AM175" s="870">
        <f t="shared" si="80"/>
        <v>0</v>
      </c>
      <c r="AN175" s="206"/>
      <c r="AQ175" s="1053"/>
      <c r="AR175" s="468"/>
    </row>
    <row r="176" spans="1:44" ht="30.75" thickBot="1">
      <c r="A176" s="697" t="s">
        <v>470</v>
      </c>
      <c r="B176" s="997"/>
      <c r="C176" s="998"/>
      <c r="D176" s="998"/>
      <c r="E176" s="998"/>
      <c r="F176" s="998"/>
      <c r="G176" s="998"/>
      <c r="H176" s="998"/>
      <c r="I176" s="998"/>
      <c r="J176" s="998"/>
      <c r="K176" s="998"/>
      <c r="L176" s="999"/>
      <c r="M176" s="999"/>
      <c r="N176" s="999"/>
      <c r="O176" s="999"/>
      <c r="P176" s="999"/>
      <c r="Q176" s="1000"/>
      <c r="R176" s="1000"/>
      <c r="S176" s="1001"/>
      <c r="T176" s="1002"/>
      <c r="U176" s="701"/>
      <c r="V176" s="702"/>
      <c r="W176" s="702"/>
      <c r="X176" s="702"/>
      <c r="Y176" s="702"/>
      <c r="Z176" s="703"/>
      <c r="AA176" s="712"/>
      <c r="AB176" s="1003"/>
      <c r="AC176" s="1004"/>
      <c r="AD176" s="709"/>
      <c r="AE176" s="709"/>
      <c r="AF176" s="709"/>
      <c r="AG176" s="709"/>
      <c r="AH176" s="709"/>
      <c r="AI176" s="1046"/>
      <c r="AJ176" s="710"/>
      <c r="AK176" s="1005"/>
      <c r="AL176" s="1005"/>
      <c r="AM176" s="205">
        <f t="shared" si="80"/>
        <v>0</v>
      </c>
      <c r="AN176" s="206"/>
      <c r="AQ176" s="1053"/>
      <c r="AR176" s="468"/>
    </row>
    <row r="177" spans="1:44" ht="32.25" thickBot="1">
      <c r="A177" s="451" t="s">
        <v>471</v>
      </c>
      <c r="B177" s="950">
        <f t="shared" ref="B177:M177" si="95">B176</f>
        <v>0</v>
      </c>
      <c r="C177" s="951">
        <f t="shared" si="95"/>
        <v>0</v>
      </c>
      <c r="D177" s="951">
        <f t="shared" si="95"/>
        <v>0</v>
      </c>
      <c r="E177" s="951"/>
      <c r="F177" s="951"/>
      <c r="G177" s="951"/>
      <c r="H177" s="951"/>
      <c r="I177" s="951"/>
      <c r="J177" s="951">
        <f t="shared" si="95"/>
        <v>0</v>
      </c>
      <c r="K177" s="951"/>
      <c r="L177" s="864">
        <f t="shared" si="95"/>
        <v>0</v>
      </c>
      <c r="M177" s="864">
        <f t="shared" si="95"/>
        <v>0</v>
      </c>
      <c r="N177" s="864">
        <f>N176</f>
        <v>0</v>
      </c>
      <c r="O177" s="864"/>
      <c r="P177" s="864"/>
      <c r="Q177" s="865">
        <f>Q176</f>
        <v>0</v>
      </c>
      <c r="R177" s="865"/>
      <c r="S177" s="866">
        <f>S176</f>
        <v>0</v>
      </c>
      <c r="T177" s="867">
        <f>T176</f>
        <v>0</v>
      </c>
      <c r="U177" s="455"/>
      <c r="V177" s="456"/>
      <c r="W177" s="456"/>
      <c r="X177" s="456"/>
      <c r="Y177" s="456"/>
      <c r="Z177" s="457">
        <f>Z176</f>
        <v>0</v>
      </c>
      <c r="AA177" s="466">
        <f>AA176</f>
        <v>0</v>
      </c>
      <c r="AB177" s="868">
        <f>AB176</f>
        <v>0</v>
      </c>
      <c r="AC177" s="462"/>
      <c r="AD177" s="463"/>
      <c r="AE177" s="463"/>
      <c r="AF177" s="463"/>
      <c r="AG177" s="463"/>
      <c r="AH177" s="463"/>
      <c r="AI177" s="1035"/>
      <c r="AJ177" s="464">
        <f>AJ176</f>
        <v>0</v>
      </c>
      <c r="AK177" s="869">
        <f>AK176</f>
        <v>0</v>
      </c>
      <c r="AL177" s="869">
        <f>AL176</f>
        <v>0</v>
      </c>
      <c r="AM177" s="870">
        <f t="shared" si="80"/>
        <v>0</v>
      </c>
      <c r="AN177" s="206"/>
      <c r="AQ177" s="1053"/>
      <c r="AR177" s="468"/>
    </row>
    <row r="178" spans="1:44" ht="30">
      <c r="A178" s="363" t="s">
        <v>472</v>
      </c>
      <c r="B178" s="1006"/>
      <c r="C178" s="1007"/>
      <c r="D178" s="1007"/>
      <c r="E178" s="1007"/>
      <c r="F178" s="1007"/>
      <c r="G178" s="1007"/>
      <c r="H178" s="1007"/>
      <c r="I178" s="1007"/>
      <c r="J178" s="1007"/>
      <c r="K178" s="1007"/>
      <c r="L178" s="821"/>
      <c r="M178" s="821"/>
      <c r="N178" s="821"/>
      <c r="O178" s="821"/>
      <c r="P178" s="821"/>
      <c r="Q178" s="737"/>
      <c r="R178" s="737"/>
      <c r="S178" s="738"/>
      <c r="T178" s="880">
        <f>SUM(B178:R178)</f>
        <v>0</v>
      </c>
      <c r="U178" s="488"/>
      <c r="V178" s="489"/>
      <c r="W178" s="489"/>
      <c r="X178" s="489"/>
      <c r="Y178" s="489"/>
      <c r="Z178" s="714"/>
      <c r="AA178" s="591"/>
      <c r="AB178" s="923"/>
      <c r="AC178" s="882"/>
      <c r="AD178" s="496"/>
      <c r="AE178" s="496"/>
      <c r="AF178" s="496"/>
      <c r="AG178" s="496"/>
      <c r="AH178" s="496"/>
      <c r="AI178" s="1037"/>
      <c r="AJ178" s="716"/>
      <c r="AK178" s="924"/>
      <c r="AL178" s="924"/>
      <c r="AM178" s="205">
        <f t="shared" si="80"/>
        <v>0</v>
      </c>
      <c r="AN178" s="206"/>
      <c r="AQ178" s="1053"/>
      <c r="AR178" s="468"/>
    </row>
    <row r="179" spans="1:44">
      <c r="A179" s="320" t="s">
        <v>473</v>
      </c>
      <c r="B179" s="944">
        <f t="shared" ref="B179:M179" si="96">B178</f>
        <v>0</v>
      </c>
      <c r="C179" s="945">
        <f t="shared" si="96"/>
        <v>0</v>
      </c>
      <c r="D179" s="945">
        <f t="shared" si="96"/>
        <v>0</v>
      </c>
      <c r="E179" s="945"/>
      <c r="F179" s="945"/>
      <c r="G179" s="945"/>
      <c r="H179" s="945"/>
      <c r="I179" s="945"/>
      <c r="J179" s="945">
        <f t="shared" si="96"/>
        <v>0</v>
      </c>
      <c r="K179" s="945"/>
      <c r="L179" s="799">
        <f t="shared" si="96"/>
        <v>0</v>
      </c>
      <c r="M179" s="799">
        <f t="shared" si="96"/>
        <v>0</v>
      </c>
      <c r="N179" s="799">
        <f>N178</f>
        <v>0</v>
      </c>
      <c r="O179" s="799"/>
      <c r="P179" s="799"/>
      <c r="Q179" s="800">
        <f>Q178</f>
        <v>0</v>
      </c>
      <c r="R179" s="800"/>
      <c r="S179" s="801">
        <f>S178</f>
        <v>0</v>
      </c>
      <c r="T179" s="1008">
        <f>T178</f>
        <v>0</v>
      </c>
      <c r="U179" s="324"/>
      <c r="V179" s="325"/>
      <c r="W179" s="325"/>
      <c r="X179" s="325"/>
      <c r="Y179" s="325"/>
      <c r="Z179" s="393">
        <f>Z178</f>
        <v>0</v>
      </c>
      <c r="AA179" s="372">
        <f>AA178</f>
        <v>0</v>
      </c>
      <c r="AB179" s="825">
        <f>AB178</f>
        <v>0</v>
      </c>
      <c r="AC179" s="804"/>
      <c r="AD179" s="330"/>
      <c r="AE179" s="330"/>
      <c r="AF179" s="330"/>
      <c r="AG179" s="330"/>
      <c r="AH179" s="330"/>
      <c r="AI179" s="1026"/>
      <c r="AJ179" s="396">
        <f>AJ178</f>
        <v>0</v>
      </c>
      <c r="AK179" s="826">
        <f>AK178</f>
        <v>0</v>
      </c>
      <c r="AL179" s="826">
        <f>AL178</f>
        <v>0</v>
      </c>
      <c r="AM179" s="220">
        <f t="shared" si="80"/>
        <v>0</v>
      </c>
      <c r="AN179" s="206"/>
      <c r="AQ179" s="1053"/>
      <c r="AR179" s="468"/>
    </row>
    <row r="180" spans="1:44" ht="30">
      <c r="A180" s="221" t="s">
        <v>474</v>
      </c>
      <c r="B180" s="1009"/>
      <c r="C180" s="1010"/>
      <c r="D180" s="1010"/>
      <c r="E180" s="1010"/>
      <c r="F180" s="1010"/>
      <c r="G180" s="1010"/>
      <c r="H180" s="1010"/>
      <c r="I180" s="1010"/>
      <c r="J180" s="1010"/>
      <c r="K180" s="1010"/>
      <c r="L180" s="797"/>
      <c r="M180" s="797"/>
      <c r="N180" s="797"/>
      <c r="O180" s="797"/>
      <c r="P180" s="797"/>
      <c r="Q180" s="750"/>
      <c r="R180" s="750"/>
      <c r="S180" s="751"/>
      <c r="T180" s="892">
        <f>SUM(B180:R180)</f>
        <v>0</v>
      </c>
      <c r="U180" s="518"/>
      <c r="V180" s="519"/>
      <c r="W180" s="519"/>
      <c r="X180" s="519"/>
      <c r="Y180" s="519"/>
      <c r="Z180" s="717"/>
      <c r="AA180" s="565"/>
      <c r="AB180" s="913"/>
      <c r="AC180" s="894"/>
      <c r="AD180" s="524"/>
      <c r="AE180" s="524"/>
      <c r="AF180" s="524"/>
      <c r="AG180" s="524"/>
      <c r="AH180" s="524"/>
      <c r="AI180" s="1039"/>
      <c r="AJ180" s="719"/>
      <c r="AK180" s="914"/>
      <c r="AL180" s="914"/>
      <c r="AM180" s="220">
        <f t="shared" si="80"/>
        <v>0</v>
      </c>
      <c r="AN180" s="206"/>
      <c r="AQ180" s="1053"/>
      <c r="AR180" s="468"/>
    </row>
    <row r="181" spans="1:44">
      <c r="A181" s="320" t="s">
        <v>475</v>
      </c>
      <c r="B181" s="944">
        <f t="shared" ref="B181:M181" si="97">B180</f>
        <v>0</v>
      </c>
      <c r="C181" s="945">
        <f t="shared" si="97"/>
        <v>0</v>
      </c>
      <c r="D181" s="945">
        <f t="shared" si="97"/>
        <v>0</v>
      </c>
      <c r="E181" s="945"/>
      <c r="F181" s="945"/>
      <c r="G181" s="945"/>
      <c r="H181" s="945"/>
      <c r="I181" s="945"/>
      <c r="J181" s="945">
        <f t="shared" si="97"/>
        <v>0</v>
      </c>
      <c r="K181" s="945"/>
      <c r="L181" s="799">
        <f t="shared" si="97"/>
        <v>0</v>
      </c>
      <c r="M181" s="799">
        <f t="shared" si="97"/>
        <v>0</v>
      </c>
      <c r="N181" s="799">
        <f>N180</f>
        <v>0</v>
      </c>
      <c r="O181" s="799"/>
      <c r="P181" s="799"/>
      <c r="Q181" s="800">
        <f>Q180</f>
        <v>0</v>
      </c>
      <c r="R181" s="800"/>
      <c r="S181" s="801">
        <f>S180</f>
        <v>0</v>
      </c>
      <c r="T181" s="1008">
        <f>T180</f>
        <v>0</v>
      </c>
      <c r="U181" s="324"/>
      <c r="V181" s="325"/>
      <c r="W181" s="325"/>
      <c r="X181" s="325"/>
      <c r="Y181" s="325"/>
      <c r="Z181" s="393">
        <f>Z180</f>
        <v>0</v>
      </c>
      <c r="AA181" s="372">
        <f>AA180</f>
        <v>0</v>
      </c>
      <c r="AB181" s="825">
        <f>AB180</f>
        <v>0</v>
      </c>
      <c r="AC181" s="804"/>
      <c r="AD181" s="330"/>
      <c r="AE181" s="330"/>
      <c r="AF181" s="330"/>
      <c r="AG181" s="330"/>
      <c r="AH181" s="330"/>
      <c r="AI181" s="1026"/>
      <c r="AJ181" s="396">
        <f>AJ180</f>
        <v>0</v>
      </c>
      <c r="AK181" s="826">
        <f>AK180</f>
        <v>0</v>
      </c>
      <c r="AL181" s="826">
        <f>AL180</f>
        <v>0</v>
      </c>
      <c r="AM181" s="220">
        <f t="shared" si="80"/>
        <v>0</v>
      </c>
      <c r="AN181" s="206"/>
      <c r="AQ181" s="1053"/>
      <c r="AR181" s="468"/>
    </row>
    <row r="182" spans="1:44">
      <c r="A182" s="320" t="s">
        <v>476</v>
      </c>
      <c r="B182" s="944"/>
      <c r="C182" s="945"/>
      <c r="D182" s="945"/>
      <c r="E182" s="945"/>
      <c r="F182" s="945"/>
      <c r="G182" s="945"/>
      <c r="H182" s="945"/>
      <c r="I182" s="945"/>
      <c r="J182" s="945"/>
      <c r="K182" s="945"/>
      <c r="L182" s="799"/>
      <c r="M182" s="799"/>
      <c r="N182" s="799"/>
      <c r="O182" s="799"/>
      <c r="P182" s="799"/>
      <c r="Q182" s="800"/>
      <c r="R182" s="800"/>
      <c r="S182" s="801"/>
      <c r="T182" s="892">
        <f>SUM(B182:R182)</f>
        <v>0</v>
      </c>
      <c r="U182" s="518"/>
      <c r="V182" s="519"/>
      <c r="W182" s="519"/>
      <c r="X182" s="519"/>
      <c r="Y182" s="519"/>
      <c r="Z182" s="393"/>
      <c r="AA182" s="526"/>
      <c r="AB182" s="893"/>
      <c r="AC182" s="894"/>
      <c r="AD182" s="524"/>
      <c r="AE182" s="524"/>
      <c r="AF182" s="524"/>
      <c r="AG182" s="524"/>
      <c r="AH182" s="524"/>
      <c r="AI182" s="1039"/>
      <c r="AJ182" s="396"/>
      <c r="AK182" s="895"/>
      <c r="AL182" s="895"/>
      <c r="AM182" s="220">
        <f t="shared" si="80"/>
        <v>0</v>
      </c>
      <c r="AN182" s="206"/>
      <c r="AQ182" s="1053"/>
      <c r="AR182" s="468"/>
    </row>
    <row r="183" spans="1:44">
      <c r="A183" s="320" t="s">
        <v>477</v>
      </c>
      <c r="B183" s="944"/>
      <c r="C183" s="945"/>
      <c r="D183" s="945"/>
      <c r="E183" s="945"/>
      <c r="F183" s="945"/>
      <c r="G183" s="945"/>
      <c r="H183" s="945"/>
      <c r="I183" s="945"/>
      <c r="J183" s="945"/>
      <c r="K183" s="945"/>
      <c r="L183" s="799"/>
      <c r="M183" s="799"/>
      <c r="N183" s="799"/>
      <c r="O183" s="799"/>
      <c r="P183" s="799"/>
      <c r="Q183" s="800"/>
      <c r="R183" s="800"/>
      <c r="S183" s="801"/>
      <c r="T183" s="892">
        <f>SUM(B183:R183)</f>
        <v>0</v>
      </c>
      <c r="U183" s="518"/>
      <c r="V183" s="519"/>
      <c r="W183" s="519"/>
      <c r="X183" s="519"/>
      <c r="Y183" s="519"/>
      <c r="Z183" s="393"/>
      <c r="AA183" s="400"/>
      <c r="AB183" s="860">
        <v>98121883</v>
      </c>
      <c r="AC183" s="894"/>
      <c r="AD183" s="524"/>
      <c r="AE183" s="524"/>
      <c r="AF183" s="524"/>
      <c r="AG183" s="524"/>
      <c r="AH183" s="524"/>
      <c r="AI183" s="1039"/>
      <c r="AJ183" s="396"/>
      <c r="AK183" s="839"/>
      <c r="AL183" s="839"/>
      <c r="AM183" s="220">
        <f t="shared" si="80"/>
        <v>98121883</v>
      </c>
      <c r="AN183" s="206"/>
      <c r="AQ183" s="1053"/>
      <c r="AR183" s="468"/>
    </row>
    <row r="184" spans="1:44" ht="16.5" thickBot="1">
      <c r="A184" s="566" t="s">
        <v>478</v>
      </c>
      <c r="B184" s="948">
        <f t="shared" ref="B184:M184" si="98">B179+B181+B182+B183</f>
        <v>0</v>
      </c>
      <c r="C184" s="949">
        <f t="shared" si="98"/>
        <v>0</v>
      </c>
      <c r="D184" s="949">
        <f t="shared" si="98"/>
        <v>0</v>
      </c>
      <c r="E184" s="949"/>
      <c r="F184" s="949"/>
      <c r="G184" s="949"/>
      <c r="H184" s="949"/>
      <c r="I184" s="949"/>
      <c r="J184" s="949">
        <f t="shared" si="98"/>
        <v>0</v>
      </c>
      <c r="K184" s="949"/>
      <c r="L184" s="897">
        <f t="shared" si="98"/>
        <v>0</v>
      </c>
      <c r="M184" s="897">
        <f t="shared" si="98"/>
        <v>0</v>
      </c>
      <c r="N184" s="897">
        <f>N179+N181+N182+N183</f>
        <v>0</v>
      </c>
      <c r="O184" s="897"/>
      <c r="P184" s="897"/>
      <c r="Q184" s="898">
        <f>Q179+Q181+Q182+Q183</f>
        <v>0</v>
      </c>
      <c r="R184" s="898"/>
      <c r="S184" s="899">
        <f>S179+S181+S182+S183</f>
        <v>0</v>
      </c>
      <c r="T184" s="900">
        <f>T179+T181+T182+T183</f>
        <v>0</v>
      </c>
      <c r="U184" s="687"/>
      <c r="V184" s="688"/>
      <c r="W184" s="688"/>
      <c r="X184" s="688"/>
      <c r="Y184" s="688"/>
      <c r="Z184" s="572">
        <f>Z179+Z181+Z182+Z183</f>
        <v>0</v>
      </c>
      <c r="AA184" s="695"/>
      <c r="AB184" s="901">
        <f>AB179+AB181+AB182+AB183</f>
        <v>98121883</v>
      </c>
      <c r="AC184" s="902"/>
      <c r="AD184" s="693"/>
      <c r="AE184" s="693"/>
      <c r="AF184" s="693"/>
      <c r="AG184" s="693"/>
      <c r="AH184" s="693"/>
      <c r="AI184" s="1040"/>
      <c r="AJ184" s="579">
        <f>AJ179+AJ181+AJ182+AJ183</f>
        <v>0</v>
      </c>
      <c r="AK184" s="903">
        <f>AK179+AK181+AK182+AK183</f>
        <v>0</v>
      </c>
      <c r="AL184" s="903">
        <f>AL179+AL181+AL182+AL183</f>
        <v>0</v>
      </c>
      <c r="AM184" s="249">
        <f t="shared" si="80"/>
        <v>98121883</v>
      </c>
      <c r="AN184" s="206"/>
      <c r="AQ184" s="1053"/>
      <c r="AR184" s="468"/>
    </row>
    <row r="185" spans="1:44" ht="16.5" thickBot="1">
      <c r="A185" s="451" t="s">
        <v>479</v>
      </c>
      <c r="B185" s="950">
        <f t="shared" ref="B185:M185" si="99">B184</f>
        <v>0</v>
      </c>
      <c r="C185" s="951">
        <f t="shared" si="99"/>
        <v>0</v>
      </c>
      <c r="D185" s="951">
        <f t="shared" si="99"/>
        <v>0</v>
      </c>
      <c r="E185" s="951"/>
      <c r="F185" s="951"/>
      <c r="G185" s="951"/>
      <c r="H185" s="951"/>
      <c r="I185" s="951"/>
      <c r="J185" s="951">
        <f t="shared" si="99"/>
        <v>0</v>
      </c>
      <c r="K185" s="951"/>
      <c r="L185" s="864">
        <f t="shared" si="99"/>
        <v>0</v>
      </c>
      <c r="M185" s="864">
        <f t="shared" si="99"/>
        <v>0</v>
      </c>
      <c r="N185" s="864">
        <f>N184</f>
        <v>0</v>
      </c>
      <c r="O185" s="864"/>
      <c r="P185" s="864"/>
      <c r="Q185" s="865">
        <f>Q184</f>
        <v>0</v>
      </c>
      <c r="R185" s="865"/>
      <c r="S185" s="866">
        <f>S184</f>
        <v>0</v>
      </c>
      <c r="T185" s="867">
        <f>T184</f>
        <v>0</v>
      </c>
      <c r="U185" s="455"/>
      <c r="V185" s="456"/>
      <c r="W185" s="456"/>
      <c r="X185" s="456"/>
      <c r="Y185" s="456"/>
      <c r="Z185" s="457">
        <f>Z184</f>
        <v>0</v>
      </c>
      <c r="AA185" s="466">
        <f>AA184</f>
        <v>0</v>
      </c>
      <c r="AB185" s="868">
        <f>AB184</f>
        <v>98121883</v>
      </c>
      <c r="AC185" s="462"/>
      <c r="AD185" s="463"/>
      <c r="AE185" s="463"/>
      <c r="AF185" s="463"/>
      <c r="AG185" s="463"/>
      <c r="AH185" s="463"/>
      <c r="AI185" s="1035"/>
      <c r="AJ185" s="464">
        <f>AJ184</f>
        <v>0</v>
      </c>
      <c r="AK185" s="869">
        <f>AK184</f>
        <v>0</v>
      </c>
      <c r="AL185" s="869">
        <f>AL184</f>
        <v>0</v>
      </c>
      <c r="AM185" s="870">
        <f t="shared" si="80"/>
        <v>98121883</v>
      </c>
      <c r="AN185" s="206"/>
      <c r="AQ185" s="1053"/>
      <c r="AR185" s="468"/>
    </row>
    <row r="186" spans="1:44" ht="19.5" thickBot="1">
      <c r="A186" s="624" t="s">
        <v>480</v>
      </c>
      <c r="B186" s="625">
        <f t="shared" ref="B186:M186" si="100">B134+B140+B159+B170+B173+B175+B177+B185</f>
        <v>0</v>
      </c>
      <c r="C186" s="626">
        <f t="shared" si="100"/>
        <v>0</v>
      </c>
      <c r="D186" s="626">
        <f t="shared" si="100"/>
        <v>0</v>
      </c>
      <c r="E186" s="626"/>
      <c r="F186" s="626"/>
      <c r="G186" s="626"/>
      <c r="H186" s="626"/>
      <c r="I186" s="626"/>
      <c r="J186" s="626">
        <f t="shared" si="100"/>
        <v>0</v>
      </c>
      <c r="K186" s="626"/>
      <c r="L186" s="626">
        <f t="shared" si="100"/>
        <v>430200</v>
      </c>
      <c r="M186" s="626">
        <f t="shared" si="100"/>
        <v>0</v>
      </c>
      <c r="N186" s="626">
        <f>N134+N140+N159+N170+N173+N175+N177+N185</f>
        <v>430200</v>
      </c>
      <c r="O186" s="626"/>
      <c r="P186" s="626"/>
      <c r="Q186" s="626">
        <f>Q134+Q140+Q159+Q170+Q173+Q175+Q177+Q185</f>
        <v>0</v>
      </c>
      <c r="R186" s="626"/>
      <c r="S186" s="626">
        <f>S134+S140+S159+S170+S173+S175+S177+S185</f>
        <v>10000</v>
      </c>
      <c r="T186" s="627">
        <f>T134+T140+T159+T170+T173+T175+T177+T185</f>
        <v>870400</v>
      </c>
      <c r="U186" s="625"/>
      <c r="V186" s="626"/>
      <c r="W186" s="626"/>
      <c r="X186" s="626"/>
      <c r="Y186" s="626"/>
      <c r="Z186" s="627">
        <f>Z134+Z140+Z159+Z170+Z173+Z175+Z177+Z185</f>
        <v>0</v>
      </c>
      <c r="AA186" s="629">
        <f>AA134+AA140+AA159+AA170+AA173+AA175+AA177+AA185</f>
        <v>1740000</v>
      </c>
      <c r="AB186" s="629">
        <f>AB134+AB140+AB159+AB170+AB173+AB175+AB177+AB185</f>
        <v>98121883</v>
      </c>
      <c r="AC186" s="1011"/>
      <c r="AD186" s="626"/>
      <c r="AE186" s="626"/>
      <c r="AF186" s="626"/>
      <c r="AG186" s="626"/>
      <c r="AH186" s="626"/>
      <c r="AI186" s="626"/>
      <c r="AJ186" s="627">
        <f>AJ134+AJ140+AJ159+AJ170+AJ173+AJ175+AJ177+AJ185</f>
        <v>3000</v>
      </c>
      <c r="AK186" s="629">
        <f>AK134+AK140+AK159+AK170+AK173+AK175+AK177+AK185</f>
        <v>0</v>
      </c>
      <c r="AL186" s="629">
        <f>AL134+AL140+AL159+AL170+AL173+AL175+AL177+AL185</f>
        <v>0</v>
      </c>
      <c r="AM186" s="630">
        <f t="shared" si="80"/>
        <v>100735283</v>
      </c>
      <c r="AN186" s="206">
        <f>AM123-AM186</f>
        <v>0</v>
      </c>
      <c r="AQ186" s="1053"/>
      <c r="AR186" s="468"/>
    </row>
    <row r="187" spans="1:44">
      <c r="T187" s="721">
        <f>T186-T123-Z123</f>
        <v>-75802839</v>
      </c>
      <c r="AA187" s="721">
        <f>AA186-AA123</f>
        <v>-5616950</v>
      </c>
      <c r="AB187" s="721">
        <f>T188</f>
        <v>24188967</v>
      </c>
      <c r="AC187" t="s">
        <v>535</v>
      </c>
      <c r="AJ187" s="721">
        <f>AJ186-AJ123</f>
        <v>-16702094</v>
      </c>
      <c r="AM187" s="1012">
        <f>T187+AA187+AJ187</f>
        <v>-98121883</v>
      </c>
    </row>
    <row r="188" spans="1:44">
      <c r="T188" s="721">
        <v>24188967</v>
      </c>
      <c r="U188" t="s">
        <v>535</v>
      </c>
      <c r="Y188" t="s">
        <v>536</v>
      </c>
      <c r="AA188" s="721">
        <v>5844000</v>
      </c>
      <c r="AB188" s="721">
        <f>T189</f>
        <v>8820000</v>
      </c>
      <c r="AC188" t="s">
        <v>537</v>
      </c>
      <c r="AJ188" s="721">
        <v>11302900</v>
      </c>
      <c r="AK188" t="s">
        <v>538</v>
      </c>
      <c r="AM188" s="1012"/>
    </row>
    <row r="189" spans="1:44">
      <c r="T189" s="721">
        <v>8820000</v>
      </c>
      <c r="U189" t="s">
        <v>537</v>
      </c>
      <c r="Y189" t="s">
        <v>539</v>
      </c>
      <c r="AA189" s="721">
        <v>2922000</v>
      </c>
      <c r="AB189" s="721">
        <f>T190</f>
        <v>12531633</v>
      </c>
      <c r="AC189" t="s">
        <v>540</v>
      </c>
      <c r="AJ189" s="721">
        <v>1940000</v>
      </c>
      <c r="AK189" t="s">
        <v>541</v>
      </c>
      <c r="AM189" s="1012"/>
    </row>
    <row r="190" spans="1:44">
      <c r="T190" s="721">
        <v>12531633</v>
      </c>
      <c r="U190" t="s">
        <v>540</v>
      </c>
      <c r="Y190" t="s">
        <v>542</v>
      </c>
      <c r="AA190" s="721"/>
      <c r="AB190" s="721">
        <f>T191</f>
        <v>4410000</v>
      </c>
      <c r="AC190" t="s">
        <v>543</v>
      </c>
      <c r="AJ190" s="728">
        <f>AJ187+SUM(AJ188:AJ189)</f>
        <v>-3459194</v>
      </c>
      <c r="AM190" s="1012"/>
    </row>
    <row r="191" spans="1:44">
      <c r="T191" s="721">
        <v>4410000</v>
      </c>
      <c r="U191" t="s">
        <v>543</v>
      </c>
      <c r="AA191" s="728">
        <f>AA187+SUM(AA188:AA190)</f>
        <v>3149050</v>
      </c>
      <c r="AB191" s="721">
        <f>AA188</f>
        <v>5844000</v>
      </c>
      <c r="AC191" t="s">
        <v>536</v>
      </c>
      <c r="AJ191" s="726">
        <v>3459194</v>
      </c>
      <c r="AK191" s="389" t="s">
        <v>493</v>
      </c>
      <c r="AM191" s="1012"/>
    </row>
    <row r="192" spans="1:44">
      <c r="T192" s="721"/>
      <c r="U192" t="s">
        <v>544</v>
      </c>
      <c r="AB192" s="721">
        <f>AA189</f>
        <v>2922000</v>
      </c>
      <c r="AC192" t="s">
        <v>539</v>
      </c>
      <c r="AJ192" s="728">
        <f>AJ190+AJ191</f>
        <v>0</v>
      </c>
      <c r="AM192" s="1012"/>
    </row>
    <row r="193" spans="20:39">
      <c r="T193" s="721"/>
      <c r="U193" t="s">
        <v>545</v>
      </c>
      <c r="AB193" s="721">
        <f>T194</f>
        <v>793400</v>
      </c>
      <c r="AC193" t="s">
        <v>546</v>
      </c>
      <c r="AM193" s="1012"/>
    </row>
    <row r="194" spans="20:39">
      <c r="T194" s="721">
        <v>793400</v>
      </c>
      <c r="U194" t="s">
        <v>546</v>
      </c>
      <c r="AB194" s="721">
        <f>AJ188</f>
        <v>11302900</v>
      </c>
      <c r="AC194" t="s">
        <v>538</v>
      </c>
      <c r="AM194" s="1012"/>
    </row>
    <row r="195" spans="20:39">
      <c r="T195" s="728">
        <f>T187+SUM(T188:T194)</f>
        <v>-25058839</v>
      </c>
      <c r="AB195" s="721">
        <f>AJ189</f>
        <v>1940000</v>
      </c>
      <c r="AC195" t="s">
        <v>541</v>
      </c>
      <c r="AM195" s="1012"/>
    </row>
    <row r="196" spans="20:39">
      <c r="T196" s="728"/>
      <c r="AB196" s="726">
        <f>AJ191</f>
        <v>3459194</v>
      </c>
      <c r="AC196" s="389" t="s">
        <v>547</v>
      </c>
      <c r="AD196" s="389"/>
      <c r="AM196" s="1012"/>
    </row>
    <row r="197" spans="20:39">
      <c r="Z197" s="1013"/>
      <c r="AA197" s="1013"/>
      <c r="AB197" s="727">
        <f>SUM(AB187:AB196)</f>
        <v>76212094</v>
      </c>
      <c r="AC197" s="1013" t="s">
        <v>495</v>
      </c>
      <c r="AM197" s="1012"/>
    </row>
    <row r="198" spans="20:39">
      <c r="Z198" s="1014"/>
      <c r="AA198" s="1014"/>
      <c r="AB198" s="728">
        <f>AB186-AB197</f>
        <v>21909789</v>
      </c>
      <c r="AC198" s="1014" t="s">
        <v>496</v>
      </c>
      <c r="AM198" s="1012">
        <f>T195+AA191+AJ192</f>
        <v>-21909789</v>
      </c>
    </row>
    <row r="199" spans="20:39">
      <c r="AB199" s="721">
        <f>T192</f>
        <v>0</v>
      </c>
      <c r="AC199" t="s">
        <v>544</v>
      </c>
      <c r="AM199" s="1012"/>
    </row>
    <row r="200" spans="20:39">
      <c r="AB200" s="721">
        <f>T193</f>
        <v>0</v>
      </c>
      <c r="AC200" t="s">
        <v>545</v>
      </c>
      <c r="AM200" s="1012"/>
    </row>
    <row r="201" spans="20:39">
      <c r="AB201" s="721">
        <f>AA190</f>
        <v>0</v>
      </c>
      <c r="AC201" t="s">
        <v>542</v>
      </c>
      <c r="AM201" s="1012"/>
    </row>
    <row r="202" spans="20:39">
      <c r="AB202" s="1057">
        <f>SUM(AB199:AB201)</f>
        <v>0</v>
      </c>
      <c r="AC202" t="s">
        <v>548</v>
      </c>
    </row>
    <row r="203" spans="20:39">
      <c r="AB203" s="727">
        <f>AR123</f>
        <v>4053759</v>
      </c>
      <c r="AC203" t="s">
        <v>567</v>
      </c>
    </row>
    <row r="204" spans="20:39">
      <c r="AB204" s="728">
        <f>AB198-(AB202+AB199+AB200+AB201+AB203)</f>
        <v>17856030</v>
      </c>
      <c r="AC204" s="1014"/>
    </row>
  </sheetData>
  <sheetProtection password="DCF7" sheet="1" objects="1" scenarios="1" selectLockedCells="1" selectUnlockedCells="1"/>
  <mergeCells count="11">
    <mergeCell ref="AP125:AR125"/>
    <mergeCell ref="A1:AM1"/>
    <mergeCell ref="A2:A3"/>
    <mergeCell ref="B2:T2"/>
    <mergeCell ref="U2:Z2"/>
    <mergeCell ref="AA2:AA3"/>
    <mergeCell ref="AB2:AB3"/>
    <mergeCell ref="AC2:AJ2"/>
    <mergeCell ref="AK2:AK3"/>
    <mergeCell ref="AL2:AL3"/>
    <mergeCell ref="AM2:AM3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K151"/>
  <sheetViews>
    <sheetView view="pageBreakPreview" zoomScaleNormal="100" zoomScaleSheetLayoutView="100" workbookViewId="0">
      <selection activeCell="D5" sqref="D5"/>
    </sheetView>
  </sheetViews>
  <sheetFormatPr defaultRowHeight="12.75"/>
  <cols>
    <col min="1" max="1" width="16.7109375" style="1190" customWidth="1"/>
    <col min="2" max="2" width="52.5703125" style="1191" customWidth="1"/>
    <col min="3" max="3" width="11" style="1192" customWidth="1"/>
    <col min="4" max="4" width="13.42578125" style="1192" customWidth="1"/>
    <col min="5" max="256" width="9.140625" style="1093"/>
    <col min="257" max="257" width="16.7109375" style="1093" customWidth="1"/>
    <col min="258" max="258" width="52.5703125" style="1093" customWidth="1"/>
    <col min="259" max="259" width="11" style="1093" customWidth="1"/>
    <col min="260" max="260" width="13.42578125" style="1093" customWidth="1"/>
    <col min="261" max="512" width="9.140625" style="1093"/>
    <col min="513" max="513" width="16.7109375" style="1093" customWidth="1"/>
    <col min="514" max="514" width="52.5703125" style="1093" customWidth="1"/>
    <col min="515" max="515" width="11" style="1093" customWidth="1"/>
    <col min="516" max="516" width="13.42578125" style="1093" customWidth="1"/>
    <col min="517" max="768" width="9.140625" style="1093"/>
    <col min="769" max="769" width="16.7109375" style="1093" customWidth="1"/>
    <col min="770" max="770" width="52.5703125" style="1093" customWidth="1"/>
    <col min="771" max="771" width="11" style="1093" customWidth="1"/>
    <col min="772" max="772" width="13.42578125" style="1093" customWidth="1"/>
    <col min="773" max="1024" width="9.140625" style="1093"/>
    <col min="1025" max="1025" width="16.7109375" style="1093" customWidth="1"/>
    <col min="1026" max="1026" width="52.5703125" style="1093" customWidth="1"/>
    <col min="1027" max="1027" width="11" style="1093" customWidth="1"/>
    <col min="1028" max="1028" width="13.42578125" style="1093" customWidth="1"/>
    <col min="1029" max="1280" width="9.140625" style="1093"/>
    <col min="1281" max="1281" width="16.7109375" style="1093" customWidth="1"/>
    <col min="1282" max="1282" width="52.5703125" style="1093" customWidth="1"/>
    <col min="1283" max="1283" width="11" style="1093" customWidth="1"/>
    <col min="1284" max="1284" width="13.42578125" style="1093" customWidth="1"/>
    <col min="1285" max="1536" width="9.140625" style="1093"/>
    <col min="1537" max="1537" width="16.7109375" style="1093" customWidth="1"/>
    <col min="1538" max="1538" width="52.5703125" style="1093" customWidth="1"/>
    <col min="1539" max="1539" width="11" style="1093" customWidth="1"/>
    <col min="1540" max="1540" width="13.42578125" style="1093" customWidth="1"/>
    <col min="1541" max="1792" width="9.140625" style="1093"/>
    <col min="1793" max="1793" width="16.7109375" style="1093" customWidth="1"/>
    <col min="1794" max="1794" width="52.5703125" style="1093" customWidth="1"/>
    <col min="1795" max="1795" width="11" style="1093" customWidth="1"/>
    <col min="1796" max="1796" width="13.42578125" style="1093" customWidth="1"/>
    <col min="1797" max="2048" width="9.140625" style="1093"/>
    <col min="2049" max="2049" width="16.7109375" style="1093" customWidth="1"/>
    <col min="2050" max="2050" width="52.5703125" style="1093" customWidth="1"/>
    <col min="2051" max="2051" width="11" style="1093" customWidth="1"/>
    <col min="2052" max="2052" width="13.42578125" style="1093" customWidth="1"/>
    <col min="2053" max="2304" width="9.140625" style="1093"/>
    <col min="2305" max="2305" width="16.7109375" style="1093" customWidth="1"/>
    <col min="2306" max="2306" width="52.5703125" style="1093" customWidth="1"/>
    <col min="2307" max="2307" width="11" style="1093" customWidth="1"/>
    <col min="2308" max="2308" width="13.42578125" style="1093" customWidth="1"/>
    <col min="2309" max="2560" width="9.140625" style="1093"/>
    <col min="2561" max="2561" width="16.7109375" style="1093" customWidth="1"/>
    <col min="2562" max="2562" width="52.5703125" style="1093" customWidth="1"/>
    <col min="2563" max="2563" width="11" style="1093" customWidth="1"/>
    <col min="2564" max="2564" width="13.42578125" style="1093" customWidth="1"/>
    <col min="2565" max="2816" width="9.140625" style="1093"/>
    <col min="2817" max="2817" width="16.7109375" style="1093" customWidth="1"/>
    <col min="2818" max="2818" width="52.5703125" style="1093" customWidth="1"/>
    <col min="2819" max="2819" width="11" style="1093" customWidth="1"/>
    <col min="2820" max="2820" width="13.42578125" style="1093" customWidth="1"/>
    <col min="2821" max="3072" width="9.140625" style="1093"/>
    <col min="3073" max="3073" width="16.7109375" style="1093" customWidth="1"/>
    <col min="3074" max="3074" width="52.5703125" style="1093" customWidth="1"/>
    <col min="3075" max="3075" width="11" style="1093" customWidth="1"/>
    <col min="3076" max="3076" width="13.42578125" style="1093" customWidth="1"/>
    <col min="3077" max="3328" width="9.140625" style="1093"/>
    <col min="3329" max="3329" width="16.7109375" style="1093" customWidth="1"/>
    <col min="3330" max="3330" width="52.5703125" style="1093" customWidth="1"/>
    <col min="3331" max="3331" width="11" style="1093" customWidth="1"/>
    <col min="3332" max="3332" width="13.42578125" style="1093" customWidth="1"/>
    <col min="3333" max="3584" width="9.140625" style="1093"/>
    <col min="3585" max="3585" width="16.7109375" style="1093" customWidth="1"/>
    <col min="3586" max="3586" width="52.5703125" style="1093" customWidth="1"/>
    <col min="3587" max="3587" width="11" style="1093" customWidth="1"/>
    <col min="3588" max="3588" width="13.42578125" style="1093" customWidth="1"/>
    <col min="3589" max="3840" width="9.140625" style="1093"/>
    <col min="3841" max="3841" width="16.7109375" style="1093" customWidth="1"/>
    <col min="3842" max="3842" width="52.5703125" style="1093" customWidth="1"/>
    <col min="3843" max="3843" width="11" style="1093" customWidth="1"/>
    <col min="3844" max="3844" width="13.42578125" style="1093" customWidth="1"/>
    <col min="3845" max="4096" width="9.140625" style="1093"/>
    <col min="4097" max="4097" width="16.7109375" style="1093" customWidth="1"/>
    <col min="4098" max="4098" width="52.5703125" style="1093" customWidth="1"/>
    <col min="4099" max="4099" width="11" style="1093" customWidth="1"/>
    <col min="4100" max="4100" width="13.42578125" style="1093" customWidth="1"/>
    <col min="4101" max="4352" width="9.140625" style="1093"/>
    <col min="4353" max="4353" width="16.7109375" style="1093" customWidth="1"/>
    <col min="4354" max="4354" width="52.5703125" style="1093" customWidth="1"/>
    <col min="4355" max="4355" width="11" style="1093" customWidth="1"/>
    <col min="4356" max="4356" width="13.42578125" style="1093" customWidth="1"/>
    <col min="4357" max="4608" width="9.140625" style="1093"/>
    <col min="4609" max="4609" width="16.7109375" style="1093" customWidth="1"/>
    <col min="4610" max="4610" width="52.5703125" style="1093" customWidth="1"/>
    <col min="4611" max="4611" width="11" style="1093" customWidth="1"/>
    <col min="4612" max="4612" width="13.42578125" style="1093" customWidth="1"/>
    <col min="4613" max="4864" width="9.140625" style="1093"/>
    <col min="4865" max="4865" width="16.7109375" style="1093" customWidth="1"/>
    <col min="4866" max="4866" width="52.5703125" style="1093" customWidth="1"/>
    <col min="4867" max="4867" width="11" style="1093" customWidth="1"/>
    <col min="4868" max="4868" width="13.42578125" style="1093" customWidth="1"/>
    <col min="4869" max="5120" width="9.140625" style="1093"/>
    <col min="5121" max="5121" width="16.7109375" style="1093" customWidth="1"/>
    <col min="5122" max="5122" width="52.5703125" style="1093" customWidth="1"/>
    <col min="5123" max="5123" width="11" style="1093" customWidth="1"/>
    <col min="5124" max="5124" width="13.42578125" style="1093" customWidth="1"/>
    <col min="5125" max="5376" width="9.140625" style="1093"/>
    <col min="5377" max="5377" width="16.7109375" style="1093" customWidth="1"/>
    <col min="5378" max="5378" width="52.5703125" style="1093" customWidth="1"/>
    <col min="5379" max="5379" width="11" style="1093" customWidth="1"/>
    <col min="5380" max="5380" width="13.42578125" style="1093" customWidth="1"/>
    <col min="5381" max="5632" width="9.140625" style="1093"/>
    <col min="5633" max="5633" width="16.7109375" style="1093" customWidth="1"/>
    <col min="5634" max="5634" width="52.5703125" style="1093" customWidth="1"/>
    <col min="5635" max="5635" width="11" style="1093" customWidth="1"/>
    <col min="5636" max="5636" width="13.42578125" style="1093" customWidth="1"/>
    <col min="5637" max="5888" width="9.140625" style="1093"/>
    <col min="5889" max="5889" width="16.7109375" style="1093" customWidth="1"/>
    <col min="5890" max="5890" width="52.5703125" style="1093" customWidth="1"/>
    <col min="5891" max="5891" width="11" style="1093" customWidth="1"/>
    <col min="5892" max="5892" width="13.42578125" style="1093" customWidth="1"/>
    <col min="5893" max="6144" width="9.140625" style="1093"/>
    <col min="6145" max="6145" width="16.7109375" style="1093" customWidth="1"/>
    <col min="6146" max="6146" width="52.5703125" style="1093" customWidth="1"/>
    <col min="6147" max="6147" width="11" style="1093" customWidth="1"/>
    <col min="6148" max="6148" width="13.42578125" style="1093" customWidth="1"/>
    <col min="6149" max="6400" width="9.140625" style="1093"/>
    <col min="6401" max="6401" width="16.7109375" style="1093" customWidth="1"/>
    <col min="6402" max="6402" width="52.5703125" style="1093" customWidth="1"/>
    <col min="6403" max="6403" width="11" style="1093" customWidth="1"/>
    <col min="6404" max="6404" width="13.42578125" style="1093" customWidth="1"/>
    <col min="6405" max="6656" width="9.140625" style="1093"/>
    <col min="6657" max="6657" width="16.7109375" style="1093" customWidth="1"/>
    <col min="6658" max="6658" width="52.5703125" style="1093" customWidth="1"/>
    <col min="6659" max="6659" width="11" style="1093" customWidth="1"/>
    <col min="6660" max="6660" width="13.42578125" style="1093" customWidth="1"/>
    <col min="6661" max="6912" width="9.140625" style="1093"/>
    <col min="6913" max="6913" width="16.7109375" style="1093" customWidth="1"/>
    <col min="6914" max="6914" width="52.5703125" style="1093" customWidth="1"/>
    <col min="6915" max="6915" width="11" style="1093" customWidth="1"/>
    <col min="6916" max="6916" width="13.42578125" style="1093" customWidth="1"/>
    <col min="6917" max="7168" width="9.140625" style="1093"/>
    <col min="7169" max="7169" width="16.7109375" style="1093" customWidth="1"/>
    <col min="7170" max="7170" width="52.5703125" style="1093" customWidth="1"/>
    <col min="7171" max="7171" width="11" style="1093" customWidth="1"/>
    <col min="7172" max="7172" width="13.42578125" style="1093" customWidth="1"/>
    <col min="7173" max="7424" width="9.140625" style="1093"/>
    <col min="7425" max="7425" width="16.7109375" style="1093" customWidth="1"/>
    <col min="7426" max="7426" width="52.5703125" style="1093" customWidth="1"/>
    <col min="7427" max="7427" width="11" style="1093" customWidth="1"/>
    <col min="7428" max="7428" width="13.42578125" style="1093" customWidth="1"/>
    <col min="7429" max="7680" width="9.140625" style="1093"/>
    <col min="7681" max="7681" width="16.7109375" style="1093" customWidth="1"/>
    <col min="7682" max="7682" width="52.5703125" style="1093" customWidth="1"/>
    <col min="7683" max="7683" width="11" style="1093" customWidth="1"/>
    <col min="7684" max="7684" width="13.42578125" style="1093" customWidth="1"/>
    <col min="7685" max="7936" width="9.140625" style="1093"/>
    <col min="7937" max="7937" width="16.7109375" style="1093" customWidth="1"/>
    <col min="7938" max="7938" width="52.5703125" style="1093" customWidth="1"/>
    <col min="7939" max="7939" width="11" style="1093" customWidth="1"/>
    <col min="7940" max="7940" width="13.42578125" style="1093" customWidth="1"/>
    <col min="7941" max="8192" width="9.140625" style="1093"/>
    <col min="8193" max="8193" width="16.7109375" style="1093" customWidth="1"/>
    <col min="8194" max="8194" width="52.5703125" style="1093" customWidth="1"/>
    <col min="8195" max="8195" width="11" style="1093" customWidth="1"/>
    <col min="8196" max="8196" width="13.42578125" style="1093" customWidth="1"/>
    <col min="8197" max="8448" width="9.140625" style="1093"/>
    <col min="8449" max="8449" width="16.7109375" style="1093" customWidth="1"/>
    <col min="8450" max="8450" width="52.5703125" style="1093" customWidth="1"/>
    <col min="8451" max="8451" width="11" style="1093" customWidth="1"/>
    <col min="8452" max="8452" width="13.42578125" style="1093" customWidth="1"/>
    <col min="8453" max="8704" width="9.140625" style="1093"/>
    <col min="8705" max="8705" width="16.7109375" style="1093" customWidth="1"/>
    <col min="8706" max="8706" width="52.5703125" style="1093" customWidth="1"/>
    <col min="8707" max="8707" width="11" style="1093" customWidth="1"/>
    <col min="8708" max="8708" width="13.42578125" style="1093" customWidth="1"/>
    <col min="8709" max="8960" width="9.140625" style="1093"/>
    <col min="8961" max="8961" width="16.7109375" style="1093" customWidth="1"/>
    <col min="8962" max="8962" width="52.5703125" style="1093" customWidth="1"/>
    <col min="8963" max="8963" width="11" style="1093" customWidth="1"/>
    <col min="8964" max="8964" width="13.42578125" style="1093" customWidth="1"/>
    <col min="8965" max="9216" width="9.140625" style="1093"/>
    <col min="9217" max="9217" width="16.7109375" style="1093" customWidth="1"/>
    <col min="9218" max="9218" width="52.5703125" style="1093" customWidth="1"/>
    <col min="9219" max="9219" width="11" style="1093" customWidth="1"/>
    <col min="9220" max="9220" width="13.42578125" style="1093" customWidth="1"/>
    <col min="9221" max="9472" width="9.140625" style="1093"/>
    <col min="9473" max="9473" width="16.7109375" style="1093" customWidth="1"/>
    <col min="9474" max="9474" width="52.5703125" style="1093" customWidth="1"/>
    <col min="9475" max="9475" width="11" style="1093" customWidth="1"/>
    <col min="9476" max="9476" width="13.42578125" style="1093" customWidth="1"/>
    <col min="9477" max="9728" width="9.140625" style="1093"/>
    <col min="9729" max="9729" width="16.7109375" style="1093" customWidth="1"/>
    <col min="9730" max="9730" width="52.5703125" style="1093" customWidth="1"/>
    <col min="9731" max="9731" width="11" style="1093" customWidth="1"/>
    <col min="9732" max="9732" width="13.42578125" style="1093" customWidth="1"/>
    <col min="9733" max="9984" width="9.140625" style="1093"/>
    <col min="9985" max="9985" width="16.7109375" style="1093" customWidth="1"/>
    <col min="9986" max="9986" width="52.5703125" style="1093" customWidth="1"/>
    <col min="9987" max="9987" width="11" style="1093" customWidth="1"/>
    <col min="9988" max="9988" width="13.42578125" style="1093" customWidth="1"/>
    <col min="9989" max="10240" width="9.140625" style="1093"/>
    <col min="10241" max="10241" width="16.7109375" style="1093" customWidth="1"/>
    <col min="10242" max="10242" width="52.5703125" style="1093" customWidth="1"/>
    <col min="10243" max="10243" width="11" style="1093" customWidth="1"/>
    <col min="10244" max="10244" width="13.42578125" style="1093" customWidth="1"/>
    <col min="10245" max="10496" width="9.140625" style="1093"/>
    <col min="10497" max="10497" width="16.7109375" style="1093" customWidth="1"/>
    <col min="10498" max="10498" width="52.5703125" style="1093" customWidth="1"/>
    <col min="10499" max="10499" width="11" style="1093" customWidth="1"/>
    <col min="10500" max="10500" width="13.42578125" style="1093" customWidth="1"/>
    <col min="10501" max="10752" width="9.140625" style="1093"/>
    <col min="10753" max="10753" width="16.7109375" style="1093" customWidth="1"/>
    <col min="10754" max="10754" width="52.5703125" style="1093" customWidth="1"/>
    <col min="10755" max="10755" width="11" style="1093" customWidth="1"/>
    <col min="10756" max="10756" width="13.42578125" style="1093" customWidth="1"/>
    <col min="10757" max="11008" width="9.140625" style="1093"/>
    <col min="11009" max="11009" width="16.7109375" style="1093" customWidth="1"/>
    <col min="11010" max="11010" width="52.5703125" style="1093" customWidth="1"/>
    <col min="11011" max="11011" width="11" style="1093" customWidth="1"/>
    <col min="11012" max="11012" width="13.42578125" style="1093" customWidth="1"/>
    <col min="11013" max="11264" width="9.140625" style="1093"/>
    <col min="11265" max="11265" width="16.7109375" style="1093" customWidth="1"/>
    <col min="11266" max="11266" width="52.5703125" style="1093" customWidth="1"/>
    <col min="11267" max="11267" width="11" style="1093" customWidth="1"/>
    <col min="11268" max="11268" width="13.42578125" style="1093" customWidth="1"/>
    <col min="11269" max="11520" width="9.140625" style="1093"/>
    <col min="11521" max="11521" width="16.7109375" style="1093" customWidth="1"/>
    <col min="11522" max="11522" width="52.5703125" style="1093" customWidth="1"/>
    <col min="11523" max="11523" width="11" style="1093" customWidth="1"/>
    <col min="11524" max="11524" width="13.42578125" style="1093" customWidth="1"/>
    <col min="11525" max="11776" width="9.140625" style="1093"/>
    <col min="11777" max="11777" width="16.7109375" style="1093" customWidth="1"/>
    <col min="11778" max="11778" width="52.5703125" style="1093" customWidth="1"/>
    <col min="11779" max="11779" width="11" style="1093" customWidth="1"/>
    <col min="11780" max="11780" width="13.42578125" style="1093" customWidth="1"/>
    <col min="11781" max="12032" width="9.140625" style="1093"/>
    <col min="12033" max="12033" width="16.7109375" style="1093" customWidth="1"/>
    <col min="12034" max="12034" width="52.5703125" style="1093" customWidth="1"/>
    <col min="12035" max="12035" width="11" style="1093" customWidth="1"/>
    <col min="12036" max="12036" width="13.42578125" style="1093" customWidth="1"/>
    <col min="12037" max="12288" width="9.140625" style="1093"/>
    <col min="12289" max="12289" width="16.7109375" style="1093" customWidth="1"/>
    <col min="12290" max="12290" width="52.5703125" style="1093" customWidth="1"/>
    <col min="12291" max="12291" width="11" style="1093" customWidth="1"/>
    <col min="12292" max="12292" width="13.42578125" style="1093" customWidth="1"/>
    <col min="12293" max="12544" width="9.140625" style="1093"/>
    <col min="12545" max="12545" width="16.7109375" style="1093" customWidth="1"/>
    <col min="12546" max="12546" width="52.5703125" style="1093" customWidth="1"/>
    <col min="12547" max="12547" width="11" style="1093" customWidth="1"/>
    <col min="12548" max="12548" width="13.42578125" style="1093" customWidth="1"/>
    <col min="12549" max="12800" width="9.140625" style="1093"/>
    <col min="12801" max="12801" width="16.7109375" style="1093" customWidth="1"/>
    <col min="12802" max="12802" width="52.5703125" style="1093" customWidth="1"/>
    <col min="12803" max="12803" width="11" style="1093" customWidth="1"/>
    <col min="12804" max="12804" width="13.42578125" style="1093" customWidth="1"/>
    <col min="12805" max="13056" width="9.140625" style="1093"/>
    <col min="13057" max="13057" width="16.7109375" style="1093" customWidth="1"/>
    <col min="13058" max="13058" width="52.5703125" style="1093" customWidth="1"/>
    <col min="13059" max="13059" width="11" style="1093" customWidth="1"/>
    <col min="13060" max="13060" width="13.42578125" style="1093" customWidth="1"/>
    <col min="13061" max="13312" width="9.140625" style="1093"/>
    <col min="13313" max="13313" width="16.7109375" style="1093" customWidth="1"/>
    <col min="13314" max="13314" width="52.5703125" style="1093" customWidth="1"/>
    <col min="13315" max="13315" width="11" style="1093" customWidth="1"/>
    <col min="13316" max="13316" width="13.42578125" style="1093" customWidth="1"/>
    <col min="13317" max="13568" width="9.140625" style="1093"/>
    <col min="13569" max="13569" width="16.7109375" style="1093" customWidth="1"/>
    <col min="13570" max="13570" width="52.5703125" style="1093" customWidth="1"/>
    <col min="13571" max="13571" width="11" style="1093" customWidth="1"/>
    <col min="13572" max="13572" width="13.42578125" style="1093" customWidth="1"/>
    <col min="13573" max="13824" width="9.140625" style="1093"/>
    <col min="13825" max="13825" width="16.7109375" style="1093" customWidth="1"/>
    <col min="13826" max="13826" width="52.5703125" style="1093" customWidth="1"/>
    <col min="13827" max="13827" width="11" style="1093" customWidth="1"/>
    <col min="13828" max="13828" width="13.42578125" style="1093" customWidth="1"/>
    <col min="13829" max="14080" width="9.140625" style="1093"/>
    <col min="14081" max="14081" width="16.7109375" style="1093" customWidth="1"/>
    <col min="14082" max="14082" width="52.5703125" style="1093" customWidth="1"/>
    <col min="14083" max="14083" width="11" style="1093" customWidth="1"/>
    <col min="14084" max="14084" width="13.42578125" style="1093" customWidth="1"/>
    <col min="14085" max="14336" width="9.140625" style="1093"/>
    <col min="14337" max="14337" width="16.7109375" style="1093" customWidth="1"/>
    <col min="14338" max="14338" width="52.5703125" style="1093" customWidth="1"/>
    <col min="14339" max="14339" width="11" style="1093" customWidth="1"/>
    <col min="14340" max="14340" width="13.42578125" style="1093" customWidth="1"/>
    <col min="14341" max="14592" width="9.140625" style="1093"/>
    <col min="14593" max="14593" width="16.7109375" style="1093" customWidth="1"/>
    <col min="14594" max="14594" width="52.5703125" style="1093" customWidth="1"/>
    <col min="14595" max="14595" width="11" style="1093" customWidth="1"/>
    <col min="14596" max="14596" width="13.42578125" style="1093" customWidth="1"/>
    <col min="14597" max="14848" width="9.140625" style="1093"/>
    <col min="14849" max="14849" width="16.7109375" style="1093" customWidth="1"/>
    <col min="14850" max="14850" width="52.5703125" style="1093" customWidth="1"/>
    <col min="14851" max="14851" width="11" style="1093" customWidth="1"/>
    <col min="14852" max="14852" width="13.42578125" style="1093" customWidth="1"/>
    <col min="14853" max="15104" width="9.140625" style="1093"/>
    <col min="15105" max="15105" width="16.7109375" style="1093" customWidth="1"/>
    <col min="15106" max="15106" width="52.5703125" style="1093" customWidth="1"/>
    <col min="15107" max="15107" width="11" style="1093" customWidth="1"/>
    <col min="15108" max="15108" width="13.42578125" style="1093" customWidth="1"/>
    <col min="15109" max="15360" width="9.140625" style="1093"/>
    <col min="15361" max="15361" width="16.7109375" style="1093" customWidth="1"/>
    <col min="15362" max="15362" width="52.5703125" style="1093" customWidth="1"/>
    <col min="15363" max="15363" width="11" style="1093" customWidth="1"/>
    <col min="15364" max="15364" width="13.42578125" style="1093" customWidth="1"/>
    <col min="15365" max="15616" width="9.140625" style="1093"/>
    <col min="15617" max="15617" width="16.7109375" style="1093" customWidth="1"/>
    <col min="15618" max="15618" width="52.5703125" style="1093" customWidth="1"/>
    <col min="15619" max="15619" width="11" style="1093" customWidth="1"/>
    <col min="15620" max="15620" width="13.42578125" style="1093" customWidth="1"/>
    <col min="15621" max="15872" width="9.140625" style="1093"/>
    <col min="15873" max="15873" width="16.7109375" style="1093" customWidth="1"/>
    <col min="15874" max="15874" width="52.5703125" style="1093" customWidth="1"/>
    <col min="15875" max="15875" width="11" style="1093" customWidth="1"/>
    <col min="15876" max="15876" width="13.42578125" style="1093" customWidth="1"/>
    <col min="15877" max="16128" width="9.140625" style="1093"/>
    <col min="16129" max="16129" width="16.7109375" style="1093" customWidth="1"/>
    <col min="16130" max="16130" width="52.5703125" style="1093" customWidth="1"/>
    <col min="16131" max="16131" width="11" style="1093" customWidth="1"/>
    <col min="16132" max="16132" width="13.42578125" style="1093" customWidth="1"/>
    <col min="16133" max="16384" width="9.140625" style="1093"/>
  </cols>
  <sheetData>
    <row r="1" spans="1:4" s="1080" customFormat="1" ht="16.5" customHeight="1" thickBot="1">
      <c r="A1" s="1820" t="s">
        <v>1244</v>
      </c>
      <c r="B1" s="1820"/>
      <c r="C1" s="1820"/>
      <c r="D1" s="1820"/>
    </row>
    <row r="2" spans="1:4" s="1083" customFormat="1" ht="21" customHeight="1">
      <c r="A2" s="1081" t="s">
        <v>682</v>
      </c>
      <c r="B2" s="1082" t="s">
        <v>683</v>
      </c>
      <c r="C2" s="1821" t="s">
        <v>684</v>
      </c>
      <c r="D2" s="1822"/>
    </row>
    <row r="3" spans="1:4" s="1083" customFormat="1" ht="16.5" thickBot="1">
      <c r="A3" s="1084" t="s">
        <v>685</v>
      </c>
      <c r="B3" s="1085" t="s">
        <v>686</v>
      </c>
      <c r="C3" s="1823">
        <v>1</v>
      </c>
      <c r="D3" s="1824"/>
    </row>
    <row r="4" spans="1:4" s="1088" customFormat="1" ht="15.95" customHeight="1" thickBot="1">
      <c r="A4" s="1086"/>
      <c r="B4" s="1087"/>
      <c r="C4" s="1825" t="s">
        <v>687</v>
      </c>
      <c r="D4" s="1826"/>
    </row>
    <row r="5" spans="1:4" ht="36.75" thickBot="1">
      <c r="A5" s="1703" t="s">
        <v>688</v>
      </c>
      <c r="B5" s="1090" t="s">
        <v>689</v>
      </c>
      <c r="C5" s="1091" t="s">
        <v>690</v>
      </c>
      <c r="D5" s="1092" t="s">
        <v>691</v>
      </c>
    </row>
    <row r="6" spans="1:4" s="1098" customFormat="1" ht="12.95" customHeight="1" thickBot="1">
      <c r="A6" s="1094">
        <v>1</v>
      </c>
      <c r="B6" s="1095">
        <v>2</v>
      </c>
      <c r="C6" s="1364">
        <v>3</v>
      </c>
      <c r="D6" s="1097">
        <v>4</v>
      </c>
    </row>
    <row r="7" spans="1:4" s="1098" customFormat="1" ht="15.95" customHeight="1" thickBot="1">
      <c r="A7" s="1827" t="s">
        <v>692</v>
      </c>
      <c r="B7" s="1828"/>
      <c r="C7" s="1828"/>
      <c r="D7" s="1829"/>
    </row>
    <row r="8" spans="1:4" s="1098" customFormat="1" ht="12" customHeight="1" thickBot="1">
      <c r="A8" s="1099" t="s">
        <v>693</v>
      </c>
      <c r="B8" s="1100" t="s">
        <v>694</v>
      </c>
      <c r="C8" s="1101">
        <f>+C9+C10+C11+C12+C13+C14</f>
        <v>164069483</v>
      </c>
      <c r="D8" s="1102">
        <f>+D9+D10+D11+D12+D13+D14</f>
        <v>164069483</v>
      </c>
    </row>
    <row r="9" spans="1:4" s="1107" customFormat="1" ht="12" customHeight="1">
      <c r="A9" s="1103" t="s">
        <v>695</v>
      </c>
      <c r="B9" s="1104" t="s">
        <v>696</v>
      </c>
      <c r="C9" s="1105">
        <f>'4.1.(7.1) Önkormányzat'!C9</f>
        <v>60698759</v>
      </c>
      <c r="D9" s="1106">
        <f>'4.1.(7.1) Önkormányzat'!D9</f>
        <v>60698759</v>
      </c>
    </row>
    <row r="10" spans="1:4" s="1111" customFormat="1" ht="12" customHeight="1">
      <c r="A10" s="1108" t="s">
        <v>697</v>
      </c>
      <c r="B10" s="1109" t="s">
        <v>698</v>
      </c>
      <c r="C10" s="1105">
        <f>'4.1.(7.1) Önkormányzat'!C10</f>
        <v>59510000</v>
      </c>
      <c r="D10" s="1106">
        <f>'4.1.(7.1) Önkormányzat'!D10</f>
        <v>59510000</v>
      </c>
    </row>
    <row r="11" spans="1:4" s="1111" customFormat="1" ht="12" customHeight="1">
      <c r="A11" s="1108" t="s">
        <v>699</v>
      </c>
      <c r="B11" s="1109" t="s">
        <v>700</v>
      </c>
      <c r="C11" s="1105">
        <f>'4.1.(7.1) Önkormányzat'!C11</f>
        <v>35217604</v>
      </c>
      <c r="D11" s="1106">
        <f>'4.1.(7.1) Önkormányzat'!D11</f>
        <v>35217604</v>
      </c>
    </row>
    <row r="12" spans="1:4" s="1111" customFormat="1" ht="12" customHeight="1">
      <c r="A12" s="1108" t="s">
        <v>701</v>
      </c>
      <c r="B12" s="1109" t="s">
        <v>702</v>
      </c>
      <c r="C12" s="1105">
        <f>'4.1.(7.1) Önkormányzat'!C12</f>
        <v>3717120</v>
      </c>
      <c r="D12" s="1106">
        <f>'4.1.(7.1) Önkormányzat'!D12</f>
        <v>3717120</v>
      </c>
    </row>
    <row r="13" spans="1:4" s="1111" customFormat="1" ht="12" customHeight="1">
      <c r="A13" s="1108" t="s">
        <v>703</v>
      </c>
      <c r="B13" s="1109" t="s">
        <v>704</v>
      </c>
      <c r="C13" s="1105">
        <f>'4.1.(7.1) Önkormányzat'!C13</f>
        <v>4926000</v>
      </c>
      <c r="D13" s="1106">
        <f>'4.1.(7.1) Önkormányzat'!D13</f>
        <v>4926000</v>
      </c>
    </row>
    <row r="14" spans="1:4" s="1107" customFormat="1" ht="12" customHeight="1" thickBot="1">
      <c r="A14" s="1112" t="s">
        <v>705</v>
      </c>
      <c r="B14" s="1113" t="s">
        <v>706</v>
      </c>
      <c r="C14" s="1105">
        <f>'4.1.(7.1) Önkormányzat'!C14</f>
        <v>0</v>
      </c>
      <c r="D14" s="1106">
        <f>'4.1.(7.1) Önkormányzat'!D14</f>
        <v>0</v>
      </c>
    </row>
    <row r="15" spans="1:4" s="1107" customFormat="1" ht="23.25" customHeight="1" thickBot="1">
      <c r="A15" s="1099" t="s">
        <v>707</v>
      </c>
      <c r="B15" s="1114" t="s">
        <v>708</v>
      </c>
      <c r="C15" s="1101">
        <f>+C16+C17+C18+C19+C20</f>
        <v>6235000</v>
      </c>
      <c r="D15" s="1102">
        <f>+D16+D17+D18+D19+D20</f>
        <v>12169344</v>
      </c>
    </row>
    <row r="16" spans="1:4" s="1107" customFormat="1" ht="12" customHeight="1">
      <c r="A16" s="1103" t="s">
        <v>709</v>
      </c>
      <c r="B16" s="1104" t="s">
        <v>710</v>
      </c>
      <c r="C16" s="1105">
        <f>'4.1.(7.1) Önkormányzat'!C16</f>
        <v>0</v>
      </c>
      <c r="D16" s="1106">
        <f>'4.1.(7.1) Önkormányzat'!D16</f>
        <v>0</v>
      </c>
    </row>
    <row r="17" spans="1:4" s="1107" customFormat="1" ht="12" customHeight="1">
      <c r="A17" s="1108" t="s">
        <v>711</v>
      </c>
      <c r="B17" s="1109" t="s">
        <v>712</v>
      </c>
      <c r="C17" s="1105">
        <f>'4.1.(7.1) Önkormányzat'!C17</f>
        <v>0</v>
      </c>
      <c r="D17" s="1106">
        <f>'4.1.(7.1) Önkormányzat'!D17</f>
        <v>0</v>
      </c>
    </row>
    <row r="18" spans="1:4" s="1107" customFormat="1" ht="12" customHeight="1">
      <c r="A18" s="1108" t="s">
        <v>713</v>
      </c>
      <c r="B18" s="1109" t="s">
        <v>714</v>
      </c>
      <c r="C18" s="1105">
        <f>'4.1.(7.1) Önkormányzat'!C18</f>
        <v>0</v>
      </c>
      <c r="D18" s="1106">
        <f>'4.1.(7.1) Önkormányzat'!D18</f>
        <v>0</v>
      </c>
    </row>
    <row r="19" spans="1:4" s="1107" customFormat="1" ht="12" customHeight="1">
      <c r="A19" s="1108" t="s">
        <v>715</v>
      </c>
      <c r="B19" s="1109" t="s">
        <v>716</v>
      </c>
      <c r="C19" s="1105">
        <f>'4.1.(7.1) Önkormányzat'!C19</f>
        <v>0</v>
      </c>
      <c r="D19" s="1106">
        <f>'4.1.(7.1) Önkormányzat'!D19</f>
        <v>0</v>
      </c>
    </row>
    <row r="20" spans="1:4" s="1107" customFormat="1" ht="12" customHeight="1">
      <c r="A20" s="1108" t="s">
        <v>717</v>
      </c>
      <c r="B20" s="1109" t="s">
        <v>718</v>
      </c>
      <c r="C20" s="1105">
        <f>'4.1.(7.1) Önkormányzat'!C20</f>
        <v>6235000</v>
      </c>
      <c r="D20" s="1106">
        <f>'4.1.(7.1) Önkormányzat'!D20+'4.2.(7.2) Hivatal'!D22</f>
        <v>12169344</v>
      </c>
    </row>
    <row r="21" spans="1:4" s="1111" customFormat="1" ht="12" customHeight="1" thickBot="1">
      <c r="A21" s="1112" t="s">
        <v>719</v>
      </c>
      <c r="B21" s="1113" t="s">
        <v>720</v>
      </c>
      <c r="C21" s="1105">
        <f>'4.1.(7.1) Önkormányzat'!C21</f>
        <v>0</v>
      </c>
      <c r="D21" s="1106">
        <f>'4.1.(7.1) Önkormányzat'!D21</f>
        <v>0</v>
      </c>
    </row>
    <row r="22" spans="1:4" s="1111" customFormat="1" ht="22.5" customHeight="1" thickBot="1">
      <c r="A22" s="1099" t="s">
        <v>721</v>
      </c>
      <c r="B22" s="1100" t="s">
        <v>722</v>
      </c>
      <c r="C22" s="1101">
        <f>+C23+C24+C25+C26+C27</f>
        <v>0</v>
      </c>
      <c r="D22" s="1102">
        <f>+D23+D24+D25+D26+D27</f>
        <v>0</v>
      </c>
    </row>
    <row r="23" spans="1:4" s="1111" customFormat="1" ht="12" customHeight="1">
      <c r="A23" s="1103" t="s">
        <v>723</v>
      </c>
      <c r="B23" s="1104" t="s">
        <v>724</v>
      </c>
      <c r="C23" s="1105">
        <f>'4.1.(7.1) Önkormányzat'!C23</f>
        <v>0</v>
      </c>
      <c r="D23" s="1106">
        <f>'4.1.(7.1) Önkormányzat'!D23</f>
        <v>0</v>
      </c>
    </row>
    <row r="24" spans="1:4" s="1107" customFormat="1" ht="12" customHeight="1">
      <c r="A24" s="1108" t="s">
        <v>725</v>
      </c>
      <c r="B24" s="1109" t="s">
        <v>726</v>
      </c>
      <c r="C24" s="1105">
        <f>'4.1.(7.1) Önkormányzat'!C24</f>
        <v>0</v>
      </c>
      <c r="D24" s="1106">
        <f>'4.1.(7.1) Önkormányzat'!D24</f>
        <v>0</v>
      </c>
    </row>
    <row r="25" spans="1:4" s="1111" customFormat="1" ht="12" customHeight="1">
      <c r="A25" s="1108" t="s">
        <v>727</v>
      </c>
      <c r="B25" s="1109" t="s">
        <v>728</v>
      </c>
      <c r="C25" s="1105">
        <f>'4.1.(7.1) Önkormányzat'!C25</f>
        <v>0</v>
      </c>
      <c r="D25" s="1106">
        <f>'4.1.(7.1) Önkormányzat'!D25</f>
        <v>0</v>
      </c>
    </row>
    <row r="26" spans="1:4" s="1111" customFormat="1" ht="12" customHeight="1">
      <c r="A26" s="1108" t="s">
        <v>729</v>
      </c>
      <c r="B26" s="1109" t="s">
        <v>730</v>
      </c>
      <c r="C26" s="1105">
        <f>'4.1.(7.1) Önkormányzat'!C26</f>
        <v>0</v>
      </c>
      <c r="D26" s="1106">
        <f>'4.1.(7.1) Önkormányzat'!D26</f>
        <v>0</v>
      </c>
    </row>
    <row r="27" spans="1:4" s="1111" customFormat="1" ht="12" customHeight="1">
      <c r="A27" s="1108" t="s">
        <v>731</v>
      </c>
      <c r="B27" s="1109" t="s">
        <v>732</v>
      </c>
      <c r="C27" s="1105">
        <f>'4.1.(7.1) Önkormányzat'!C27</f>
        <v>0</v>
      </c>
      <c r="D27" s="1106">
        <f>'4.1.(7.1) Önkormányzat'!D27</f>
        <v>0</v>
      </c>
    </row>
    <row r="28" spans="1:4" s="1111" customFormat="1" ht="12" customHeight="1" thickBot="1">
      <c r="A28" s="1112" t="s">
        <v>733</v>
      </c>
      <c r="B28" s="1113" t="s">
        <v>734</v>
      </c>
      <c r="C28" s="1105">
        <f>'4.1.(7.1) Önkormányzat'!C28</f>
        <v>0</v>
      </c>
      <c r="D28" s="1106">
        <f>'4.1.(7.1) Önkormányzat'!D28</f>
        <v>0</v>
      </c>
    </row>
    <row r="29" spans="1:4" s="1111" customFormat="1" ht="12" customHeight="1" thickBot="1">
      <c r="A29" s="1099" t="s">
        <v>735</v>
      </c>
      <c r="B29" s="1100" t="s">
        <v>736</v>
      </c>
      <c r="C29" s="1118">
        <f>+C30+C36</f>
        <v>72845000</v>
      </c>
      <c r="D29" s="1119">
        <f>+D30+D36</f>
        <v>72845000</v>
      </c>
    </row>
    <row r="30" spans="1:4" s="1111" customFormat="1" ht="12" customHeight="1">
      <c r="A30" s="1103" t="s">
        <v>737</v>
      </c>
      <c r="B30" s="1104" t="s">
        <v>738</v>
      </c>
      <c r="C30" s="1120">
        <f>C32+C33+C34+C35+C31</f>
        <v>72153000</v>
      </c>
      <c r="D30" s="1121">
        <f>D32+D33+D34+D35+D31</f>
        <v>72153000</v>
      </c>
    </row>
    <row r="31" spans="1:4" s="1111" customFormat="1" ht="12" customHeight="1">
      <c r="A31" s="1108" t="s">
        <v>739</v>
      </c>
      <c r="B31" s="1122" t="s">
        <v>740</v>
      </c>
      <c r="C31" s="1105">
        <f>'4.1.(7.1) Önkormányzat'!C31</f>
        <v>30000</v>
      </c>
      <c r="D31" s="1106">
        <f>'4.1.(7.1) Önkormányzat'!D31</f>
        <v>30000</v>
      </c>
    </row>
    <row r="32" spans="1:4" s="1111" customFormat="1" ht="12" customHeight="1">
      <c r="A32" s="1108" t="s">
        <v>741</v>
      </c>
      <c r="B32" s="1109" t="s">
        <v>742</v>
      </c>
      <c r="C32" s="1105">
        <f>'4.1.(7.1) Önkormányzat'!C32</f>
        <v>6941000</v>
      </c>
      <c r="D32" s="1106">
        <f>'4.1.(7.1) Önkormányzat'!D32</f>
        <v>6941000</v>
      </c>
    </row>
    <row r="33" spans="1:4" s="1111" customFormat="1" ht="12" customHeight="1">
      <c r="A33" s="1108" t="s">
        <v>743</v>
      </c>
      <c r="B33" s="1122" t="s">
        <v>744</v>
      </c>
      <c r="C33" s="1105">
        <f>'4.1.(7.1) Önkormányzat'!C33</f>
        <v>55713000</v>
      </c>
      <c r="D33" s="1106">
        <f>'4.1.(7.1) Önkormányzat'!D33</f>
        <v>55713000</v>
      </c>
    </row>
    <row r="34" spans="1:4" s="1111" customFormat="1" ht="12" customHeight="1">
      <c r="A34" s="1108" t="s">
        <v>745</v>
      </c>
      <c r="B34" s="1122" t="s">
        <v>746</v>
      </c>
      <c r="C34" s="1105">
        <f>'4.1.(7.1) Önkormányzat'!C34</f>
        <v>9302000</v>
      </c>
      <c r="D34" s="1106">
        <f>'4.1.(7.1) Önkormányzat'!D34</f>
        <v>9302000</v>
      </c>
    </row>
    <row r="35" spans="1:4" s="1111" customFormat="1" ht="12" customHeight="1">
      <c r="A35" s="1108" t="s">
        <v>747</v>
      </c>
      <c r="B35" s="1122" t="s">
        <v>748</v>
      </c>
      <c r="C35" s="1105">
        <f>'4.1.(7.1) Önkormányzat'!C35</f>
        <v>167000</v>
      </c>
      <c r="D35" s="1106">
        <f>'4.1.(7.1) Önkormányzat'!D35</f>
        <v>167000</v>
      </c>
    </row>
    <row r="36" spans="1:4" s="1111" customFormat="1" ht="12" customHeight="1" thickBot="1">
      <c r="A36" s="1112" t="s">
        <v>749</v>
      </c>
      <c r="B36" s="1113" t="s">
        <v>280</v>
      </c>
      <c r="C36" s="1105">
        <f>'4.1.(7.1) Önkormányzat'!C36</f>
        <v>692000</v>
      </c>
      <c r="D36" s="1106">
        <f>'4.1.(7.1) Önkormányzat'!D36</f>
        <v>692000</v>
      </c>
    </row>
    <row r="37" spans="1:4" s="1111" customFormat="1" ht="12" customHeight="1" thickBot="1">
      <c r="A37" s="1099" t="s">
        <v>750</v>
      </c>
      <c r="B37" s="1100" t="s">
        <v>751</v>
      </c>
      <c r="C37" s="1101">
        <f>SUM(C38:C47)</f>
        <v>88781400</v>
      </c>
      <c r="D37" s="1102">
        <f>SUM(D38:D47)</f>
        <v>88781400</v>
      </c>
    </row>
    <row r="38" spans="1:4" s="1111" customFormat="1" ht="12" customHeight="1">
      <c r="A38" s="1103" t="s">
        <v>752</v>
      </c>
      <c r="B38" s="1104" t="s">
        <v>753</v>
      </c>
      <c r="C38" s="1105">
        <f>'4.1.(7.1) Önkormányzat'!C38+'4.2.(7.2) Hivatal'!C9+'4.3.(7.3) Óvoda'!C9</f>
        <v>1700000</v>
      </c>
      <c r="D38" s="1106">
        <f>'4.1.(7.1) Önkormányzat'!D38+'4.2.(7.2) Hivatal'!D9+'4.3.(7.3) Óvoda'!D9</f>
        <v>1700000</v>
      </c>
    </row>
    <row r="39" spans="1:4" s="1111" customFormat="1" ht="12" customHeight="1">
      <c r="A39" s="1108" t="s">
        <v>754</v>
      </c>
      <c r="B39" s="1109" t="s">
        <v>755</v>
      </c>
      <c r="C39" s="1105">
        <f>'4.1.(7.1) Önkormányzat'!C39+'4.2.(7.2) Hivatal'!C10+'4.3.(7.3) Óvoda'!C10</f>
        <v>9532700</v>
      </c>
      <c r="D39" s="1106">
        <f>'4.1.(7.1) Önkormányzat'!D39+'4.2.(7.2) Hivatal'!D10+'4.3.(7.3) Óvoda'!D10</f>
        <v>9532700</v>
      </c>
    </row>
    <row r="40" spans="1:4" s="1111" customFormat="1" ht="12" customHeight="1">
      <c r="A40" s="1108" t="s">
        <v>756</v>
      </c>
      <c r="B40" s="1109" t="s">
        <v>757</v>
      </c>
      <c r="C40" s="1105">
        <f>'4.1.(7.1) Önkormányzat'!C40+'4.2.(7.2) Hivatal'!C11+'4.3.(7.3) Óvoda'!C11</f>
        <v>2770400</v>
      </c>
      <c r="D40" s="1106">
        <f>'4.1.(7.1) Önkormányzat'!D40+'4.2.(7.2) Hivatal'!D11+'4.3.(7.3) Óvoda'!D11</f>
        <v>2770400</v>
      </c>
    </row>
    <row r="41" spans="1:4" s="1111" customFormat="1" ht="12" customHeight="1">
      <c r="A41" s="1108" t="s">
        <v>758</v>
      </c>
      <c r="B41" s="1109" t="s">
        <v>759</v>
      </c>
      <c r="C41" s="1105">
        <f>'4.1.(7.1) Önkormányzat'!C41+'4.2.(7.2) Hivatal'!C12+'4.3.(7.3) Óvoda'!C12</f>
        <v>0</v>
      </c>
      <c r="D41" s="1106">
        <f>'4.1.(7.1) Önkormányzat'!D41+'4.2.(7.2) Hivatal'!D12+'4.3.(7.3) Óvoda'!D12</f>
        <v>0</v>
      </c>
    </row>
    <row r="42" spans="1:4" s="1111" customFormat="1" ht="12" customHeight="1">
      <c r="A42" s="1108" t="s">
        <v>760</v>
      </c>
      <c r="B42" s="1109" t="s">
        <v>761</v>
      </c>
      <c r="C42" s="1105">
        <f>'4.1.(7.1) Önkormányzat'!C42+'4.2.(7.2) Hivatal'!C13+'4.3.(7.3) Óvoda'!C13</f>
        <v>6700000</v>
      </c>
      <c r="D42" s="1106">
        <f>'4.1.(7.1) Önkormányzat'!D42+'4.2.(7.2) Hivatal'!D13+'4.3.(7.3) Óvoda'!D13</f>
        <v>6700000</v>
      </c>
    </row>
    <row r="43" spans="1:4" s="1111" customFormat="1" ht="12" customHeight="1">
      <c r="A43" s="1108" t="s">
        <v>762</v>
      </c>
      <c r="B43" s="1109" t="s">
        <v>763</v>
      </c>
      <c r="C43" s="1105">
        <f>'4.1.(7.1) Önkormányzat'!C43+'4.2.(7.2) Hivatal'!C14+'4.3.(7.3) Óvoda'!C14</f>
        <v>4900300</v>
      </c>
      <c r="D43" s="1106">
        <f>'4.1.(7.1) Önkormányzat'!D43+'4.2.(7.2) Hivatal'!D14+'4.3.(7.3) Óvoda'!D14</f>
        <v>4900300</v>
      </c>
    </row>
    <row r="44" spans="1:4" s="1111" customFormat="1" ht="12" customHeight="1">
      <c r="A44" s="1108" t="s">
        <v>764</v>
      </c>
      <c r="B44" s="1109" t="s">
        <v>765</v>
      </c>
      <c r="C44" s="1105">
        <f>'4.1.(7.1) Önkormányzat'!C44+'4.2.(7.2) Hivatal'!C15+'4.3.(7.3) Óvoda'!C15</f>
        <v>0</v>
      </c>
      <c r="D44" s="1106">
        <f>'4.1.(7.1) Önkormányzat'!D44+'4.2.(7.2) Hivatal'!D15+'4.3.(7.3) Óvoda'!D15</f>
        <v>0</v>
      </c>
    </row>
    <row r="45" spans="1:4" s="1111" customFormat="1" ht="12" customHeight="1">
      <c r="A45" s="1108" t="s">
        <v>766</v>
      </c>
      <c r="B45" s="1109" t="s">
        <v>767</v>
      </c>
      <c r="C45" s="1105">
        <f>'4.1.(7.1) Önkormányzat'!C45+'4.2.(7.2) Hivatal'!C16+'4.3.(7.3) Óvoda'!C16</f>
        <v>5000</v>
      </c>
      <c r="D45" s="1106">
        <f>'4.1.(7.1) Önkormányzat'!D45+'4.2.(7.2) Hivatal'!D16+'4.3.(7.3) Óvoda'!D16</f>
        <v>5000</v>
      </c>
    </row>
    <row r="46" spans="1:4" s="1111" customFormat="1" ht="12" customHeight="1">
      <c r="A46" s="1108" t="s">
        <v>768</v>
      </c>
      <c r="B46" s="1109" t="s">
        <v>769</v>
      </c>
      <c r="C46" s="1105">
        <f>'4.1.(7.1) Önkormányzat'!C46+'4.2.(7.2) Hivatal'!C17+'4.3.(7.3) Óvoda'!C17</f>
        <v>0</v>
      </c>
      <c r="D46" s="1106">
        <f>'4.1.(7.1) Önkormányzat'!D46+'4.2.(7.2) Hivatal'!D17+'4.3.(7.3) Óvoda'!D17</f>
        <v>0</v>
      </c>
    </row>
    <row r="47" spans="1:4" s="1111" customFormat="1" ht="12" customHeight="1" thickBot="1">
      <c r="A47" s="1112" t="s">
        <v>770</v>
      </c>
      <c r="B47" s="1113" t="s">
        <v>771</v>
      </c>
      <c r="C47" s="1105">
        <f>'4.1.(7.1) Önkormányzat'!C47+'4.2.(7.2) Hivatal'!C18+'4.3.(7.3) Óvoda'!C18</f>
        <v>63173000</v>
      </c>
      <c r="D47" s="1106">
        <f>'4.1.(7.1) Önkormányzat'!D47+'4.2.(7.2) Hivatal'!D18+'4.3.(7.3) Óvoda'!D18</f>
        <v>63173000</v>
      </c>
    </row>
    <row r="48" spans="1:4" s="1111" customFormat="1" ht="12" customHeight="1" thickBot="1">
      <c r="A48" s="1099" t="s">
        <v>772</v>
      </c>
      <c r="B48" s="1100" t="s">
        <v>773</v>
      </c>
      <c r="C48" s="1101">
        <f>SUM(C49:C53)</f>
        <v>35000000</v>
      </c>
      <c r="D48" s="1102">
        <f>SUM(D49:D53)</f>
        <v>35000000</v>
      </c>
    </row>
    <row r="49" spans="1:4" s="1111" customFormat="1" ht="12" customHeight="1">
      <c r="A49" s="1103" t="s">
        <v>774</v>
      </c>
      <c r="B49" s="1104" t="s">
        <v>775</v>
      </c>
      <c r="C49" s="1105">
        <f>'4.1.(7.1) Önkormányzat'!C49</f>
        <v>0</v>
      </c>
      <c r="D49" s="1106">
        <f>'4.1.(7.1) Önkormányzat'!D49</f>
        <v>0</v>
      </c>
    </row>
    <row r="50" spans="1:4" s="1111" customFormat="1" ht="12" customHeight="1">
      <c r="A50" s="1108" t="s">
        <v>776</v>
      </c>
      <c r="B50" s="1109" t="s">
        <v>655</v>
      </c>
      <c r="C50" s="1105">
        <f>'4.1.(7.1) Önkormányzat'!C50</f>
        <v>35000000</v>
      </c>
      <c r="D50" s="1106">
        <f>'4.1.(7.1) Önkormányzat'!D50</f>
        <v>35000000</v>
      </c>
    </row>
    <row r="51" spans="1:4" s="1111" customFormat="1" ht="12" customHeight="1">
      <c r="A51" s="1108" t="s">
        <v>777</v>
      </c>
      <c r="B51" s="1109" t="s">
        <v>778</v>
      </c>
      <c r="C51" s="1105">
        <f>'4.1.(7.1) Önkormányzat'!C51</f>
        <v>0</v>
      </c>
      <c r="D51" s="1106">
        <f>'4.1.(7.1) Önkormányzat'!D51</f>
        <v>0</v>
      </c>
    </row>
    <row r="52" spans="1:4" s="1111" customFormat="1" ht="12" customHeight="1">
      <c r="A52" s="1108" t="s">
        <v>779</v>
      </c>
      <c r="B52" s="1109" t="s">
        <v>780</v>
      </c>
      <c r="C52" s="1105">
        <f>'4.1.(7.1) Önkormányzat'!C52</f>
        <v>0</v>
      </c>
      <c r="D52" s="1106">
        <f>'4.1.(7.1) Önkormányzat'!D52</f>
        <v>0</v>
      </c>
    </row>
    <row r="53" spans="1:4" s="1111" customFormat="1" ht="12" customHeight="1" thickBot="1">
      <c r="A53" s="1112" t="s">
        <v>781</v>
      </c>
      <c r="B53" s="1113" t="s">
        <v>782</v>
      </c>
      <c r="C53" s="1105">
        <f>'4.1.(7.1) Önkormányzat'!C53</f>
        <v>0</v>
      </c>
      <c r="D53" s="1106">
        <f>'4.1.(7.1) Önkormányzat'!D53</f>
        <v>0</v>
      </c>
    </row>
    <row r="54" spans="1:4" s="1111" customFormat="1" ht="12" customHeight="1" thickBot="1">
      <c r="A54" s="1099" t="s">
        <v>783</v>
      </c>
      <c r="B54" s="1100" t="s">
        <v>784</v>
      </c>
      <c r="C54" s="1101">
        <f>SUM(C55:C57)</f>
        <v>0</v>
      </c>
      <c r="D54" s="1102">
        <f>SUM(D55:D57)</f>
        <v>0</v>
      </c>
    </row>
    <row r="55" spans="1:4" s="1111" customFormat="1" ht="12" customHeight="1">
      <c r="A55" s="1103" t="s">
        <v>785</v>
      </c>
      <c r="B55" s="1104" t="s">
        <v>786</v>
      </c>
      <c r="C55" s="1105">
        <f>'4.1.(7.1) Önkormányzat'!C55</f>
        <v>0</v>
      </c>
      <c r="D55" s="1106">
        <f>'4.1.(7.1) Önkormányzat'!D55</f>
        <v>0</v>
      </c>
    </row>
    <row r="56" spans="1:4" s="1111" customFormat="1" ht="12" customHeight="1">
      <c r="A56" s="1108" t="s">
        <v>787</v>
      </c>
      <c r="B56" s="1109" t="s">
        <v>788</v>
      </c>
      <c r="C56" s="1105">
        <f>'4.1.(7.1) Önkormányzat'!C56</f>
        <v>0</v>
      </c>
      <c r="D56" s="1106">
        <f>'4.1.(7.1) Önkormányzat'!D56</f>
        <v>0</v>
      </c>
    </row>
    <row r="57" spans="1:4" s="1111" customFormat="1" ht="12" customHeight="1">
      <c r="A57" s="1108" t="s">
        <v>789</v>
      </c>
      <c r="B57" s="1109" t="s">
        <v>790</v>
      </c>
      <c r="C57" s="1105">
        <f>'4.1.(7.1) Önkormányzat'!C57</f>
        <v>0</v>
      </c>
      <c r="D57" s="1106">
        <f>'4.1.(7.1) Önkormányzat'!D57</f>
        <v>0</v>
      </c>
    </row>
    <row r="58" spans="1:4" s="1111" customFormat="1" ht="12" customHeight="1" thickBot="1">
      <c r="A58" s="1112" t="s">
        <v>791</v>
      </c>
      <c r="B58" s="1113" t="s">
        <v>792</v>
      </c>
      <c r="C58" s="1105">
        <f>'4.1.(7.1) Önkormányzat'!C58</f>
        <v>0</v>
      </c>
      <c r="D58" s="1106">
        <f>'4.1.(7.1) Önkormányzat'!D58</f>
        <v>0</v>
      </c>
    </row>
    <row r="59" spans="1:4" s="1111" customFormat="1" ht="12" customHeight="1" thickBot="1">
      <c r="A59" s="1099" t="s">
        <v>793</v>
      </c>
      <c r="B59" s="1114" t="s">
        <v>794</v>
      </c>
      <c r="C59" s="1101">
        <f>SUM(C60:C62)</f>
        <v>0</v>
      </c>
      <c r="D59" s="1127">
        <f>SUM(D60:D62)</f>
        <v>0</v>
      </c>
    </row>
    <row r="60" spans="1:4" s="1111" customFormat="1" ht="12" customHeight="1">
      <c r="A60" s="1103" t="s">
        <v>795</v>
      </c>
      <c r="B60" s="1104" t="s">
        <v>796</v>
      </c>
      <c r="C60" s="1105">
        <f>'4.1.(7.1) Önkormányzat'!C60</f>
        <v>0</v>
      </c>
      <c r="D60" s="1106">
        <f>'4.1.(7.1) Önkormányzat'!D60</f>
        <v>0</v>
      </c>
    </row>
    <row r="61" spans="1:4" s="1111" customFormat="1" ht="12" customHeight="1">
      <c r="A61" s="1108" t="s">
        <v>797</v>
      </c>
      <c r="B61" s="1109" t="s">
        <v>798</v>
      </c>
      <c r="C61" s="1105">
        <f>'4.1.(7.1) Önkormányzat'!C61</f>
        <v>0</v>
      </c>
      <c r="D61" s="1106">
        <f>'4.1.(7.1) Önkormányzat'!D61</f>
        <v>0</v>
      </c>
    </row>
    <row r="62" spans="1:4" s="1111" customFormat="1" ht="12" customHeight="1">
      <c r="A62" s="1108" t="s">
        <v>799</v>
      </c>
      <c r="B62" s="1109" t="s">
        <v>800</v>
      </c>
      <c r="C62" s="1105">
        <f>'4.1.(7.1) Önkormányzat'!C62</f>
        <v>0</v>
      </c>
      <c r="D62" s="1106">
        <f>'4.1.(7.1) Önkormányzat'!D62</f>
        <v>0</v>
      </c>
    </row>
    <row r="63" spans="1:4" s="1111" customFormat="1" ht="12" customHeight="1" thickBot="1">
      <c r="A63" s="1112" t="s">
        <v>801</v>
      </c>
      <c r="B63" s="1113" t="s">
        <v>802</v>
      </c>
      <c r="C63" s="1105">
        <f>'4.1.(7.1) Önkormányzat'!C63</f>
        <v>0</v>
      </c>
      <c r="D63" s="1106">
        <f>'4.1.(7.1) Önkormányzat'!D63</f>
        <v>0</v>
      </c>
    </row>
    <row r="64" spans="1:4" s="1111" customFormat="1" ht="12" customHeight="1" thickBot="1">
      <c r="A64" s="1099" t="s">
        <v>803</v>
      </c>
      <c r="B64" s="1100" t="s">
        <v>804</v>
      </c>
      <c r="C64" s="1118">
        <f>+C8+C15+C22+C29+C37+C48+C54+C59</f>
        <v>366930883</v>
      </c>
      <c r="D64" s="1119">
        <f>+D8+D15+D22+D29+D37+D48+D54+D59</f>
        <v>372865227</v>
      </c>
    </row>
    <row r="65" spans="1:4" s="1111" customFormat="1" ht="12" customHeight="1" thickBot="1">
      <c r="A65" s="1128" t="s">
        <v>805</v>
      </c>
      <c r="B65" s="1114" t="s">
        <v>806</v>
      </c>
      <c r="C65" s="1101">
        <f>SUM(C66:C68)</f>
        <v>0</v>
      </c>
      <c r="D65" s="1102">
        <f>SUM(D66:D68)</f>
        <v>0</v>
      </c>
    </row>
    <row r="66" spans="1:4" s="1111" customFormat="1" ht="12" customHeight="1">
      <c r="A66" s="1103" t="s">
        <v>807</v>
      </c>
      <c r="B66" s="1104" t="s">
        <v>808</v>
      </c>
      <c r="C66" s="1105">
        <f>'4.1.(7.1) Önkormányzat'!C66</f>
        <v>0</v>
      </c>
      <c r="D66" s="1106">
        <f>'4.1.(7.1) Önkormányzat'!D66</f>
        <v>0</v>
      </c>
    </row>
    <row r="67" spans="1:4" s="1111" customFormat="1" ht="12" customHeight="1">
      <c r="A67" s="1108" t="s">
        <v>809</v>
      </c>
      <c r="B67" s="1109" t="s">
        <v>810</v>
      </c>
      <c r="C67" s="1105">
        <f>'4.1.(7.1) Önkormányzat'!C67</f>
        <v>0</v>
      </c>
      <c r="D67" s="1106">
        <f>'4.1.(7.1) Önkormányzat'!D67</f>
        <v>0</v>
      </c>
    </row>
    <row r="68" spans="1:4" s="1111" customFormat="1" ht="12" customHeight="1" thickBot="1">
      <c r="A68" s="1112" t="s">
        <v>811</v>
      </c>
      <c r="B68" s="1129" t="s">
        <v>812</v>
      </c>
      <c r="C68" s="1105">
        <f>'4.1.(7.1) Önkormányzat'!C68</f>
        <v>0</v>
      </c>
      <c r="D68" s="1106">
        <f>'4.1.(7.1) Önkormányzat'!D68</f>
        <v>0</v>
      </c>
    </row>
    <row r="69" spans="1:4" s="1111" customFormat="1" ht="12" customHeight="1" thickBot="1">
      <c r="A69" s="1128" t="s">
        <v>813</v>
      </c>
      <c r="B69" s="1114" t="s">
        <v>814</v>
      </c>
      <c r="C69" s="1101">
        <f>SUM(C70:C73)</f>
        <v>0</v>
      </c>
      <c r="D69" s="1102">
        <f>SUM(D70:D73)</f>
        <v>0</v>
      </c>
    </row>
    <row r="70" spans="1:4" s="1111" customFormat="1" ht="12" customHeight="1">
      <c r="A70" s="1152" t="s">
        <v>815</v>
      </c>
      <c r="B70" s="1752" t="s">
        <v>816</v>
      </c>
      <c r="C70" s="1750">
        <f>'4.1.(7.1) Önkormányzat'!C70</f>
        <v>0</v>
      </c>
      <c r="D70" s="1749">
        <f>'4.1.(7.1) Önkormányzat'!D70</f>
        <v>0</v>
      </c>
    </row>
    <row r="71" spans="1:4" s="1111" customFormat="1" ht="12" customHeight="1">
      <c r="A71" s="1108" t="s">
        <v>817</v>
      </c>
      <c r="B71" s="1109" t="s">
        <v>818</v>
      </c>
      <c r="C71" s="1105">
        <f>'4.1.(7.1) Önkormányzat'!C71</f>
        <v>0</v>
      </c>
      <c r="D71" s="1106">
        <f>'4.1.(7.1) Önkormányzat'!D71</f>
        <v>0</v>
      </c>
    </row>
    <row r="72" spans="1:4" s="1111" customFormat="1" ht="12" customHeight="1">
      <c r="A72" s="1108" t="s">
        <v>819</v>
      </c>
      <c r="B72" s="1109" t="s">
        <v>820</v>
      </c>
      <c r="C72" s="1105">
        <f>'4.1.(7.1) Önkormányzat'!C72</f>
        <v>0</v>
      </c>
      <c r="D72" s="1106">
        <f>'4.1.(7.1) Önkormányzat'!D72</f>
        <v>0</v>
      </c>
    </row>
    <row r="73" spans="1:4" s="1111" customFormat="1" ht="12" customHeight="1" thickBot="1">
      <c r="A73" s="1130" t="s">
        <v>821</v>
      </c>
      <c r="B73" s="1131" t="s">
        <v>822</v>
      </c>
      <c r="C73" s="1105">
        <f>'4.1.(7.1) Önkormányzat'!C73</f>
        <v>0</v>
      </c>
      <c r="D73" s="1106">
        <f>'4.1.(7.1) Önkormányzat'!D73</f>
        <v>0</v>
      </c>
    </row>
    <row r="74" spans="1:4" s="1111" customFormat="1" ht="12" customHeight="1" thickBot="1">
      <c r="A74" s="1128" t="s">
        <v>823</v>
      </c>
      <c r="B74" s="1114" t="s">
        <v>824</v>
      </c>
      <c r="C74" s="1101">
        <f>SUM(C75:C76)</f>
        <v>23805101</v>
      </c>
      <c r="D74" s="1102">
        <f>SUM(D75:D76)</f>
        <v>52246982</v>
      </c>
    </row>
    <row r="75" spans="1:4" s="1111" customFormat="1" ht="12" customHeight="1">
      <c r="A75" s="1103" t="s">
        <v>825</v>
      </c>
      <c r="B75" s="1104" t="s">
        <v>826</v>
      </c>
      <c r="C75" s="1207">
        <f>'4.1.(7.1) Önkormányzat'!C75+'4.2.(7.2) Hivatal'!C37+'4.3.(7.3) Óvoda'!C37</f>
        <v>23805101</v>
      </c>
      <c r="D75" s="1115">
        <f>'4.1.(7.1) Önkormányzat'!D75+'4.2.(7.2) Hivatal'!D37+'4.3.(7.3) Óvoda'!D37</f>
        <v>52246982</v>
      </c>
    </row>
    <row r="76" spans="1:4" s="1111" customFormat="1" ht="12" customHeight="1" thickBot="1">
      <c r="A76" s="1112" t="s">
        <v>827</v>
      </c>
      <c r="B76" s="1113" t="s">
        <v>828</v>
      </c>
      <c r="C76" s="1105">
        <f>'4.1.(7.1) Önkormányzat'!C76</f>
        <v>0</v>
      </c>
      <c r="D76" s="1106">
        <f>'4.1.(7.1) Önkormányzat'!D76</f>
        <v>0</v>
      </c>
    </row>
    <row r="77" spans="1:4" s="1107" customFormat="1" ht="12" customHeight="1" thickBot="1">
      <c r="A77" s="1128" t="s">
        <v>829</v>
      </c>
      <c r="B77" s="1114" t="s">
        <v>830</v>
      </c>
      <c r="C77" s="1101">
        <f>SUM(C78:C80)</f>
        <v>0</v>
      </c>
      <c r="D77" s="1102">
        <f>SUM(D78:D80)</f>
        <v>0</v>
      </c>
    </row>
    <row r="78" spans="1:4" s="1111" customFormat="1" ht="12" customHeight="1">
      <c r="A78" s="1103" t="s">
        <v>831</v>
      </c>
      <c r="B78" s="1104" t="s">
        <v>832</v>
      </c>
      <c r="C78" s="1105">
        <f>'4.1.(7.1) Önkormányzat'!C78</f>
        <v>0</v>
      </c>
      <c r="D78" s="1106">
        <f>'4.1.(7.1) Önkormányzat'!D78</f>
        <v>0</v>
      </c>
    </row>
    <row r="79" spans="1:4" s="1111" customFormat="1" ht="12" customHeight="1">
      <c r="A79" s="1108" t="s">
        <v>833</v>
      </c>
      <c r="B79" s="1109" t="s">
        <v>834</v>
      </c>
      <c r="C79" s="1105">
        <f>'4.1.(7.1) Önkormányzat'!C79</f>
        <v>0</v>
      </c>
      <c r="D79" s="1106">
        <f>'4.1.(7.1) Önkormányzat'!D79</f>
        <v>0</v>
      </c>
    </row>
    <row r="80" spans="1:4" s="1111" customFormat="1" ht="12" customHeight="1" thickBot="1">
      <c r="A80" s="1112" t="s">
        <v>835</v>
      </c>
      <c r="B80" s="1113" t="s">
        <v>836</v>
      </c>
      <c r="C80" s="1105">
        <f>'4.1.(7.1) Önkormányzat'!C80</f>
        <v>0</v>
      </c>
      <c r="D80" s="1106">
        <f>'4.1.(7.1) Önkormányzat'!D80</f>
        <v>0</v>
      </c>
    </row>
    <row r="81" spans="1:4" s="1111" customFormat="1" ht="12" customHeight="1" thickBot="1">
      <c r="A81" s="1128" t="s">
        <v>837</v>
      </c>
      <c r="B81" s="1114" t="s">
        <v>838</v>
      </c>
      <c r="C81" s="1101">
        <f>SUM(C82:C85)</f>
        <v>0</v>
      </c>
      <c r="D81" s="1102">
        <f>SUM(D82:D85)</f>
        <v>0</v>
      </c>
    </row>
    <row r="82" spans="1:4" s="1111" customFormat="1" ht="12" customHeight="1">
      <c r="A82" s="1133" t="s">
        <v>839</v>
      </c>
      <c r="B82" s="1104" t="s">
        <v>840</v>
      </c>
      <c r="C82" s="1105">
        <f>'4.1.(7.1) Önkormányzat'!C82</f>
        <v>0</v>
      </c>
      <c r="D82" s="1106">
        <f>'4.1.(7.1) Önkormányzat'!D82</f>
        <v>0</v>
      </c>
    </row>
    <row r="83" spans="1:4" s="1111" customFormat="1" ht="12" customHeight="1">
      <c r="A83" s="1134" t="s">
        <v>841</v>
      </c>
      <c r="B83" s="1109" t="s">
        <v>842</v>
      </c>
      <c r="C83" s="1105">
        <f>'4.1.(7.1) Önkormányzat'!C83</f>
        <v>0</v>
      </c>
      <c r="D83" s="1106">
        <f>'4.1.(7.1) Önkormányzat'!D83</f>
        <v>0</v>
      </c>
    </row>
    <row r="84" spans="1:4" s="1111" customFormat="1" ht="12" customHeight="1">
      <c r="A84" s="1134" t="s">
        <v>843</v>
      </c>
      <c r="B84" s="1109" t="s">
        <v>844</v>
      </c>
      <c r="C84" s="1105">
        <f>'4.1.(7.1) Önkormányzat'!C84</f>
        <v>0</v>
      </c>
      <c r="D84" s="1106">
        <f>'4.1.(7.1) Önkormányzat'!D84</f>
        <v>0</v>
      </c>
    </row>
    <row r="85" spans="1:4" s="1107" customFormat="1" ht="12" customHeight="1" thickBot="1">
      <c r="A85" s="1135" t="s">
        <v>845</v>
      </c>
      <c r="B85" s="1113" t="s">
        <v>846</v>
      </c>
      <c r="C85" s="1105">
        <f>'4.1.(7.1) Önkormányzat'!C85</f>
        <v>0</v>
      </c>
      <c r="D85" s="1106">
        <f>'4.1.(7.1) Önkormányzat'!D85</f>
        <v>0</v>
      </c>
    </row>
    <row r="86" spans="1:4" s="1107" customFormat="1" ht="12" customHeight="1" thickBot="1">
      <c r="A86" s="1128" t="s">
        <v>847</v>
      </c>
      <c r="B86" s="1114" t="s">
        <v>848</v>
      </c>
      <c r="C86" s="1136"/>
      <c r="D86" s="1137"/>
    </row>
    <row r="87" spans="1:4" s="1107" customFormat="1" ht="12" customHeight="1" thickBot="1">
      <c r="A87" s="1128" t="s">
        <v>849</v>
      </c>
      <c r="B87" s="1138" t="s">
        <v>850</v>
      </c>
      <c r="C87" s="1118">
        <f>+C65+C69+C74+C77+C81+C86</f>
        <v>23805101</v>
      </c>
      <c r="D87" s="1119">
        <f>+D65+D69+D74+D77+D81+D86</f>
        <v>52246982</v>
      </c>
    </row>
    <row r="88" spans="1:4" s="1107" customFormat="1" ht="12" customHeight="1" thickBot="1">
      <c r="A88" s="1139" t="s">
        <v>851</v>
      </c>
      <c r="B88" s="1140" t="s">
        <v>852</v>
      </c>
      <c r="C88" s="1118">
        <f>+C64+C87</f>
        <v>390735984</v>
      </c>
      <c r="D88" s="1119">
        <f>+D64+D87</f>
        <v>425112209</v>
      </c>
    </row>
    <row r="89" spans="1:4" s="1111" customFormat="1" ht="15" customHeight="1">
      <c r="A89" s="1141"/>
      <c r="B89" s="1142"/>
      <c r="C89" s="1143"/>
      <c r="D89" s="1143"/>
    </row>
    <row r="90" spans="1:4" ht="13.5" thickBot="1">
      <c r="A90" s="1144"/>
      <c r="B90" s="1145"/>
      <c r="C90" s="1146"/>
      <c r="D90" s="1146"/>
    </row>
    <row r="91" spans="1:4" s="1098" customFormat="1" ht="16.5" customHeight="1" thickBot="1">
      <c r="A91" s="1827" t="s">
        <v>853</v>
      </c>
      <c r="B91" s="1828"/>
      <c r="C91" s="1828"/>
      <c r="D91" s="1829"/>
    </row>
    <row r="92" spans="1:4" s="1151" customFormat="1" ht="12" customHeight="1" thickBot="1">
      <c r="A92" s="1147" t="s">
        <v>693</v>
      </c>
      <c r="B92" s="1148" t="s">
        <v>854</v>
      </c>
      <c r="C92" s="1149">
        <f>SUM(C93:C97)</f>
        <v>291176488</v>
      </c>
      <c r="D92" s="1150">
        <f>SUM(D93:D97)</f>
        <v>302536671</v>
      </c>
    </row>
    <row r="93" spans="1:4" ht="12" customHeight="1">
      <c r="A93" s="1152" t="s">
        <v>695</v>
      </c>
      <c r="B93" s="1153" t="s">
        <v>855</v>
      </c>
      <c r="C93" s="1154">
        <f>'4.1.(7.1) Önkormányzat'!C93+'4.2.(7.2) Hivatal'!C45+'4.3.(7.3) Óvoda'!C45</f>
        <v>148184740</v>
      </c>
      <c r="D93" s="1155">
        <f>'4.1.(7.1) Önkormányzat'!D93+'4.2.(7.2) Hivatal'!D45+'4.3.(7.3) Óvoda'!D45</f>
        <v>149673640</v>
      </c>
    </row>
    <row r="94" spans="1:4" ht="12" customHeight="1">
      <c r="A94" s="1108" t="s">
        <v>697</v>
      </c>
      <c r="B94" s="1156" t="s">
        <v>30</v>
      </c>
      <c r="C94" s="1157">
        <f>'4.1.(7.1) Önkormányzat'!C94+'4.2.(7.2) Hivatal'!C46+'4.3.(7.3) Óvoda'!C46</f>
        <v>29025098</v>
      </c>
      <c r="D94" s="1116">
        <f>'4.1.(7.1) Önkormányzat'!D94+'4.2.(7.2) Hivatal'!D46+'4.3.(7.3) Óvoda'!D46</f>
        <v>28965519</v>
      </c>
    </row>
    <row r="95" spans="1:4" ht="12" customHeight="1">
      <c r="A95" s="1108" t="s">
        <v>699</v>
      </c>
      <c r="B95" s="1156" t="s">
        <v>856</v>
      </c>
      <c r="C95" s="1157">
        <f>'4.1.(7.1) Önkormányzat'!C95+'4.2.(7.2) Hivatal'!C47+'4.3.(7.3) Óvoda'!C47</f>
        <v>94373650</v>
      </c>
      <c r="D95" s="1116">
        <f>'4.1.(7.1) Önkormányzat'!D95+'4.2.(7.2) Hivatal'!D47+'4.3.(7.3) Óvoda'!D47</f>
        <v>102370167</v>
      </c>
    </row>
    <row r="96" spans="1:4" ht="12" customHeight="1">
      <c r="A96" s="1108" t="s">
        <v>701</v>
      </c>
      <c r="B96" s="1158" t="s">
        <v>244</v>
      </c>
      <c r="C96" s="1157">
        <f>'4.1.(7.1) Önkormányzat'!C96+'4.2.(7.2) Hivatal'!C48+'4.3.(7.3) Óvoda'!C48</f>
        <v>2398000</v>
      </c>
      <c r="D96" s="1116">
        <f>'4.1.(7.1) Önkormányzat'!D96+'4.2.(7.2) Hivatal'!D48+'4.3.(7.3) Óvoda'!D48</f>
        <v>2398000</v>
      </c>
    </row>
    <row r="97" spans="1:4" ht="12" customHeight="1">
      <c r="A97" s="1108" t="s">
        <v>857</v>
      </c>
      <c r="B97" s="1159" t="s">
        <v>63</v>
      </c>
      <c r="C97" s="1157">
        <f>'4.1.(7.1) Önkormányzat'!C97</f>
        <v>17195000</v>
      </c>
      <c r="D97" s="1116">
        <f>'4.1.(7.1) Önkormányzat'!D97</f>
        <v>19129345</v>
      </c>
    </row>
    <row r="98" spans="1:4" ht="12" customHeight="1">
      <c r="A98" s="1108" t="s">
        <v>705</v>
      </c>
      <c r="B98" s="1156" t="s">
        <v>858</v>
      </c>
      <c r="C98" s="1157">
        <f>'4.1.(7.1) Önkormányzat'!C98</f>
        <v>0</v>
      </c>
      <c r="D98" s="1116">
        <f>'4.1.(7.1) Önkormányzat'!D98</f>
        <v>1934345</v>
      </c>
    </row>
    <row r="99" spans="1:4" ht="12" customHeight="1">
      <c r="A99" s="1108" t="s">
        <v>859</v>
      </c>
      <c r="B99" s="1160" t="s">
        <v>860</v>
      </c>
      <c r="C99" s="1157">
        <f>'4.1.(7.1) Önkormányzat'!C99</f>
        <v>0</v>
      </c>
      <c r="D99" s="1116">
        <f>'4.1.(7.1) Önkormányzat'!D99</f>
        <v>0</v>
      </c>
    </row>
    <row r="100" spans="1:4" ht="12" customHeight="1">
      <c r="A100" s="1108" t="s">
        <v>861</v>
      </c>
      <c r="B100" s="1161" t="s">
        <v>862</v>
      </c>
      <c r="C100" s="1157">
        <f>'4.1.(7.1) Önkormányzat'!C100</f>
        <v>0</v>
      </c>
      <c r="D100" s="1116">
        <f>'4.1.(7.1) Önkormányzat'!D100</f>
        <v>0</v>
      </c>
    </row>
    <row r="101" spans="1:4" ht="12" customHeight="1">
      <c r="A101" s="1108" t="s">
        <v>863</v>
      </c>
      <c r="B101" s="1161" t="s">
        <v>864</v>
      </c>
      <c r="C101" s="1157">
        <f>'4.1.(7.1) Önkormányzat'!C101</f>
        <v>0</v>
      </c>
      <c r="D101" s="1116">
        <f>'4.1.(7.1) Önkormányzat'!D101</f>
        <v>0</v>
      </c>
    </row>
    <row r="102" spans="1:4" ht="12" customHeight="1">
      <c r="A102" s="1108" t="s">
        <v>865</v>
      </c>
      <c r="B102" s="1160" t="s">
        <v>866</v>
      </c>
      <c r="C102" s="1157">
        <f>'4.1.(7.1) Önkormányzat'!C102</f>
        <v>2955000</v>
      </c>
      <c r="D102" s="1116">
        <f>'4.1.(7.1) Önkormányzat'!D102</f>
        <v>2955000</v>
      </c>
    </row>
    <row r="103" spans="1:4" ht="12" customHeight="1">
      <c r="A103" s="1108" t="s">
        <v>867</v>
      </c>
      <c r="B103" s="1160" t="s">
        <v>868</v>
      </c>
      <c r="C103" s="1157">
        <f>'4.1.(7.1) Önkormányzat'!C103</f>
        <v>0</v>
      </c>
      <c r="D103" s="1116">
        <f>'4.1.(7.1) Önkormányzat'!D103</f>
        <v>0</v>
      </c>
    </row>
    <row r="104" spans="1:4" ht="12" customHeight="1">
      <c r="A104" s="1108" t="s">
        <v>869</v>
      </c>
      <c r="B104" s="1161" t="s">
        <v>870</v>
      </c>
      <c r="C104" s="1157">
        <f>'4.1.(7.1) Önkormányzat'!C104</f>
        <v>0</v>
      </c>
      <c r="D104" s="1116">
        <f>'4.1.(7.1) Önkormányzat'!D104</f>
        <v>0</v>
      </c>
    </row>
    <row r="105" spans="1:4" ht="12" customHeight="1">
      <c r="A105" s="1162" t="s">
        <v>871</v>
      </c>
      <c r="B105" s="1163" t="s">
        <v>872</v>
      </c>
      <c r="C105" s="1157">
        <f>'4.1.(7.1) Önkormányzat'!C105</f>
        <v>0</v>
      </c>
      <c r="D105" s="1116">
        <f>'4.1.(7.1) Önkormányzat'!D105</f>
        <v>0</v>
      </c>
    </row>
    <row r="106" spans="1:4" ht="12" customHeight="1">
      <c r="A106" s="1108" t="s">
        <v>873</v>
      </c>
      <c r="B106" s="1163" t="s">
        <v>874</v>
      </c>
      <c r="C106" s="1157">
        <f>'4.1.(7.1) Önkormányzat'!C106</f>
        <v>0</v>
      </c>
      <c r="D106" s="1116">
        <f>'4.1.(7.1) Önkormányzat'!D106</f>
        <v>0</v>
      </c>
    </row>
    <row r="107" spans="1:4" ht="12" customHeight="1" thickBot="1">
      <c r="A107" s="1130" t="s">
        <v>875</v>
      </c>
      <c r="B107" s="1164" t="s">
        <v>876</v>
      </c>
      <c r="C107" s="1165">
        <f>'4.1.(7.1) Önkormányzat'!C107</f>
        <v>14240000</v>
      </c>
      <c r="D107" s="1166">
        <f>'4.1.(7.1) Önkormányzat'!D107</f>
        <v>14240000</v>
      </c>
    </row>
    <row r="108" spans="1:4" ht="12" customHeight="1" thickBot="1">
      <c r="A108" s="1099" t="s">
        <v>707</v>
      </c>
      <c r="B108" s="1167" t="s">
        <v>877</v>
      </c>
      <c r="C108" s="1101">
        <f>+C109+C111+C113</f>
        <v>23620830</v>
      </c>
      <c r="D108" s="1102">
        <f>+D109+D111+D113</f>
        <v>34636872</v>
      </c>
    </row>
    <row r="109" spans="1:4" ht="12" customHeight="1">
      <c r="A109" s="1103" t="s">
        <v>709</v>
      </c>
      <c r="B109" s="1156" t="s">
        <v>72</v>
      </c>
      <c r="C109" s="1154">
        <f>'4.1.(7.1) Önkormányzat'!C109+'4.2.(7.2) Hivatal'!C51+'4.3.(7.3) Óvoda'!C51</f>
        <v>23620830</v>
      </c>
      <c r="D109" s="1155">
        <f>'4.1.(7.1) Önkormányzat'!D109+'4.2.(7.2) Hivatal'!D51+'4.3.(7.3) Óvoda'!D51</f>
        <v>34636872</v>
      </c>
    </row>
    <row r="110" spans="1:4" ht="12" customHeight="1">
      <c r="A110" s="1103" t="s">
        <v>711</v>
      </c>
      <c r="B110" s="1168" t="s">
        <v>878</v>
      </c>
      <c r="C110" s="1157">
        <f>'4.1.(7.1) Önkormányzat'!C110</f>
        <v>0</v>
      </c>
      <c r="D110" s="1116">
        <f>'4.1.(7.1) Önkormányzat'!D110</f>
        <v>0</v>
      </c>
    </row>
    <row r="111" spans="1:4" ht="12" customHeight="1">
      <c r="A111" s="1103" t="s">
        <v>713</v>
      </c>
      <c r="B111" s="1168" t="s">
        <v>172</v>
      </c>
      <c r="C111" s="1157">
        <f>'4.1.(7.1) Önkormányzat'!C111+'4.3.(7.3) Óvoda'!C52</f>
        <v>0</v>
      </c>
      <c r="D111" s="1116">
        <f>'4.1.(7.1) Önkormányzat'!D111+'4.3.(7.3) Óvoda'!D52</f>
        <v>0</v>
      </c>
    </row>
    <row r="112" spans="1:4" ht="12" customHeight="1">
      <c r="A112" s="1103" t="s">
        <v>715</v>
      </c>
      <c r="B112" s="1168" t="s">
        <v>879</v>
      </c>
      <c r="C112" s="1157">
        <f>'4.1.(7.1) Önkormányzat'!C112</f>
        <v>0</v>
      </c>
      <c r="D112" s="1116">
        <f>'4.1.(7.1) Önkormányzat'!D112</f>
        <v>0</v>
      </c>
    </row>
    <row r="113" spans="1:4" ht="12" customHeight="1">
      <c r="A113" s="1103" t="s">
        <v>717</v>
      </c>
      <c r="B113" s="1169" t="s">
        <v>880</v>
      </c>
      <c r="C113" s="1157">
        <f>'4.1.(7.1) Önkormányzat'!C113</f>
        <v>0</v>
      </c>
      <c r="D113" s="1116">
        <f>'4.1.(7.1) Önkormányzat'!D113</f>
        <v>0</v>
      </c>
    </row>
    <row r="114" spans="1:4" ht="12" customHeight="1">
      <c r="A114" s="1103" t="s">
        <v>719</v>
      </c>
      <c r="B114" s="1170" t="s">
        <v>881</v>
      </c>
      <c r="C114" s="1157">
        <f>'4.1.(7.1) Önkormányzat'!C114</f>
        <v>0</v>
      </c>
      <c r="D114" s="1116">
        <f>'4.1.(7.1) Önkormányzat'!D114</f>
        <v>0</v>
      </c>
    </row>
    <row r="115" spans="1:4" ht="12" customHeight="1">
      <c r="A115" s="1103" t="s">
        <v>882</v>
      </c>
      <c r="B115" s="1171" t="s">
        <v>883</v>
      </c>
      <c r="C115" s="1157">
        <f>'4.1.(7.1) Önkormányzat'!C115</f>
        <v>0</v>
      </c>
      <c r="D115" s="1116">
        <f>'4.1.(7.1) Önkormányzat'!D115</f>
        <v>0</v>
      </c>
    </row>
    <row r="116" spans="1:4" ht="12" customHeight="1">
      <c r="A116" s="1103" t="s">
        <v>884</v>
      </c>
      <c r="B116" s="1161" t="s">
        <v>864</v>
      </c>
      <c r="C116" s="1157">
        <f>'4.1.(7.1) Önkormányzat'!C116</f>
        <v>0</v>
      </c>
      <c r="D116" s="1116">
        <f>'4.1.(7.1) Önkormányzat'!D116</f>
        <v>0</v>
      </c>
    </row>
    <row r="117" spans="1:4" ht="12" customHeight="1">
      <c r="A117" s="1103" t="s">
        <v>885</v>
      </c>
      <c r="B117" s="1161" t="s">
        <v>886</v>
      </c>
      <c r="C117" s="1157">
        <f>'4.1.(7.1) Önkormányzat'!C117</f>
        <v>0</v>
      </c>
      <c r="D117" s="1116">
        <f>'4.1.(7.1) Önkormányzat'!D117</f>
        <v>0</v>
      </c>
    </row>
    <row r="118" spans="1:4" ht="12" customHeight="1">
      <c r="A118" s="1103" t="s">
        <v>887</v>
      </c>
      <c r="B118" s="1161" t="s">
        <v>888</v>
      </c>
      <c r="C118" s="1157">
        <f>'4.1.(7.1) Önkormányzat'!C118</f>
        <v>0</v>
      </c>
      <c r="D118" s="1116">
        <f>'4.1.(7.1) Önkormányzat'!D118</f>
        <v>0</v>
      </c>
    </row>
    <row r="119" spans="1:4" ht="12" customHeight="1">
      <c r="A119" s="1103" t="s">
        <v>889</v>
      </c>
      <c r="B119" s="1161" t="s">
        <v>870</v>
      </c>
      <c r="C119" s="1157">
        <f>'4.1.(7.1) Önkormányzat'!C119</f>
        <v>0</v>
      </c>
      <c r="D119" s="1116">
        <f>'4.1.(7.1) Önkormányzat'!D119</f>
        <v>0</v>
      </c>
    </row>
    <row r="120" spans="1:4" ht="12" customHeight="1">
      <c r="A120" s="1103" t="s">
        <v>890</v>
      </c>
      <c r="B120" s="1161" t="s">
        <v>891</v>
      </c>
      <c r="C120" s="1157">
        <f>'4.1.(7.1) Önkormányzat'!C120</f>
        <v>0</v>
      </c>
      <c r="D120" s="1116">
        <f>'4.1.(7.1) Önkormányzat'!D120</f>
        <v>0</v>
      </c>
    </row>
    <row r="121" spans="1:4" ht="12" customHeight="1" thickBot="1">
      <c r="A121" s="1162" t="s">
        <v>892</v>
      </c>
      <c r="B121" s="1161" t="s">
        <v>893</v>
      </c>
      <c r="C121" s="1165">
        <f>'4.1.(7.1) Önkormányzat'!C121</f>
        <v>0</v>
      </c>
      <c r="D121" s="1166">
        <f>'4.1.(7.1) Önkormányzat'!D121</f>
        <v>0</v>
      </c>
    </row>
    <row r="122" spans="1:4" ht="12" customHeight="1" thickBot="1">
      <c r="A122" s="1099" t="s">
        <v>721</v>
      </c>
      <c r="B122" s="1172" t="s">
        <v>894</v>
      </c>
      <c r="C122" s="1101">
        <f>+C123+C124</f>
        <v>70399208</v>
      </c>
      <c r="D122" s="1102">
        <f>+D123+D124</f>
        <v>82399208</v>
      </c>
    </row>
    <row r="123" spans="1:4" ht="12" customHeight="1">
      <c r="A123" s="1103" t="s">
        <v>723</v>
      </c>
      <c r="B123" s="1173" t="s">
        <v>895</v>
      </c>
      <c r="C123" s="1174">
        <f>'4.1.(7.1) Önkormányzat'!C123</f>
        <v>2382509</v>
      </c>
      <c r="D123" s="1117">
        <f>'4.1.(7.1) Önkormányzat'!D123</f>
        <v>14382509</v>
      </c>
    </row>
    <row r="124" spans="1:4" ht="12" customHeight="1" thickBot="1">
      <c r="A124" s="1112" t="s">
        <v>725</v>
      </c>
      <c r="B124" s="1168" t="s">
        <v>896</v>
      </c>
      <c r="C124" s="1165">
        <f>'4.1.(7.1) Önkormányzat'!C124</f>
        <v>68016699</v>
      </c>
      <c r="D124" s="1166">
        <f>'4.1.(7.1) Önkormányzat'!D124</f>
        <v>68016699</v>
      </c>
    </row>
    <row r="125" spans="1:4" ht="12" customHeight="1" thickBot="1">
      <c r="A125" s="1099" t="s">
        <v>897</v>
      </c>
      <c r="B125" s="1172" t="s">
        <v>898</v>
      </c>
      <c r="C125" s="1101">
        <f>+C92+C108+C122</f>
        <v>385196526</v>
      </c>
      <c r="D125" s="1102">
        <f>+D92+D108+D122</f>
        <v>419572751</v>
      </c>
    </row>
    <row r="126" spans="1:4" ht="12" customHeight="1" thickBot="1">
      <c r="A126" s="1099" t="s">
        <v>750</v>
      </c>
      <c r="B126" s="1172" t="s">
        <v>899</v>
      </c>
      <c r="C126" s="1101">
        <f>+C127+C128+C129</f>
        <v>0</v>
      </c>
      <c r="D126" s="1102">
        <f>+D127+D128+D129</f>
        <v>0</v>
      </c>
    </row>
    <row r="127" spans="1:4" s="1151" customFormat="1" ht="12" customHeight="1">
      <c r="A127" s="1103" t="s">
        <v>752</v>
      </c>
      <c r="B127" s="1173" t="s">
        <v>900</v>
      </c>
      <c r="C127" s="1154">
        <f>'4.1.(7.1) Önkormányzat'!C127</f>
        <v>0</v>
      </c>
      <c r="D127" s="1155">
        <f>'4.1.(7.1) Önkormányzat'!D127</f>
        <v>0</v>
      </c>
    </row>
    <row r="128" spans="1:4" ht="12" customHeight="1">
      <c r="A128" s="1103" t="s">
        <v>754</v>
      </c>
      <c r="B128" s="1173" t="s">
        <v>901</v>
      </c>
      <c r="C128" s="1157">
        <f>'4.1.(7.1) Önkormányzat'!C128</f>
        <v>0</v>
      </c>
      <c r="D128" s="1116">
        <f>'4.1.(7.1) Önkormányzat'!D128</f>
        <v>0</v>
      </c>
    </row>
    <row r="129" spans="1:11" ht="12" customHeight="1" thickBot="1">
      <c r="A129" s="1162" t="s">
        <v>756</v>
      </c>
      <c r="B129" s="1175" t="s">
        <v>902</v>
      </c>
      <c r="C129" s="1165">
        <f>'4.1.(7.1) Önkormányzat'!C129</f>
        <v>0</v>
      </c>
      <c r="D129" s="1166">
        <f>'4.1.(7.1) Önkormányzat'!D129</f>
        <v>0</v>
      </c>
    </row>
    <row r="130" spans="1:11" ht="12" customHeight="1" thickBot="1">
      <c r="A130" s="1099" t="s">
        <v>772</v>
      </c>
      <c r="B130" s="1172" t="s">
        <v>903</v>
      </c>
      <c r="C130" s="1101">
        <f>+C131+C132+C133+C134</f>
        <v>0</v>
      </c>
      <c r="D130" s="1102">
        <f>+D131+D132+D133+D134</f>
        <v>0</v>
      </c>
    </row>
    <row r="131" spans="1:11" ht="12" customHeight="1">
      <c r="A131" s="1103" t="s">
        <v>774</v>
      </c>
      <c r="B131" s="1173" t="s">
        <v>904</v>
      </c>
      <c r="C131" s="1157">
        <f>'4.1.(7.1) Önkormányzat'!C131</f>
        <v>0</v>
      </c>
      <c r="D131" s="1116">
        <f>'4.1.(7.1) Önkormányzat'!D131</f>
        <v>0</v>
      </c>
    </row>
    <row r="132" spans="1:11" ht="12" customHeight="1">
      <c r="A132" s="1103" t="s">
        <v>776</v>
      </c>
      <c r="B132" s="1173" t="s">
        <v>905</v>
      </c>
      <c r="C132" s="1157">
        <f>'4.1.(7.1) Önkormányzat'!C132</f>
        <v>0</v>
      </c>
      <c r="D132" s="1116">
        <f>'4.1.(7.1) Önkormányzat'!D132</f>
        <v>0</v>
      </c>
    </row>
    <row r="133" spans="1:11" ht="12" customHeight="1">
      <c r="A133" s="1103" t="s">
        <v>777</v>
      </c>
      <c r="B133" s="1173" t="s">
        <v>906</v>
      </c>
      <c r="C133" s="1157">
        <f>'4.1.(7.1) Önkormányzat'!C133</f>
        <v>0</v>
      </c>
      <c r="D133" s="1116">
        <f>'4.1.(7.1) Önkormányzat'!D133</f>
        <v>0</v>
      </c>
    </row>
    <row r="134" spans="1:11" s="1151" customFormat="1" ht="12" customHeight="1" thickBot="1">
      <c r="A134" s="1162" t="s">
        <v>779</v>
      </c>
      <c r="B134" s="1175" t="s">
        <v>907</v>
      </c>
      <c r="C134" s="1157">
        <f>'4.1.(7.1) Önkormányzat'!C134</f>
        <v>0</v>
      </c>
      <c r="D134" s="1116">
        <f>'4.1.(7.1) Önkormányzat'!D134</f>
        <v>0</v>
      </c>
    </row>
    <row r="135" spans="1:11" ht="12" customHeight="1" thickBot="1">
      <c r="A135" s="1099" t="s">
        <v>908</v>
      </c>
      <c r="B135" s="1172" t="s">
        <v>909</v>
      </c>
      <c r="C135" s="1118">
        <f>+C136+C137+C138+C139</f>
        <v>5539458</v>
      </c>
      <c r="D135" s="1119">
        <f>+D136+D137+D138+D139</f>
        <v>5539458</v>
      </c>
      <c r="K135" s="1176"/>
    </row>
    <row r="136" spans="1:11">
      <c r="A136" s="1103" t="s">
        <v>785</v>
      </c>
      <c r="B136" s="1173" t="s">
        <v>910</v>
      </c>
      <c r="C136" s="1177"/>
      <c r="D136" s="1751"/>
    </row>
    <row r="137" spans="1:11" ht="12" customHeight="1">
      <c r="A137" s="1103" t="s">
        <v>787</v>
      </c>
      <c r="B137" s="1173" t="s">
        <v>911</v>
      </c>
      <c r="C137" s="1157">
        <f>'4.1.(7.1) Önkormányzat'!C137</f>
        <v>5539458</v>
      </c>
      <c r="D137" s="1116">
        <f>'4.1.(7.1) Önkormányzat'!D137</f>
        <v>5539458</v>
      </c>
    </row>
    <row r="138" spans="1:11" s="1151" customFormat="1" ht="12" customHeight="1">
      <c r="A138" s="1103" t="s">
        <v>789</v>
      </c>
      <c r="B138" s="1173" t="s">
        <v>912</v>
      </c>
      <c r="C138" s="1157">
        <f>'4.1.(7.1) Önkormányzat'!C138</f>
        <v>0</v>
      </c>
      <c r="D138" s="1116">
        <f>'4.1.(7.1) Önkormányzat'!D138</f>
        <v>0</v>
      </c>
    </row>
    <row r="139" spans="1:11" s="1151" customFormat="1" ht="12" customHeight="1" thickBot="1">
      <c r="A139" s="1162" t="s">
        <v>791</v>
      </c>
      <c r="B139" s="1175" t="s">
        <v>913</v>
      </c>
      <c r="C139" s="1157">
        <f>'4.1.(7.1) Önkormányzat'!C139</f>
        <v>0</v>
      </c>
      <c r="D139" s="1116">
        <f>'4.1.(7.1) Önkormányzat'!D139</f>
        <v>0</v>
      </c>
    </row>
    <row r="140" spans="1:11" s="1151" customFormat="1" ht="12" customHeight="1" thickBot="1">
      <c r="A140" s="1099" t="s">
        <v>793</v>
      </c>
      <c r="B140" s="1172" t="s">
        <v>914</v>
      </c>
      <c r="C140" s="1178">
        <f>+C141+C142+C143+C144</f>
        <v>0</v>
      </c>
      <c r="D140" s="1179">
        <f>+D141+D142+D143+D144</f>
        <v>0</v>
      </c>
    </row>
    <row r="141" spans="1:11" s="1151" customFormat="1" ht="12" customHeight="1">
      <c r="A141" s="1103" t="s">
        <v>795</v>
      </c>
      <c r="B141" s="1173" t="s">
        <v>915</v>
      </c>
      <c r="C141" s="1157">
        <f>'4.1.(7.1) Önkormányzat'!C141</f>
        <v>0</v>
      </c>
      <c r="D141" s="1116">
        <f>'4.1.(7.1) Önkormányzat'!D141</f>
        <v>0</v>
      </c>
    </row>
    <row r="142" spans="1:11" s="1151" customFormat="1" ht="12" customHeight="1">
      <c r="A142" s="1103" t="s">
        <v>797</v>
      </c>
      <c r="B142" s="1173" t="s">
        <v>916</v>
      </c>
      <c r="C142" s="1157">
        <f>'4.1.(7.1) Önkormányzat'!C142</f>
        <v>0</v>
      </c>
      <c r="D142" s="1116">
        <f>'4.1.(7.1) Önkormányzat'!D142</f>
        <v>0</v>
      </c>
    </row>
    <row r="143" spans="1:11" s="1151" customFormat="1" ht="12" customHeight="1">
      <c r="A143" s="1103" t="s">
        <v>799</v>
      </c>
      <c r="B143" s="1173" t="s">
        <v>917</v>
      </c>
      <c r="C143" s="1157">
        <f>'4.1.(7.1) Önkormányzat'!C143</f>
        <v>0</v>
      </c>
      <c r="D143" s="1116">
        <f>'4.1.(7.1) Önkormányzat'!D143</f>
        <v>0</v>
      </c>
    </row>
    <row r="144" spans="1:11" ht="12.75" customHeight="1" thickBot="1">
      <c r="A144" s="1103" t="s">
        <v>801</v>
      </c>
      <c r="B144" s="1173" t="s">
        <v>918</v>
      </c>
      <c r="C144" s="1157">
        <f>'4.1.(7.1) Önkormányzat'!C144</f>
        <v>0</v>
      </c>
      <c r="D144" s="1116">
        <f>'4.1.(7.1) Önkormányzat'!D144</f>
        <v>0</v>
      </c>
    </row>
    <row r="145" spans="1:5" ht="12" customHeight="1" thickBot="1">
      <c r="A145" s="1099" t="s">
        <v>803</v>
      </c>
      <c r="B145" s="1172" t="s">
        <v>919</v>
      </c>
      <c r="C145" s="1180">
        <f>+C126+C130+C135+C140</f>
        <v>5539458</v>
      </c>
      <c r="D145" s="1181">
        <f>+D126+D130+D135+D140</f>
        <v>5539458</v>
      </c>
    </row>
    <row r="146" spans="1:5" ht="15" customHeight="1" thickBot="1">
      <c r="A146" s="1182" t="s">
        <v>920</v>
      </c>
      <c r="B146" s="1183" t="s">
        <v>921</v>
      </c>
      <c r="C146" s="1180">
        <f>+C125+C145</f>
        <v>390735984</v>
      </c>
      <c r="D146" s="1181">
        <f>+D125+D145</f>
        <v>425112209</v>
      </c>
    </row>
    <row r="148" spans="1:5" s="1185" customFormat="1" ht="15.75">
      <c r="A148" s="1817" t="s">
        <v>922</v>
      </c>
      <c r="B148" s="1817"/>
      <c r="C148" s="1817"/>
      <c r="D148" s="1184"/>
      <c r="E148" s="1184"/>
    </row>
    <row r="149" spans="1:5" s="1185" customFormat="1" ht="15" customHeight="1" thickBot="1">
      <c r="A149" s="1818"/>
      <c r="B149" s="1818"/>
      <c r="C149" s="1819" t="s">
        <v>1087</v>
      </c>
      <c r="D149" s="1819"/>
      <c r="E149" s="1184"/>
    </row>
    <row r="150" spans="1:5" s="1185" customFormat="1" ht="24.95" customHeight="1" thickBot="1">
      <c r="A150" s="1186">
        <v>1</v>
      </c>
      <c r="B150" s="1187" t="s">
        <v>923</v>
      </c>
      <c r="C150" s="1188">
        <f>C64-C125</f>
        <v>-18265643</v>
      </c>
      <c r="D150" s="1127">
        <f>D64-D125</f>
        <v>-46707524</v>
      </c>
      <c r="E150" s="1189">
        <f>+E63-E125</f>
        <v>0</v>
      </c>
    </row>
    <row r="151" spans="1:5" s="1185" customFormat="1" ht="27.75" customHeight="1" thickBot="1">
      <c r="A151" s="1186" t="s">
        <v>707</v>
      </c>
      <c r="B151" s="1187" t="s">
        <v>924</v>
      </c>
      <c r="C151" s="1188">
        <f>C87-C145</f>
        <v>18265643</v>
      </c>
      <c r="D151" s="1127">
        <f>D87-D145</f>
        <v>46707524</v>
      </c>
      <c r="E151" s="1189">
        <f>+E86-E145</f>
        <v>0</v>
      </c>
    </row>
  </sheetData>
  <sheetProtection selectLockedCells="1" selectUnlockedCells="1"/>
  <mergeCells count="9">
    <mergeCell ref="A148:C148"/>
    <mergeCell ref="A149:B149"/>
    <mergeCell ref="C149:D149"/>
    <mergeCell ref="A1:D1"/>
    <mergeCell ref="C2:D2"/>
    <mergeCell ref="C3:D3"/>
    <mergeCell ref="C4:D4"/>
    <mergeCell ref="A7:D7"/>
    <mergeCell ref="A91:D9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horizontalDpi="4294967295" r:id="rId1"/>
  <headerFooter alignWithMargins="0"/>
  <rowBreaks count="2" manualBreakCount="2">
    <brk id="69" max="3" man="1"/>
    <brk id="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G31"/>
  <sheetViews>
    <sheetView view="pageBreakPreview" zoomScaleNormal="100" zoomScaleSheetLayoutView="100" workbookViewId="0">
      <selection activeCell="E2" sqref="E2"/>
    </sheetView>
  </sheetViews>
  <sheetFormatPr defaultRowHeight="12.75"/>
  <cols>
    <col min="1" max="1" width="5.85546875" style="1296" customWidth="1"/>
    <col min="2" max="2" width="45.28515625" style="1300" customWidth="1"/>
    <col min="3" max="3" width="12.7109375" style="1296" customWidth="1"/>
    <col min="4" max="4" width="12.28515625" style="1296" customWidth="1"/>
    <col min="5" max="5" width="46.7109375" style="1296" customWidth="1"/>
    <col min="6" max="7" width="11.85546875" style="1296" customWidth="1"/>
    <col min="8" max="256" width="9.140625" style="1299"/>
    <col min="257" max="257" width="5.85546875" style="1299" customWidth="1"/>
    <col min="258" max="258" width="45.28515625" style="1299" customWidth="1"/>
    <col min="259" max="259" width="12.7109375" style="1299" customWidth="1"/>
    <col min="260" max="260" width="12.28515625" style="1299" customWidth="1"/>
    <col min="261" max="261" width="46.7109375" style="1299" customWidth="1"/>
    <col min="262" max="263" width="11.85546875" style="1299" customWidth="1"/>
    <col min="264" max="512" width="9.140625" style="1299"/>
    <col min="513" max="513" width="5.85546875" style="1299" customWidth="1"/>
    <col min="514" max="514" width="45.28515625" style="1299" customWidth="1"/>
    <col min="515" max="515" width="12.7109375" style="1299" customWidth="1"/>
    <col min="516" max="516" width="12.28515625" style="1299" customWidth="1"/>
    <col min="517" max="517" width="46.7109375" style="1299" customWidth="1"/>
    <col min="518" max="519" width="11.85546875" style="1299" customWidth="1"/>
    <col min="520" max="768" width="9.140625" style="1299"/>
    <col min="769" max="769" width="5.85546875" style="1299" customWidth="1"/>
    <col min="770" max="770" width="45.28515625" style="1299" customWidth="1"/>
    <col min="771" max="771" width="12.7109375" style="1299" customWidth="1"/>
    <col min="772" max="772" width="12.28515625" style="1299" customWidth="1"/>
    <col min="773" max="773" width="46.7109375" style="1299" customWidth="1"/>
    <col min="774" max="775" width="11.85546875" style="1299" customWidth="1"/>
    <col min="776" max="1024" width="9.140625" style="1299"/>
    <col min="1025" max="1025" width="5.85546875" style="1299" customWidth="1"/>
    <col min="1026" max="1026" width="45.28515625" style="1299" customWidth="1"/>
    <col min="1027" max="1027" width="12.7109375" style="1299" customWidth="1"/>
    <col min="1028" max="1028" width="12.28515625" style="1299" customWidth="1"/>
    <col min="1029" max="1029" width="46.7109375" style="1299" customWidth="1"/>
    <col min="1030" max="1031" width="11.85546875" style="1299" customWidth="1"/>
    <col min="1032" max="1280" width="9.140625" style="1299"/>
    <col min="1281" max="1281" width="5.85546875" style="1299" customWidth="1"/>
    <col min="1282" max="1282" width="45.28515625" style="1299" customWidth="1"/>
    <col min="1283" max="1283" width="12.7109375" style="1299" customWidth="1"/>
    <col min="1284" max="1284" width="12.28515625" style="1299" customWidth="1"/>
    <col min="1285" max="1285" width="46.7109375" style="1299" customWidth="1"/>
    <col min="1286" max="1287" width="11.85546875" style="1299" customWidth="1"/>
    <col min="1288" max="1536" width="9.140625" style="1299"/>
    <col min="1537" max="1537" width="5.85546875" style="1299" customWidth="1"/>
    <col min="1538" max="1538" width="45.28515625" style="1299" customWidth="1"/>
    <col min="1539" max="1539" width="12.7109375" style="1299" customWidth="1"/>
    <col min="1540" max="1540" width="12.28515625" style="1299" customWidth="1"/>
    <col min="1541" max="1541" width="46.7109375" style="1299" customWidth="1"/>
    <col min="1542" max="1543" width="11.85546875" style="1299" customWidth="1"/>
    <col min="1544" max="1792" width="9.140625" style="1299"/>
    <col min="1793" max="1793" width="5.85546875" style="1299" customWidth="1"/>
    <col min="1794" max="1794" width="45.28515625" style="1299" customWidth="1"/>
    <col min="1795" max="1795" width="12.7109375" style="1299" customWidth="1"/>
    <col min="1796" max="1796" width="12.28515625" style="1299" customWidth="1"/>
    <col min="1797" max="1797" width="46.7109375" style="1299" customWidth="1"/>
    <col min="1798" max="1799" width="11.85546875" style="1299" customWidth="1"/>
    <col min="1800" max="2048" width="9.140625" style="1299"/>
    <col min="2049" max="2049" width="5.85546875" style="1299" customWidth="1"/>
    <col min="2050" max="2050" width="45.28515625" style="1299" customWidth="1"/>
    <col min="2051" max="2051" width="12.7109375" style="1299" customWidth="1"/>
    <col min="2052" max="2052" width="12.28515625" style="1299" customWidth="1"/>
    <col min="2053" max="2053" width="46.7109375" style="1299" customWidth="1"/>
    <col min="2054" max="2055" width="11.85546875" style="1299" customWidth="1"/>
    <col min="2056" max="2304" width="9.140625" style="1299"/>
    <col min="2305" max="2305" width="5.85546875" style="1299" customWidth="1"/>
    <col min="2306" max="2306" width="45.28515625" style="1299" customWidth="1"/>
    <col min="2307" max="2307" width="12.7109375" style="1299" customWidth="1"/>
    <col min="2308" max="2308" width="12.28515625" style="1299" customWidth="1"/>
    <col min="2309" max="2309" width="46.7109375" style="1299" customWidth="1"/>
    <col min="2310" max="2311" width="11.85546875" style="1299" customWidth="1"/>
    <col min="2312" max="2560" width="9.140625" style="1299"/>
    <col min="2561" max="2561" width="5.85546875" style="1299" customWidth="1"/>
    <col min="2562" max="2562" width="45.28515625" style="1299" customWidth="1"/>
    <col min="2563" max="2563" width="12.7109375" style="1299" customWidth="1"/>
    <col min="2564" max="2564" width="12.28515625" style="1299" customWidth="1"/>
    <col min="2565" max="2565" width="46.7109375" style="1299" customWidth="1"/>
    <col min="2566" max="2567" width="11.85546875" style="1299" customWidth="1"/>
    <col min="2568" max="2816" width="9.140625" style="1299"/>
    <col min="2817" max="2817" width="5.85546875" style="1299" customWidth="1"/>
    <col min="2818" max="2818" width="45.28515625" style="1299" customWidth="1"/>
    <col min="2819" max="2819" width="12.7109375" style="1299" customWidth="1"/>
    <col min="2820" max="2820" width="12.28515625" style="1299" customWidth="1"/>
    <col min="2821" max="2821" width="46.7109375" style="1299" customWidth="1"/>
    <col min="2822" max="2823" width="11.85546875" style="1299" customWidth="1"/>
    <col min="2824" max="3072" width="9.140625" style="1299"/>
    <col min="3073" max="3073" width="5.85546875" style="1299" customWidth="1"/>
    <col min="3074" max="3074" width="45.28515625" style="1299" customWidth="1"/>
    <col min="3075" max="3075" width="12.7109375" style="1299" customWidth="1"/>
    <col min="3076" max="3076" width="12.28515625" style="1299" customWidth="1"/>
    <col min="3077" max="3077" width="46.7109375" style="1299" customWidth="1"/>
    <col min="3078" max="3079" width="11.85546875" style="1299" customWidth="1"/>
    <col min="3080" max="3328" width="9.140625" style="1299"/>
    <col min="3329" max="3329" width="5.85546875" style="1299" customWidth="1"/>
    <col min="3330" max="3330" width="45.28515625" style="1299" customWidth="1"/>
    <col min="3331" max="3331" width="12.7109375" style="1299" customWidth="1"/>
    <col min="3332" max="3332" width="12.28515625" style="1299" customWidth="1"/>
    <col min="3333" max="3333" width="46.7109375" style="1299" customWidth="1"/>
    <col min="3334" max="3335" width="11.85546875" style="1299" customWidth="1"/>
    <col min="3336" max="3584" width="9.140625" style="1299"/>
    <col min="3585" max="3585" width="5.85546875" style="1299" customWidth="1"/>
    <col min="3586" max="3586" width="45.28515625" style="1299" customWidth="1"/>
    <col min="3587" max="3587" width="12.7109375" style="1299" customWidth="1"/>
    <col min="3588" max="3588" width="12.28515625" style="1299" customWidth="1"/>
    <col min="3589" max="3589" width="46.7109375" style="1299" customWidth="1"/>
    <col min="3590" max="3591" width="11.85546875" style="1299" customWidth="1"/>
    <col min="3592" max="3840" width="9.140625" style="1299"/>
    <col min="3841" max="3841" width="5.85546875" style="1299" customWidth="1"/>
    <col min="3842" max="3842" width="45.28515625" style="1299" customWidth="1"/>
    <col min="3843" max="3843" width="12.7109375" style="1299" customWidth="1"/>
    <col min="3844" max="3844" width="12.28515625" style="1299" customWidth="1"/>
    <col min="3845" max="3845" width="46.7109375" style="1299" customWidth="1"/>
    <col min="3846" max="3847" width="11.85546875" style="1299" customWidth="1"/>
    <col min="3848" max="4096" width="9.140625" style="1299"/>
    <col min="4097" max="4097" width="5.85546875" style="1299" customWidth="1"/>
    <col min="4098" max="4098" width="45.28515625" style="1299" customWidth="1"/>
    <col min="4099" max="4099" width="12.7109375" style="1299" customWidth="1"/>
    <col min="4100" max="4100" width="12.28515625" style="1299" customWidth="1"/>
    <col min="4101" max="4101" width="46.7109375" style="1299" customWidth="1"/>
    <col min="4102" max="4103" width="11.85546875" style="1299" customWidth="1"/>
    <col min="4104" max="4352" width="9.140625" style="1299"/>
    <col min="4353" max="4353" width="5.85546875" style="1299" customWidth="1"/>
    <col min="4354" max="4354" width="45.28515625" style="1299" customWidth="1"/>
    <col min="4355" max="4355" width="12.7109375" style="1299" customWidth="1"/>
    <col min="4356" max="4356" width="12.28515625" style="1299" customWidth="1"/>
    <col min="4357" max="4357" width="46.7109375" style="1299" customWidth="1"/>
    <col min="4358" max="4359" width="11.85546875" style="1299" customWidth="1"/>
    <col min="4360" max="4608" width="9.140625" style="1299"/>
    <col min="4609" max="4609" width="5.85546875" style="1299" customWidth="1"/>
    <col min="4610" max="4610" width="45.28515625" style="1299" customWidth="1"/>
    <col min="4611" max="4611" width="12.7109375" style="1299" customWidth="1"/>
    <col min="4612" max="4612" width="12.28515625" style="1299" customWidth="1"/>
    <col min="4613" max="4613" width="46.7109375" style="1299" customWidth="1"/>
    <col min="4614" max="4615" width="11.85546875" style="1299" customWidth="1"/>
    <col min="4616" max="4864" width="9.140625" style="1299"/>
    <col min="4865" max="4865" width="5.85546875" style="1299" customWidth="1"/>
    <col min="4866" max="4866" width="45.28515625" style="1299" customWidth="1"/>
    <col min="4867" max="4867" width="12.7109375" style="1299" customWidth="1"/>
    <col min="4868" max="4868" width="12.28515625" style="1299" customWidth="1"/>
    <col min="4869" max="4869" width="46.7109375" style="1299" customWidth="1"/>
    <col min="4870" max="4871" width="11.85546875" style="1299" customWidth="1"/>
    <col min="4872" max="5120" width="9.140625" style="1299"/>
    <col min="5121" max="5121" width="5.85546875" style="1299" customWidth="1"/>
    <col min="5122" max="5122" width="45.28515625" style="1299" customWidth="1"/>
    <col min="5123" max="5123" width="12.7109375" style="1299" customWidth="1"/>
    <col min="5124" max="5124" width="12.28515625" style="1299" customWidth="1"/>
    <col min="5125" max="5125" width="46.7109375" style="1299" customWidth="1"/>
    <col min="5126" max="5127" width="11.85546875" style="1299" customWidth="1"/>
    <col min="5128" max="5376" width="9.140625" style="1299"/>
    <col min="5377" max="5377" width="5.85546875" style="1299" customWidth="1"/>
    <col min="5378" max="5378" width="45.28515625" style="1299" customWidth="1"/>
    <col min="5379" max="5379" width="12.7109375" style="1299" customWidth="1"/>
    <col min="5380" max="5380" width="12.28515625" style="1299" customWidth="1"/>
    <col min="5381" max="5381" width="46.7109375" style="1299" customWidth="1"/>
    <col min="5382" max="5383" width="11.85546875" style="1299" customWidth="1"/>
    <col min="5384" max="5632" width="9.140625" style="1299"/>
    <col min="5633" max="5633" width="5.85546875" style="1299" customWidth="1"/>
    <col min="5634" max="5634" width="45.28515625" style="1299" customWidth="1"/>
    <col min="5635" max="5635" width="12.7109375" style="1299" customWidth="1"/>
    <col min="5636" max="5636" width="12.28515625" style="1299" customWidth="1"/>
    <col min="5637" max="5637" width="46.7109375" style="1299" customWidth="1"/>
    <col min="5638" max="5639" width="11.85546875" style="1299" customWidth="1"/>
    <col min="5640" max="5888" width="9.140625" style="1299"/>
    <col min="5889" max="5889" width="5.85546875" style="1299" customWidth="1"/>
    <col min="5890" max="5890" width="45.28515625" style="1299" customWidth="1"/>
    <col min="5891" max="5891" width="12.7109375" style="1299" customWidth="1"/>
    <col min="5892" max="5892" width="12.28515625" style="1299" customWidth="1"/>
    <col min="5893" max="5893" width="46.7109375" style="1299" customWidth="1"/>
    <col min="5894" max="5895" width="11.85546875" style="1299" customWidth="1"/>
    <col min="5896" max="6144" width="9.140625" style="1299"/>
    <col min="6145" max="6145" width="5.85546875" style="1299" customWidth="1"/>
    <col min="6146" max="6146" width="45.28515625" style="1299" customWidth="1"/>
    <col min="6147" max="6147" width="12.7109375" style="1299" customWidth="1"/>
    <col min="6148" max="6148" width="12.28515625" style="1299" customWidth="1"/>
    <col min="6149" max="6149" width="46.7109375" style="1299" customWidth="1"/>
    <col min="6150" max="6151" width="11.85546875" style="1299" customWidth="1"/>
    <col min="6152" max="6400" width="9.140625" style="1299"/>
    <col min="6401" max="6401" width="5.85546875" style="1299" customWidth="1"/>
    <col min="6402" max="6402" width="45.28515625" style="1299" customWidth="1"/>
    <col min="6403" max="6403" width="12.7109375" style="1299" customWidth="1"/>
    <col min="6404" max="6404" width="12.28515625" style="1299" customWidth="1"/>
    <col min="6405" max="6405" width="46.7109375" style="1299" customWidth="1"/>
    <col min="6406" max="6407" width="11.85546875" style="1299" customWidth="1"/>
    <col min="6408" max="6656" width="9.140625" style="1299"/>
    <col min="6657" max="6657" width="5.85546875" style="1299" customWidth="1"/>
    <col min="6658" max="6658" width="45.28515625" style="1299" customWidth="1"/>
    <col min="6659" max="6659" width="12.7109375" style="1299" customWidth="1"/>
    <col min="6660" max="6660" width="12.28515625" style="1299" customWidth="1"/>
    <col min="6661" max="6661" width="46.7109375" style="1299" customWidth="1"/>
    <col min="6662" max="6663" width="11.85546875" style="1299" customWidth="1"/>
    <col min="6664" max="6912" width="9.140625" style="1299"/>
    <col min="6913" max="6913" width="5.85546875" style="1299" customWidth="1"/>
    <col min="6914" max="6914" width="45.28515625" style="1299" customWidth="1"/>
    <col min="6915" max="6915" width="12.7109375" style="1299" customWidth="1"/>
    <col min="6916" max="6916" width="12.28515625" style="1299" customWidth="1"/>
    <col min="6917" max="6917" width="46.7109375" style="1299" customWidth="1"/>
    <col min="6918" max="6919" width="11.85546875" style="1299" customWidth="1"/>
    <col min="6920" max="7168" width="9.140625" style="1299"/>
    <col min="7169" max="7169" width="5.85546875" style="1299" customWidth="1"/>
    <col min="7170" max="7170" width="45.28515625" style="1299" customWidth="1"/>
    <col min="7171" max="7171" width="12.7109375" style="1299" customWidth="1"/>
    <col min="7172" max="7172" width="12.28515625" style="1299" customWidth="1"/>
    <col min="7173" max="7173" width="46.7109375" style="1299" customWidth="1"/>
    <col min="7174" max="7175" width="11.85546875" style="1299" customWidth="1"/>
    <col min="7176" max="7424" width="9.140625" style="1299"/>
    <col min="7425" max="7425" width="5.85546875" style="1299" customWidth="1"/>
    <col min="7426" max="7426" width="45.28515625" style="1299" customWidth="1"/>
    <col min="7427" max="7427" width="12.7109375" style="1299" customWidth="1"/>
    <col min="7428" max="7428" width="12.28515625" style="1299" customWidth="1"/>
    <col min="7429" max="7429" width="46.7109375" style="1299" customWidth="1"/>
    <col min="7430" max="7431" width="11.85546875" style="1299" customWidth="1"/>
    <col min="7432" max="7680" width="9.140625" style="1299"/>
    <col min="7681" max="7681" width="5.85546875" style="1299" customWidth="1"/>
    <col min="7682" max="7682" width="45.28515625" style="1299" customWidth="1"/>
    <col min="7683" max="7683" width="12.7109375" style="1299" customWidth="1"/>
    <col min="7684" max="7684" width="12.28515625" style="1299" customWidth="1"/>
    <col min="7685" max="7685" width="46.7109375" style="1299" customWidth="1"/>
    <col min="7686" max="7687" width="11.85546875" style="1299" customWidth="1"/>
    <col min="7688" max="7936" width="9.140625" style="1299"/>
    <col min="7937" max="7937" width="5.85546875" style="1299" customWidth="1"/>
    <col min="7938" max="7938" width="45.28515625" style="1299" customWidth="1"/>
    <col min="7939" max="7939" width="12.7109375" style="1299" customWidth="1"/>
    <col min="7940" max="7940" width="12.28515625" style="1299" customWidth="1"/>
    <col min="7941" max="7941" width="46.7109375" style="1299" customWidth="1"/>
    <col min="7942" max="7943" width="11.85546875" style="1299" customWidth="1"/>
    <col min="7944" max="8192" width="9.140625" style="1299"/>
    <col min="8193" max="8193" width="5.85546875" style="1299" customWidth="1"/>
    <col min="8194" max="8194" width="45.28515625" style="1299" customWidth="1"/>
    <col min="8195" max="8195" width="12.7109375" style="1299" customWidth="1"/>
    <col min="8196" max="8196" width="12.28515625" style="1299" customWidth="1"/>
    <col min="8197" max="8197" width="46.7109375" style="1299" customWidth="1"/>
    <col min="8198" max="8199" width="11.85546875" style="1299" customWidth="1"/>
    <col min="8200" max="8448" width="9.140625" style="1299"/>
    <col min="8449" max="8449" width="5.85546875" style="1299" customWidth="1"/>
    <col min="8450" max="8450" width="45.28515625" style="1299" customWidth="1"/>
    <col min="8451" max="8451" width="12.7109375" style="1299" customWidth="1"/>
    <col min="8452" max="8452" width="12.28515625" style="1299" customWidth="1"/>
    <col min="8453" max="8453" width="46.7109375" style="1299" customWidth="1"/>
    <col min="8454" max="8455" width="11.85546875" style="1299" customWidth="1"/>
    <col min="8456" max="8704" width="9.140625" style="1299"/>
    <col min="8705" max="8705" width="5.85546875" style="1299" customWidth="1"/>
    <col min="8706" max="8706" width="45.28515625" style="1299" customWidth="1"/>
    <col min="8707" max="8707" width="12.7109375" style="1299" customWidth="1"/>
    <col min="8708" max="8708" width="12.28515625" style="1299" customWidth="1"/>
    <col min="8709" max="8709" width="46.7109375" style="1299" customWidth="1"/>
    <col min="8710" max="8711" width="11.85546875" style="1299" customWidth="1"/>
    <col min="8712" max="8960" width="9.140625" style="1299"/>
    <col min="8961" max="8961" width="5.85546875" style="1299" customWidth="1"/>
    <col min="8962" max="8962" width="45.28515625" style="1299" customWidth="1"/>
    <col min="8963" max="8963" width="12.7109375" style="1299" customWidth="1"/>
    <col min="8964" max="8964" width="12.28515625" style="1299" customWidth="1"/>
    <col min="8965" max="8965" width="46.7109375" style="1299" customWidth="1"/>
    <col min="8966" max="8967" width="11.85546875" style="1299" customWidth="1"/>
    <col min="8968" max="9216" width="9.140625" style="1299"/>
    <col min="9217" max="9217" width="5.85546875" style="1299" customWidth="1"/>
    <col min="9218" max="9218" width="45.28515625" style="1299" customWidth="1"/>
    <col min="9219" max="9219" width="12.7109375" style="1299" customWidth="1"/>
    <col min="9220" max="9220" width="12.28515625" style="1299" customWidth="1"/>
    <col min="9221" max="9221" width="46.7109375" style="1299" customWidth="1"/>
    <col min="9222" max="9223" width="11.85546875" style="1299" customWidth="1"/>
    <col min="9224" max="9472" width="9.140625" style="1299"/>
    <col min="9473" max="9473" width="5.85546875" style="1299" customWidth="1"/>
    <col min="9474" max="9474" width="45.28515625" style="1299" customWidth="1"/>
    <col min="9475" max="9475" width="12.7109375" style="1299" customWidth="1"/>
    <col min="9476" max="9476" width="12.28515625" style="1299" customWidth="1"/>
    <col min="9477" max="9477" width="46.7109375" style="1299" customWidth="1"/>
    <col min="9478" max="9479" width="11.85546875" style="1299" customWidth="1"/>
    <col min="9480" max="9728" width="9.140625" style="1299"/>
    <col min="9729" max="9729" width="5.85546875" style="1299" customWidth="1"/>
    <col min="9730" max="9730" width="45.28515625" style="1299" customWidth="1"/>
    <col min="9731" max="9731" width="12.7109375" style="1299" customWidth="1"/>
    <col min="9732" max="9732" width="12.28515625" style="1299" customWidth="1"/>
    <col min="9733" max="9733" width="46.7109375" style="1299" customWidth="1"/>
    <col min="9734" max="9735" width="11.85546875" style="1299" customWidth="1"/>
    <col min="9736" max="9984" width="9.140625" style="1299"/>
    <col min="9985" max="9985" width="5.85546875" style="1299" customWidth="1"/>
    <col min="9986" max="9986" width="45.28515625" style="1299" customWidth="1"/>
    <col min="9987" max="9987" width="12.7109375" style="1299" customWidth="1"/>
    <col min="9988" max="9988" width="12.28515625" style="1299" customWidth="1"/>
    <col min="9989" max="9989" width="46.7109375" style="1299" customWidth="1"/>
    <col min="9990" max="9991" width="11.85546875" style="1299" customWidth="1"/>
    <col min="9992" max="10240" width="9.140625" style="1299"/>
    <col min="10241" max="10241" width="5.85546875" style="1299" customWidth="1"/>
    <col min="10242" max="10242" width="45.28515625" style="1299" customWidth="1"/>
    <col min="10243" max="10243" width="12.7109375" style="1299" customWidth="1"/>
    <col min="10244" max="10244" width="12.28515625" style="1299" customWidth="1"/>
    <col min="10245" max="10245" width="46.7109375" style="1299" customWidth="1"/>
    <col min="10246" max="10247" width="11.85546875" style="1299" customWidth="1"/>
    <col min="10248" max="10496" width="9.140625" style="1299"/>
    <col min="10497" max="10497" width="5.85546875" style="1299" customWidth="1"/>
    <col min="10498" max="10498" width="45.28515625" style="1299" customWidth="1"/>
    <col min="10499" max="10499" width="12.7109375" style="1299" customWidth="1"/>
    <col min="10500" max="10500" width="12.28515625" style="1299" customWidth="1"/>
    <col min="10501" max="10501" width="46.7109375" style="1299" customWidth="1"/>
    <col min="10502" max="10503" width="11.85546875" style="1299" customWidth="1"/>
    <col min="10504" max="10752" width="9.140625" style="1299"/>
    <col min="10753" max="10753" width="5.85546875" style="1299" customWidth="1"/>
    <col min="10754" max="10754" width="45.28515625" style="1299" customWidth="1"/>
    <col min="10755" max="10755" width="12.7109375" style="1299" customWidth="1"/>
    <col min="10756" max="10756" width="12.28515625" style="1299" customWidth="1"/>
    <col min="10757" max="10757" width="46.7109375" style="1299" customWidth="1"/>
    <col min="10758" max="10759" width="11.85546875" style="1299" customWidth="1"/>
    <col min="10760" max="11008" width="9.140625" style="1299"/>
    <col min="11009" max="11009" width="5.85546875" style="1299" customWidth="1"/>
    <col min="11010" max="11010" width="45.28515625" style="1299" customWidth="1"/>
    <col min="11011" max="11011" width="12.7109375" style="1299" customWidth="1"/>
    <col min="11012" max="11012" width="12.28515625" style="1299" customWidth="1"/>
    <col min="11013" max="11013" width="46.7109375" style="1299" customWidth="1"/>
    <col min="11014" max="11015" width="11.85546875" style="1299" customWidth="1"/>
    <col min="11016" max="11264" width="9.140625" style="1299"/>
    <col min="11265" max="11265" width="5.85546875" style="1299" customWidth="1"/>
    <col min="11266" max="11266" width="45.28515625" style="1299" customWidth="1"/>
    <col min="11267" max="11267" width="12.7109375" style="1299" customWidth="1"/>
    <col min="11268" max="11268" width="12.28515625" style="1299" customWidth="1"/>
    <col min="11269" max="11269" width="46.7109375" style="1299" customWidth="1"/>
    <col min="11270" max="11271" width="11.85546875" style="1299" customWidth="1"/>
    <col min="11272" max="11520" width="9.140625" style="1299"/>
    <col min="11521" max="11521" width="5.85546875" style="1299" customWidth="1"/>
    <col min="11522" max="11522" width="45.28515625" style="1299" customWidth="1"/>
    <col min="11523" max="11523" width="12.7109375" style="1299" customWidth="1"/>
    <col min="11524" max="11524" width="12.28515625" style="1299" customWidth="1"/>
    <col min="11525" max="11525" width="46.7109375" style="1299" customWidth="1"/>
    <col min="11526" max="11527" width="11.85546875" style="1299" customWidth="1"/>
    <col min="11528" max="11776" width="9.140625" style="1299"/>
    <col min="11777" max="11777" width="5.85546875" style="1299" customWidth="1"/>
    <col min="11778" max="11778" width="45.28515625" style="1299" customWidth="1"/>
    <col min="11779" max="11779" width="12.7109375" style="1299" customWidth="1"/>
    <col min="11780" max="11780" width="12.28515625" style="1299" customWidth="1"/>
    <col min="11781" max="11781" width="46.7109375" style="1299" customWidth="1"/>
    <col min="11782" max="11783" width="11.85546875" style="1299" customWidth="1"/>
    <col min="11784" max="12032" width="9.140625" style="1299"/>
    <col min="12033" max="12033" width="5.85546875" style="1299" customWidth="1"/>
    <col min="12034" max="12034" width="45.28515625" style="1299" customWidth="1"/>
    <col min="12035" max="12035" width="12.7109375" style="1299" customWidth="1"/>
    <col min="12036" max="12036" width="12.28515625" style="1299" customWidth="1"/>
    <col min="12037" max="12037" width="46.7109375" style="1299" customWidth="1"/>
    <col min="12038" max="12039" width="11.85546875" style="1299" customWidth="1"/>
    <col min="12040" max="12288" width="9.140625" style="1299"/>
    <col min="12289" max="12289" width="5.85546875" style="1299" customWidth="1"/>
    <col min="12290" max="12290" width="45.28515625" style="1299" customWidth="1"/>
    <col min="12291" max="12291" width="12.7109375" style="1299" customWidth="1"/>
    <col min="12292" max="12292" width="12.28515625" style="1299" customWidth="1"/>
    <col min="12293" max="12293" width="46.7109375" style="1299" customWidth="1"/>
    <col min="12294" max="12295" width="11.85546875" style="1299" customWidth="1"/>
    <col min="12296" max="12544" width="9.140625" style="1299"/>
    <col min="12545" max="12545" width="5.85546875" style="1299" customWidth="1"/>
    <col min="12546" max="12546" width="45.28515625" style="1299" customWidth="1"/>
    <col min="12547" max="12547" width="12.7109375" style="1299" customWidth="1"/>
    <col min="12548" max="12548" width="12.28515625" style="1299" customWidth="1"/>
    <col min="12549" max="12549" width="46.7109375" style="1299" customWidth="1"/>
    <col min="12550" max="12551" width="11.85546875" style="1299" customWidth="1"/>
    <col min="12552" max="12800" width="9.140625" style="1299"/>
    <col min="12801" max="12801" width="5.85546875" style="1299" customWidth="1"/>
    <col min="12802" max="12802" width="45.28515625" style="1299" customWidth="1"/>
    <col min="12803" max="12803" width="12.7109375" style="1299" customWidth="1"/>
    <col min="12804" max="12804" width="12.28515625" style="1299" customWidth="1"/>
    <col min="12805" max="12805" width="46.7109375" style="1299" customWidth="1"/>
    <col min="12806" max="12807" width="11.85546875" style="1299" customWidth="1"/>
    <col min="12808" max="13056" width="9.140625" style="1299"/>
    <col min="13057" max="13057" width="5.85546875" style="1299" customWidth="1"/>
    <col min="13058" max="13058" width="45.28515625" style="1299" customWidth="1"/>
    <col min="13059" max="13059" width="12.7109375" style="1299" customWidth="1"/>
    <col min="13060" max="13060" width="12.28515625" style="1299" customWidth="1"/>
    <col min="13061" max="13061" width="46.7109375" style="1299" customWidth="1"/>
    <col min="13062" max="13063" width="11.85546875" style="1299" customWidth="1"/>
    <col min="13064" max="13312" width="9.140625" style="1299"/>
    <col min="13313" max="13313" width="5.85546875" style="1299" customWidth="1"/>
    <col min="13314" max="13314" width="45.28515625" style="1299" customWidth="1"/>
    <col min="13315" max="13315" width="12.7109375" style="1299" customWidth="1"/>
    <col min="13316" max="13316" width="12.28515625" style="1299" customWidth="1"/>
    <col min="13317" max="13317" width="46.7109375" style="1299" customWidth="1"/>
    <col min="13318" max="13319" width="11.85546875" style="1299" customWidth="1"/>
    <col min="13320" max="13568" width="9.140625" style="1299"/>
    <col min="13569" max="13569" width="5.85546875" style="1299" customWidth="1"/>
    <col min="13570" max="13570" width="45.28515625" style="1299" customWidth="1"/>
    <col min="13571" max="13571" width="12.7109375" style="1299" customWidth="1"/>
    <col min="13572" max="13572" width="12.28515625" style="1299" customWidth="1"/>
    <col min="13573" max="13573" width="46.7109375" style="1299" customWidth="1"/>
    <col min="13574" max="13575" width="11.85546875" style="1299" customWidth="1"/>
    <col min="13576" max="13824" width="9.140625" style="1299"/>
    <col min="13825" max="13825" width="5.85546875" style="1299" customWidth="1"/>
    <col min="13826" max="13826" width="45.28515625" style="1299" customWidth="1"/>
    <col min="13827" max="13827" width="12.7109375" style="1299" customWidth="1"/>
    <col min="13828" max="13828" width="12.28515625" style="1299" customWidth="1"/>
    <col min="13829" max="13829" width="46.7109375" style="1299" customWidth="1"/>
    <col min="13830" max="13831" width="11.85546875" style="1299" customWidth="1"/>
    <col min="13832" max="14080" width="9.140625" style="1299"/>
    <col min="14081" max="14081" width="5.85546875" style="1299" customWidth="1"/>
    <col min="14082" max="14082" width="45.28515625" style="1299" customWidth="1"/>
    <col min="14083" max="14083" width="12.7109375" style="1299" customWidth="1"/>
    <col min="14084" max="14084" width="12.28515625" style="1299" customWidth="1"/>
    <col min="14085" max="14085" width="46.7109375" style="1299" customWidth="1"/>
    <col min="14086" max="14087" width="11.85546875" style="1299" customWidth="1"/>
    <col min="14088" max="14336" width="9.140625" style="1299"/>
    <col min="14337" max="14337" width="5.85546875" style="1299" customWidth="1"/>
    <col min="14338" max="14338" width="45.28515625" style="1299" customWidth="1"/>
    <col min="14339" max="14339" width="12.7109375" style="1299" customWidth="1"/>
    <col min="14340" max="14340" width="12.28515625" style="1299" customWidth="1"/>
    <col min="14341" max="14341" width="46.7109375" style="1299" customWidth="1"/>
    <col min="14342" max="14343" width="11.85546875" style="1299" customWidth="1"/>
    <col min="14344" max="14592" width="9.140625" style="1299"/>
    <col min="14593" max="14593" width="5.85546875" style="1299" customWidth="1"/>
    <col min="14594" max="14594" width="45.28515625" style="1299" customWidth="1"/>
    <col min="14595" max="14595" width="12.7109375" style="1299" customWidth="1"/>
    <col min="14596" max="14596" width="12.28515625" style="1299" customWidth="1"/>
    <col min="14597" max="14597" width="46.7109375" style="1299" customWidth="1"/>
    <col min="14598" max="14599" width="11.85546875" style="1299" customWidth="1"/>
    <col min="14600" max="14848" width="9.140625" style="1299"/>
    <col min="14849" max="14849" width="5.85546875" style="1299" customWidth="1"/>
    <col min="14850" max="14850" width="45.28515625" style="1299" customWidth="1"/>
    <col min="14851" max="14851" width="12.7109375" style="1299" customWidth="1"/>
    <col min="14852" max="14852" width="12.28515625" style="1299" customWidth="1"/>
    <col min="14853" max="14853" width="46.7109375" style="1299" customWidth="1"/>
    <col min="14854" max="14855" width="11.85546875" style="1299" customWidth="1"/>
    <col min="14856" max="15104" width="9.140625" style="1299"/>
    <col min="15105" max="15105" width="5.85546875" style="1299" customWidth="1"/>
    <col min="15106" max="15106" width="45.28515625" style="1299" customWidth="1"/>
    <col min="15107" max="15107" width="12.7109375" style="1299" customWidth="1"/>
    <col min="15108" max="15108" width="12.28515625" style="1299" customWidth="1"/>
    <col min="15109" max="15109" width="46.7109375" style="1299" customWidth="1"/>
    <col min="15110" max="15111" width="11.85546875" style="1299" customWidth="1"/>
    <col min="15112" max="15360" width="9.140625" style="1299"/>
    <col min="15361" max="15361" width="5.85546875" style="1299" customWidth="1"/>
    <col min="15362" max="15362" width="45.28515625" style="1299" customWidth="1"/>
    <col min="15363" max="15363" width="12.7109375" style="1299" customWidth="1"/>
    <col min="15364" max="15364" width="12.28515625" style="1299" customWidth="1"/>
    <col min="15365" max="15365" width="46.7109375" style="1299" customWidth="1"/>
    <col min="15366" max="15367" width="11.85546875" style="1299" customWidth="1"/>
    <col min="15368" max="15616" width="9.140625" style="1299"/>
    <col min="15617" max="15617" width="5.85546875" style="1299" customWidth="1"/>
    <col min="15618" max="15618" width="45.28515625" style="1299" customWidth="1"/>
    <col min="15619" max="15619" width="12.7109375" style="1299" customWidth="1"/>
    <col min="15620" max="15620" width="12.28515625" style="1299" customWidth="1"/>
    <col min="15621" max="15621" width="46.7109375" style="1299" customWidth="1"/>
    <col min="15622" max="15623" width="11.85546875" style="1299" customWidth="1"/>
    <col min="15624" max="15872" width="9.140625" style="1299"/>
    <col min="15873" max="15873" width="5.85546875" style="1299" customWidth="1"/>
    <col min="15874" max="15874" width="45.28515625" style="1299" customWidth="1"/>
    <col min="15875" max="15875" width="12.7109375" style="1299" customWidth="1"/>
    <col min="15876" max="15876" width="12.28515625" style="1299" customWidth="1"/>
    <col min="15877" max="15877" width="46.7109375" style="1299" customWidth="1"/>
    <col min="15878" max="15879" width="11.85546875" style="1299" customWidth="1"/>
    <col min="15880" max="16128" width="9.140625" style="1299"/>
    <col min="16129" max="16129" width="5.85546875" style="1299" customWidth="1"/>
    <col min="16130" max="16130" width="45.28515625" style="1299" customWidth="1"/>
    <col min="16131" max="16131" width="12.7109375" style="1299" customWidth="1"/>
    <col min="16132" max="16132" width="12.28515625" style="1299" customWidth="1"/>
    <col min="16133" max="16133" width="46.7109375" style="1299" customWidth="1"/>
    <col min="16134" max="16135" width="11.85546875" style="1299" customWidth="1"/>
    <col min="16136" max="16384" width="9.140625" style="1299"/>
  </cols>
  <sheetData>
    <row r="1" spans="1:7" ht="39.75" customHeight="1">
      <c r="B1" s="1297" t="s">
        <v>1005</v>
      </c>
      <c r="C1" s="1298"/>
      <c r="D1" s="1298"/>
      <c r="E1" s="1298"/>
      <c r="F1" s="1298"/>
      <c r="G1" s="1298"/>
    </row>
    <row r="2" spans="1:7" ht="14.25" thickBot="1">
      <c r="F2" s="1830" t="s">
        <v>1088</v>
      </c>
      <c r="G2" s="1830"/>
    </row>
    <row r="3" spans="1:7" ht="18" customHeight="1" thickBot="1">
      <c r="A3" s="1831" t="s">
        <v>1007</v>
      </c>
      <c r="B3" s="1301" t="s">
        <v>692</v>
      </c>
      <c r="C3" s="1302"/>
      <c r="D3" s="1303"/>
      <c r="E3" s="1301" t="s">
        <v>853</v>
      </c>
      <c r="F3" s="1304"/>
      <c r="G3" s="1304"/>
    </row>
    <row r="4" spans="1:7" s="1307" customFormat="1" ht="35.25" customHeight="1" thickBot="1">
      <c r="A4" s="1832"/>
      <c r="B4" s="1305" t="s">
        <v>682</v>
      </c>
      <c r="C4" s="1306" t="s">
        <v>1086</v>
      </c>
      <c r="D4" s="1306" t="s">
        <v>691</v>
      </c>
      <c r="E4" s="1305" t="s">
        <v>682</v>
      </c>
      <c r="F4" s="1306" t="s">
        <v>1086</v>
      </c>
      <c r="G4" s="1412" t="s">
        <v>691</v>
      </c>
    </row>
    <row r="5" spans="1:7" s="1313" customFormat="1" ht="12" customHeight="1" thickBot="1">
      <c r="A5" s="1308">
        <v>1</v>
      </c>
      <c r="B5" s="1309">
        <v>2</v>
      </c>
      <c r="C5" s="1310" t="s">
        <v>721</v>
      </c>
      <c r="D5" s="1310" t="s">
        <v>897</v>
      </c>
      <c r="E5" s="1309" t="s">
        <v>750</v>
      </c>
      <c r="F5" s="1365" t="s">
        <v>772</v>
      </c>
      <c r="G5" s="1312" t="s">
        <v>908</v>
      </c>
    </row>
    <row r="6" spans="1:7" ht="12.95" customHeight="1">
      <c r="A6" s="1314" t="s">
        <v>693</v>
      </c>
      <c r="B6" s="1315" t="s">
        <v>1008</v>
      </c>
      <c r="C6" s="1316">
        <f>'1.1 Összesítő'!C8</f>
        <v>164069483</v>
      </c>
      <c r="D6" s="1316">
        <f>'1.1 Összesítő'!D8</f>
        <v>164069483</v>
      </c>
      <c r="E6" s="1315" t="s">
        <v>23</v>
      </c>
      <c r="F6" s="1317">
        <f>'1.1 Összesítő'!C93</f>
        <v>148184740</v>
      </c>
      <c r="G6" s="1242">
        <f>'1.1 Összesítő'!D93</f>
        <v>149673640</v>
      </c>
    </row>
    <row r="7" spans="1:7" ht="12.95" customHeight="1">
      <c r="A7" s="1318" t="s">
        <v>707</v>
      </c>
      <c r="B7" s="1319" t="s">
        <v>1009</v>
      </c>
      <c r="C7" s="1320">
        <f>'1.1 Összesítő'!C15</f>
        <v>6235000</v>
      </c>
      <c r="D7" s="1320">
        <f>'1.1 Összesítő'!D15</f>
        <v>12169344</v>
      </c>
      <c r="E7" s="1319" t="s">
        <v>30</v>
      </c>
      <c r="F7" s="1320">
        <f>'1.1 Összesítő'!C94</f>
        <v>29025098</v>
      </c>
      <c r="G7" s="1245">
        <f>'1.1 Összesítő'!D94</f>
        <v>28965519</v>
      </c>
    </row>
    <row r="8" spans="1:7" ht="12.95" customHeight="1">
      <c r="A8" s="1318" t="s">
        <v>721</v>
      </c>
      <c r="B8" s="1319" t="s">
        <v>1010</v>
      </c>
      <c r="C8" s="1320">
        <f>'[10]1.1 Összesítő'!C21</f>
        <v>0</v>
      </c>
      <c r="D8" s="1320">
        <f>'[10]1.1 Összesítő'!D21</f>
        <v>0</v>
      </c>
      <c r="E8" s="1319" t="s">
        <v>1011</v>
      </c>
      <c r="F8" s="1320">
        <f>'1.1 Összesítő'!C95</f>
        <v>94373650</v>
      </c>
      <c r="G8" s="1245">
        <f>'1.1 Összesítő'!D95</f>
        <v>102370167</v>
      </c>
    </row>
    <row r="9" spans="1:7" ht="12.95" customHeight="1">
      <c r="A9" s="1318" t="s">
        <v>897</v>
      </c>
      <c r="B9" s="1319" t="s">
        <v>282</v>
      </c>
      <c r="C9" s="1320">
        <f>'1.1 Összesítő'!C29</f>
        <v>72845000</v>
      </c>
      <c r="D9" s="1320">
        <f>'1.1 Összesítő'!D29</f>
        <v>72845000</v>
      </c>
      <c r="E9" s="1319" t="s">
        <v>244</v>
      </c>
      <c r="F9" s="1320">
        <f>'1.1 Összesítő'!C96</f>
        <v>2398000</v>
      </c>
      <c r="G9" s="1245">
        <f>'1.1 Összesítő'!D96</f>
        <v>2398000</v>
      </c>
    </row>
    <row r="10" spans="1:7" ht="12.95" customHeight="1">
      <c r="A10" s="1318" t="s">
        <v>750</v>
      </c>
      <c r="B10" s="1319" t="s">
        <v>89</v>
      </c>
      <c r="C10" s="1320">
        <f>'1.1 Összesítő'!C37</f>
        <v>88781400</v>
      </c>
      <c r="D10" s="1320">
        <f>'1.1 Összesítő'!D37</f>
        <v>88781400</v>
      </c>
      <c r="E10" s="1319" t="s">
        <v>63</v>
      </c>
      <c r="F10" s="1320">
        <f>'1.1 Összesítő'!C97</f>
        <v>17195000</v>
      </c>
      <c r="G10" s="1245">
        <f>'1.1 Összesítő'!D97</f>
        <v>19129345</v>
      </c>
    </row>
    <row r="11" spans="1:7" ht="12.95" customHeight="1">
      <c r="A11" s="1318" t="s">
        <v>772</v>
      </c>
      <c r="B11" s="1321" t="s">
        <v>983</v>
      </c>
      <c r="C11" s="1322"/>
      <c r="D11" s="1322"/>
      <c r="E11" s="1319" t="s">
        <v>1012</v>
      </c>
      <c r="F11" s="1322">
        <f>'1.1 Összesítő'!C123</f>
        <v>2382509</v>
      </c>
      <c r="G11" s="1245">
        <f>'1.1 Összesítő'!D123</f>
        <v>14382509</v>
      </c>
    </row>
    <row r="12" spans="1:7" ht="12.95" customHeight="1">
      <c r="A12" s="1318" t="s">
        <v>908</v>
      </c>
      <c r="B12" s="1319" t="s">
        <v>1013</v>
      </c>
      <c r="C12" s="1320"/>
      <c r="D12" s="1320"/>
      <c r="E12" s="1323"/>
      <c r="F12" s="1322"/>
      <c r="G12" s="1245"/>
    </row>
    <row r="13" spans="1:7" ht="12.95" customHeight="1">
      <c r="A13" s="1318" t="s">
        <v>793</v>
      </c>
      <c r="B13" s="1319" t="s">
        <v>771</v>
      </c>
      <c r="C13" s="1320"/>
      <c r="D13" s="1320"/>
      <c r="E13" s="1323"/>
      <c r="F13" s="1322"/>
      <c r="G13" s="1245"/>
    </row>
    <row r="14" spans="1:7" ht="12.95" customHeight="1">
      <c r="A14" s="1318" t="s">
        <v>803</v>
      </c>
      <c r="B14" s="1324"/>
      <c r="C14" s="1322"/>
      <c r="D14" s="1322"/>
      <c r="E14" s="1323"/>
      <c r="F14" s="1322"/>
      <c r="G14" s="1245"/>
    </row>
    <row r="15" spans="1:7" ht="12.95" customHeight="1">
      <c r="A15" s="1318" t="s">
        <v>920</v>
      </c>
      <c r="B15" s="1323"/>
      <c r="C15" s="1320"/>
      <c r="D15" s="1320"/>
      <c r="E15" s="1323"/>
      <c r="F15" s="1322"/>
      <c r="G15" s="1245"/>
    </row>
    <row r="16" spans="1:7" ht="12.95" customHeight="1">
      <c r="A16" s="1318" t="s">
        <v>1014</v>
      </c>
      <c r="B16" s="1323"/>
      <c r="C16" s="1320"/>
      <c r="D16" s="1320"/>
      <c r="E16" s="1323"/>
      <c r="F16" s="1322"/>
      <c r="G16" s="1245"/>
    </row>
    <row r="17" spans="1:7" ht="12.95" customHeight="1" thickBot="1">
      <c r="A17" s="1318" t="s">
        <v>1015</v>
      </c>
      <c r="B17" s="1325"/>
      <c r="C17" s="1326"/>
      <c r="D17" s="1326"/>
      <c r="E17" s="1323"/>
      <c r="F17" s="1327"/>
      <c r="G17" s="1248"/>
    </row>
    <row r="18" spans="1:7" ht="15.95" customHeight="1" thickBot="1">
      <c r="A18" s="1328" t="s">
        <v>1016</v>
      </c>
      <c r="B18" s="1329" t="s">
        <v>1017</v>
      </c>
      <c r="C18" s="1330">
        <f>+C6+C7+C9+C10+C12+C13+C14+C15+C16+C17</f>
        <v>331930883</v>
      </c>
      <c r="D18" s="1330">
        <f>+D6+D7+D9+D10+D12+D13+D14+D15+D16+D17</f>
        <v>337865227</v>
      </c>
      <c r="E18" s="1329" t="s">
        <v>1018</v>
      </c>
      <c r="F18" s="1331">
        <f>SUM(F6:F17)</f>
        <v>293558997</v>
      </c>
      <c r="G18" s="1237">
        <f>SUM(G6:G17)</f>
        <v>316919180</v>
      </c>
    </row>
    <row r="19" spans="1:7" ht="12.95" customHeight="1">
      <c r="A19" s="1332" t="s">
        <v>1019</v>
      </c>
      <c r="B19" s="1333" t="s">
        <v>1020</v>
      </c>
      <c r="C19" s="1334">
        <f>SUM(C20:C23)</f>
        <v>6463381</v>
      </c>
      <c r="D19" s="1334">
        <f>SUM(D20:D23)</f>
        <v>6463381</v>
      </c>
      <c r="E19" s="1335" t="s">
        <v>1021</v>
      </c>
      <c r="F19" s="1336"/>
      <c r="G19" s="1254"/>
    </row>
    <row r="20" spans="1:7" ht="12.95" customHeight="1">
      <c r="A20" s="1337" t="s">
        <v>1022</v>
      </c>
      <c r="B20" s="1335" t="s">
        <v>1023</v>
      </c>
      <c r="C20" s="1338">
        <v>6463381</v>
      </c>
      <c r="D20" s="1338">
        <v>6463381</v>
      </c>
      <c r="E20" s="1335" t="s">
        <v>1024</v>
      </c>
      <c r="F20" s="1339"/>
      <c r="G20" s="1265"/>
    </row>
    <row r="21" spans="1:7" ht="12.95" customHeight="1">
      <c r="A21" s="1337" t="s">
        <v>1025</v>
      </c>
      <c r="B21" s="1335" t="s">
        <v>1026</v>
      </c>
      <c r="C21" s="1338"/>
      <c r="D21" s="1338"/>
      <c r="E21" s="1335" t="s">
        <v>1027</v>
      </c>
      <c r="F21" s="1339"/>
      <c r="G21" s="1265"/>
    </row>
    <row r="22" spans="1:7" ht="12.95" customHeight="1">
      <c r="A22" s="1337" t="s">
        <v>1028</v>
      </c>
      <c r="B22" s="1335" t="s">
        <v>1029</v>
      </c>
      <c r="C22" s="1338"/>
      <c r="D22" s="1338"/>
      <c r="E22" s="1335" t="s">
        <v>1030</v>
      </c>
      <c r="F22" s="1339"/>
      <c r="G22" s="1265"/>
    </row>
    <row r="23" spans="1:7" ht="12.95" customHeight="1">
      <c r="A23" s="1337" t="s">
        <v>1031</v>
      </c>
      <c r="B23" s="1335" t="s">
        <v>1032</v>
      </c>
      <c r="C23" s="1338"/>
      <c r="D23" s="1338"/>
      <c r="E23" s="1333" t="s">
        <v>1033</v>
      </c>
      <c r="F23" s="1339"/>
      <c r="G23" s="1265"/>
    </row>
    <row r="24" spans="1:7" ht="12.95" customHeight="1">
      <c r="A24" s="1337" t="s">
        <v>1034</v>
      </c>
      <c r="B24" s="1335" t="s">
        <v>1035</v>
      </c>
      <c r="C24" s="1340"/>
      <c r="D24" s="1340"/>
      <c r="E24" s="1335" t="s">
        <v>1036</v>
      </c>
      <c r="F24" s="1339"/>
      <c r="G24" s="1265"/>
    </row>
    <row r="25" spans="1:7" ht="12.95" customHeight="1">
      <c r="A25" s="1332" t="s">
        <v>1037</v>
      </c>
      <c r="B25" s="1333" t="s">
        <v>1038</v>
      </c>
      <c r="C25" s="1341"/>
      <c r="D25" s="1341"/>
      <c r="E25" s="1315" t="s">
        <v>1039</v>
      </c>
      <c r="F25" s="1336"/>
      <c r="G25" s="1254"/>
    </row>
    <row r="26" spans="1:7" ht="12.95" customHeight="1" thickBot="1">
      <c r="A26" s="1337" t="s">
        <v>1040</v>
      </c>
      <c r="B26" s="1335" t="s">
        <v>1041</v>
      </c>
      <c r="C26" s="1338"/>
      <c r="D26" s="1338"/>
      <c r="E26" s="1323" t="s">
        <v>1042</v>
      </c>
      <c r="F26" s="1339">
        <f>'1.1 Összesítő'!C137</f>
        <v>5539458</v>
      </c>
      <c r="G26" s="1265">
        <f>'1.1 Összesítő'!D137</f>
        <v>5539458</v>
      </c>
    </row>
    <row r="27" spans="1:7" ht="20.100000000000001" customHeight="1" thickBot="1">
      <c r="A27" s="1328" t="s">
        <v>1043</v>
      </c>
      <c r="B27" s="1329" t="s">
        <v>1044</v>
      </c>
      <c r="C27" s="1330">
        <f>+C19+C24</f>
        <v>6463381</v>
      </c>
      <c r="D27" s="1330">
        <f>+D19+D24</f>
        <v>6463381</v>
      </c>
      <c r="E27" s="1329" t="s">
        <v>1045</v>
      </c>
      <c r="F27" s="1331">
        <f>SUM(F19:F26)</f>
        <v>5539458</v>
      </c>
      <c r="G27" s="1237">
        <f>SUM(G19:G26)</f>
        <v>5539458</v>
      </c>
    </row>
    <row r="28" spans="1:7" ht="13.5" thickBot="1">
      <c r="A28" s="1328" t="s">
        <v>1046</v>
      </c>
      <c r="B28" s="1342" t="s">
        <v>1047</v>
      </c>
      <c r="C28" s="1343">
        <f>+C18+C27</f>
        <v>338394264</v>
      </c>
      <c r="D28" s="1344">
        <f>+D18+D27</f>
        <v>344328608</v>
      </c>
      <c r="E28" s="1342" t="s">
        <v>1048</v>
      </c>
      <c r="F28" s="1343">
        <f>+F18+F27</f>
        <v>299098455</v>
      </c>
      <c r="G28" s="1344">
        <f>+G18+G27</f>
        <v>322458638</v>
      </c>
    </row>
    <row r="29" spans="1:7" ht="13.5" thickBot="1">
      <c r="A29" s="1328" t="s">
        <v>1049</v>
      </c>
      <c r="B29" s="1342" t="s">
        <v>1050</v>
      </c>
      <c r="C29" s="1343" t="str">
        <f>IF(C18-F18&lt;0,F18-C18,"-")</f>
        <v>-</v>
      </c>
      <c r="D29" s="1344" t="str">
        <f>IF(D18-G18&lt;0,G18-D18,"-")</f>
        <v>-</v>
      </c>
      <c r="E29" s="1342" t="s">
        <v>1051</v>
      </c>
      <c r="F29" s="1343">
        <f>IF(C18-F18&gt;0,C18-F18,"-")</f>
        <v>38371886</v>
      </c>
      <c r="G29" s="1344">
        <f>IF(D18-G18&gt;0,D18-G18,"-")</f>
        <v>20946047</v>
      </c>
    </row>
    <row r="30" spans="1:7" ht="13.5" thickBot="1">
      <c r="A30" s="1328" t="s">
        <v>1052</v>
      </c>
      <c r="B30" s="1342" t="s">
        <v>1053</v>
      </c>
      <c r="C30" s="1343" t="str">
        <f>IF(C18+C19-F28&lt;0,F28-(C18+C19),"-")</f>
        <v>-</v>
      </c>
      <c r="D30" s="1344" t="str">
        <f>IF(D18+D19-G28&lt;0,G28-(D18+D19),"-")</f>
        <v>-</v>
      </c>
      <c r="E30" s="1342" t="s">
        <v>1054</v>
      </c>
      <c r="F30" s="1343">
        <f>IF(C18+C19-F28&gt;0,C18+C19-F28,"-")</f>
        <v>39295809</v>
      </c>
      <c r="G30" s="1344">
        <f>IF(D18+D19-G28&gt;0,D18+D19-G28,"-")</f>
        <v>21869970</v>
      </c>
    </row>
    <row r="31" spans="1:7">
      <c r="A31" s="1833"/>
      <c r="B31" s="1833"/>
      <c r="C31" s="1833"/>
      <c r="D31" s="1833"/>
      <c r="E31" s="1833"/>
      <c r="F31" s="1833"/>
      <c r="G31" s="1833"/>
    </row>
  </sheetData>
  <sheetProtection selectLockedCells="1" selectUnlockedCells="1"/>
  <mergeCells count="3">
    <mergeCell ref="F2:G2"/>
    <mergeCell ref="A3:A4"/>
    <mergeCell ref="A31:G31"/>
  </mergeCells>
  <printOptions horizontalCentered="1" verticalCentered="1"/>
  <pageMargins left="0.31496062992125984" right="0.47244094488188981" top="0.9055118110236221" bottom="0.51181102362204722" header="0.6692913385826772" footer="0.27559055118110237"/>
  <pageSetup paperSize="9" scale="89" orientation="landscape" r:id="rId1"/>
  <headerFooter alignWithMargins="0">
    <oddHeader xml:space="preserve">&amp;R&amp;"Times New Roman CE,Félkövér dőlt" 2.1. melléklet a 8/2019. (V.20.)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G34"/>
  <sheetViews>
    <sheetView view="pageBreakPreview" zoomScale="115" zoomScaleNormal="100" zoomScaleSheetLayoutView="115" workbookViewId="0">
      <selection activeCell="F1" sqref="F1"/>
    </sheetView>
  </sheetViews>
  <sheetFormatPr defaultRowHeight="12.75"/>
  <cols>
    <col min="1" max="1" width="5.85546875" style="1296" customWidth="1"/>
    <col min="2" max="2" width="42.140625" style="1300" customWidth="1"/>
    <col min="3" max="3" width="12" style="1296" customWidth="1"/>
    <col min="4" max="4" width="10.85546875" style="1296" customWidth="1"/>
    <col min="5" max="5" width="39.140625" style="1296" customWidth="1"/>
    <col min="6" max="6" width="11" style="1296" customWidth="1"/>
    <col min="7" max="7" width="11.85546875" style="1296" customWidth="1"/>
    <col min="8" max="256" width="9.140625" style="1299"/>
    <col min="257" max="257" width="5.85546875" style="1299" customWidth="1"/>
    <col min="258" max="258" width="42.140625" style="1299" customWidth="1"/>
    <col min="259" max="259" width="12" style="1299" customWidth="1"/>
    <col min="260" max="260" width="10.85546875" style="1299" customWidth="1"/>
    <col min="261" max="261" width="39.140625" style="1299" customWidth="1"/>
    <col min="262" max="262" width="11" style="1299" customWidth="1"/>
    <col min="263" max="263" width="11.85546875" style="1299" customWidth="1"/>
    <col min="264" max="512" width="9.140625" style="1299"/>
    <col min="513" max="513" width="5.85546875" style="1299" customWidth="1"/>
    <col min="514" max="514" width="42.140625" style="1299" customWidth="1"/>
    <col min="515" max="515" width="12" style="1299" customWidth="1"/>
    <col min="516" max="516" width="10.85546875" style="1299" customWidth="1"/>
    <col min="517" max="517" width="39.140625" style="1299" customWidth="1"/>
    <col min="518" max="518" width="11" style="1299" customWidth="1"/>
    <col min="519" max="519" width="11.85546875" style="1299" customWidth="1"/>
    <col min="520" max="768" width="9.140625" style="1299"/>
    <col min="769" max="769" width="5.85546875" style="1299" customWidth="1"/>
    <col min="770" max="770" width="42.140625" style="1299" customWidth="1"/>
    <col min="771" max="771" width="12" style="1299" customWidth="1"/>
    <col min="772" max="772" width="10.85546875" style="1299" customWidth="1"/>
    <col min="773" max="773" width="39.140625" style="1299" customWidth="1"/>
    <col min="774" max="774" width="11" style="1299" customWidth="1"/>
    <col min="775" max="775" width="11.85546875" style="1299" customWidth="1"/>
    <col min="776" max="1024" width="9.140625" style="1299"/>
    <col min="1025" max="1025" width="5.85546875" style="1299" customWidth="1"/>
    <col min="1026" max="1026" width="42.140625" style="1299" customWidth="1"/>
    <col min="1027" max="1027" width="12" style="1299" customWidth="1"/>
    <col min="1028" max="1028" width="10.85546875" style="1299" customWidth="1"/>
    <col min="1029" max="1029" width="39.140625" style="1299" customWidth="1"/>
    <col min="1030" max="1030" width="11" style="1299" customWidth="1"/>
    <col min="1031" max="1031" width="11.85546875" style="1299" customWidth="1"/>
    <col min="1032" max="1280" width="9.140625" style="1299"/>
    <col min="1281" max="1281" width="5.85546875" style="1299" customWidth="1"/>
    <col min="1282" max="1282" width="42.140625" style="1299" customWidth="1"/>
    <col min="1283" max="1283" width="12" style="1299" customWidth="1"/>
    <col min="1284" max="1284" width="10.85546875" style="1299" customWidth="1"/>
    <col min="1285" max="1285" width="39.140625" style="1299" customWidth="1"/>
    <col min="1286" max="1286" width="11" style="1299" customWidth="1"/>
    <col min="1287" max="1287" width="11.85546875" style="1299" customWidth="1"/>
    <col min="1288" max="1536" width="9.140625" style="1299"/>
    <col min="1537" max="1537" width="5.85546875" style="1299" customWidth="1"/>
    <col min="1538" max="1538" width="42.140625" style="1299" customWidth="1"/>
    <col min="1539" max="1539" width="12" style="1299" customWidth="1"/>
    <col min="1540" max="1540" width="10.85546875" style="1299" customWidth="1"/>
    <col min="1541" max="1541" width="39.140625" style="1299" customWidth="1"/>
    <col min="1542" max="1542" width="11" style="1299" customWidth="1"/>
    <col min="1543" max="1543" width="11.85546875" style="1299" customWidth="1"/>
    <col min="1544" max="1792" width="9.140625" style="1299"/>
    <col min="1793" max="1793" width="5.85546875" style="1299" customWidth="1"/>
    <col min="1794" max="1794" width="42.140625" style="1299" customWidth="1"/>
    <col min="1795" max="1795" width="12" style="1299" customWidth="1"/>
    <col min="1796" max="1796" width="10.85546875" style="1299" customWidth="1"/>
    <col min="1797" max="1797" width="39.140625" style="1299" customWidth="1"/>
    <col min="1798" max="1798" width="11" style="1299" customWidth="1"/>
    <col min="1799" max="1799" width="11.85546875" style="1299" customWidth="1"/>
    <col min="1800" max="2048" width="9.140625" style="1299"/>
    <col min="2049" max="2049" width="5.85546875" style="1299" customWidth="1"/>
    <col min="2050" max="2050" width="42.140625" style="1299" customWidth="1"/>
    <col min="2051" max="2051" width="12" style="1299" customWidth="1"/>
    <col min="2052" max="2052" width="10.85546875" style="1299" customWidth="1"/>
    <col min="2053" max="2053" width="39.140625" style="1299" customWidth="1"/>
    <col min="2054" max="2054" width="11" style="1299" customWidth="1"/>
    <col min="2055" max="2055" width="11.85546875" style="1299" customWidth="1"/>
    <col min="2056" max="2304" width="9.140625" style="1299"/>
    <col min="2305" max="2305" width="5.85546875" style="1299" customWidth="1"/>
    <col min="2306" max="2306" width="42.140625" style="1299" customWidth="1"/>
    <col min="2307" max="2307" width="12" style="1299" customWidth="1"/>
    <col min="2308" max="2308" width="10.85546875" style="1299" customWidth="1"/>
    <col min="2309" max="2309" width="39.140625" style="1299" customWidth="1"/>
    <col min="2310" max="2310" width="11" style="1299" customWidth="1"/>
    <col min="2311" max="2311" width="11.85546875" style="1299" customWidth="1"/>
    <col min="2312" max="2560" width="9.140625" style="1299"/>
    <col min="2561" max="2561" width="5.85546875" style="1299" customWidth="1"/>
    <col min="2562" max="2562" width="42.140625" style="1299" customWidth="1"/>
    <col min="2563" max="2563" width="12" style="1299" customWidth="1"/>
    <col min="2564" max="2564" width="10.85546875" style="1299" customWidth="1"/>
    <col min="2565" max="2565" width="39.140625" style="1299" customWidth="1"/>
    <col min="2566" max="2566" width="11" style="1299" customWidth="1"/>
    <col min="2567" max="2567" width="11.85546875" style="1299" customWidth="1"/>
    <col min="2568" max="2816" width="9.140625" style="1299"/>
    <col min="2817" max="2817" width="5.85546875" style="1299" customWidth="1"/>
    <col min="2818" max="2818" width="42.140625" style="1299" customWidth="1"/>
    <col min="2819" max="2819" width="12" style="1299" customWidth="1"/>
    <col min="2820" max="2820" width="10.85546875" style="1299" customWidth="1"/>
    <col min="2821" max="2821" width="39.140625" style="1299" customWidth="1"/>
    <col min="2822" max="2822" width="11" style="1299" customWidth="1"/>
    <col min="2823" max="2823" width="11.85546875" style="1299" customWidth="1"/>
    <col min="2824" max="3072" width="9.140625" style="1299"/>
    <col min="3073" max="3073" width="5.85546875" style="1299" customWidth="1"/>
    <col min="3074" max="3074" width="42.140625" style="1299" customWidth="1"/>
    <col min="3075" max="3075" width="12" style="1299" customWidth="1"/>
    <col min="3076" max="3076" width="10.85546875" style="1299" customWidth="1"/>
    <col min="3077" max="3077" width="39.140625" style="1299" customWidth="1"/>
    <col min="3078" max="3078" width="11" style="1299" customWidth="1"/>
    <col min="3079" max="3079" width="11.85546875" style="1299" customWidth="1"/>
    <col min="3080" max="3328" width="9.140625" style="1299"/>
    <col min="3329" max="3329" width="5.85546875" style="1299" customWidth="1"/>
    <col min="3330" max="3330" width="42.140625" style="1299" customWidth="1"/>
    <col min="3331" max="3331" width="12" style="1299" customWidth="1"/>
    <col min="3332" max="3332" width="10.85546875" style="1299" customWidth="1"/>
    <col min="3333" max="3333" width="39.140625" style="1299" customWidth="1"/>
    <col min="3334" max="3334" width="11" style="1299" customWidth="1"/>
    <col min="3335" max="3335" width="11.85546875" style="1299" customWidth="1"/>
    <col min="3336" max="3584" width="9.140625" style="1299"/>
    <col min="3585" max="3585" width="5.85546875" style="1299" customWidth="1"/>
    <col min="3586" max="3586" width="42.140625" style="1299" customWidth="1"/>
    <col min="3587" max="3587" width="12" style="1299" customWidth="1"/>
    <col min="3588" max="3588" width="10.85546875" style="1299" customWidth="1"/>
    <col min="3589" max="3589" width="39.140625" style="1299" customWidth="1"/>
    <col min="3590" max="3590" width="11" style="1299" customWidth="1"/>
    <col min="3591" max="3591" width="11.85546875" style="1299" customWidth="1"/>
    <col min="3592" max="3840" width="9.140625" style="1299"/>
    <col min="3841" max="3841" width="5.85546875" style="1299" customWidth="1"/>
    <col min="3842" max="3842" width="42.140625" style="1299" customWidth="1"/>
    <col min="3843" max="3843" width="12" style="1299" customWidth="1"/>
    <col min="3844" max="3844" width="10.85546875" style="1299" customWidth="1"/>
    <col min="3845" max="3845" width="39.140625" style="1299" customWidth="1"/>
    <col min="3846" max="3846" width="11" style="1299" customWidth="1"/>
    <col min="3847" max="3847" width="11.85546875" style="1299" customWidth="1"/>
    <col min="3848" max="4096" width="9.140625" style="1299"/>
    <col min="4097" max="4097" width="5.85546875" style="1299" customWidth="1"/>
    <col min="4098" max="4098" width="42.140625" style="1299" customWidth="1"/>
    <col min="4099" max="4099" width="12" style="1299" customWidth="1"/>
    <col min="4100" max="4100" width="10.85546875" style="1299" customWidth="1"/>
    <col min="4101" max="4101" width="39.140625" style="1299" customWidth="1"/>
    <col min="4102" max="4102" width="11" style="1299" customWidth="1"/>
    <col min="4103" max="4103" width="11.85546875" style="1299" customWidth="1"/>
    <col min="4104" max="4352" width="9.140625" style="1299"/>
    <col min="4353" max="4353" width="5.85546875" style="1299" customWidth="1"/>
    <col min="4354" max="4354" width="42.140625" style="1299" customWidth="1"/>
    <col min="4355" max="4355" width="12" style="1299" customWidth="1"/>
    <col min="4356" max="4356" width="10.85546875" style="1299" customWidth="1"/>
    <col min="4357" max="4357" width="39.140625" style="1299" customWidth="1"/>
    <col min="4358" max="4358" width="11" style="1299" customWidth="1"/>
    <col min="4359" max="4359" width="11.85546875" style="1299" customWidth="1"/>
    <col min="4360" max="4608" width="9.140625" style="1299"/>
    <col min="4609" max="4609" width="5.85546875" style="1299" customWidth="1"/>
    <col min="4610" max="4610" width="42.140625" style="1299" customWidth="1"/>
    <col min="4611" max="4611" width="12" style="1299" customWidth="1"/>
    <col min="4612" max="4612" width="10.85546875" style="1299" customWidth="1"/>
    <col min="4613" max="4613" width="39.140625" style="1299" customWidth="1"/>
    <col min="4614" max="4614" width="11" style="1299" customWidth="1"/>
    <col min="4615" max="4615" width="11.85546875" style="1299" customWidth="1"/>
    <col min="4616" max="4864" width="9.140625" style="1299"/>
    <col min="4865" max="4865" width="5.85546875" style="1299" customWidth="1"/>
    <col min="4866" max="4866" width="42.140625" style="1299" customWidth="1"/>
    <col min="4867" max="4867" width="12" style="1299" customWidth="1"/>
    <col min="4868" max="4868" width="10.85546875" style="1299" customWidth="1"/>
    <col min="4869" max="4869" width="39.140625" style="1299" customWidth="1"/>
    <col min="4870" max="4870" width="11" style="1299" customWidth="1"/>
    <col min="4871" max="4871" width="11.85546875" style="1299" customWidth="1"/>
    <col min="4872" max="5120" width="9.140625" style="1299"/>
    <col min="5121" max="5121" width="5.85546875" style="1299" customWidth="1"/>
    <col min="5122" max="5122" width="42.140625" style="1299" customWidth="1"/>
    <col min="5123" max="5123" width="12" style="1299" customWidth="1"/>
    <col min="5124" max="5124" width="10.85546875" style="1299" customWidth="1"/>
    <col min="5125" max="5125" width="39.140625" style="1299" customWidth="1"/>
    <col min="5126" max="5126" width="11" style="1299" customWidth="1"/>
    <col min="5127" max="5127" width="11.85546875" style="1299" customWidth="1"/>
    <col min="5128" max="5376" width="9.140625" style="1299"/>
    <col min="5377" max="5377" width="5.85546875" style="1299" customWidth="1"/>
    <col min="5378" max="5378" width="42.140625" style="1299" customWidth="1"/>
    <col min="5379" max="5379" width="12" style="1299" customWidth="1"/>
    <col min="5380" max="5380" width="10.85546875" style="1299" customWidth="1"/>
    <col min="5381" max="5381" width="39.140625" style="1299" customWidth="1"/>
    <col min="5382" max="5382" width="11" style="1299" customWidth="1"/>
    <col min="5383" max="5383" width="11.85546875" style="1299" customWidth="1"/>
    <col min="5384" max="5632" width="9.140625" style="1299"/>
    <col min="5633" max="5633" width="5.85546875" style="1299" customWidth="1"/>
    <col min="5634" max="5634" width="42.140625" style="1299" customWidth="1"/>
    <col min="5635" max="5635" width="12" style="1299" customWidth="1"/>
    <col min="5636" max="5636" width="10.85546875" style="1299" customWidth="1"/>
    <col min="5637" max="5637" width="39.140625" style="1299" customWidth="1"/>
    <col min="5638" max="5638" width="11" style="1299" customWidth="1"/>
    <col min="5639" max="5639" width="11.85546875" style="1299" customWidth="1"/>
    <col min="5640" max="5888" width="9.140625" style="1299"/>
    <col min="5889" max="5889" width="5.85546875" style="1299" customWidth="1"/>
    <col min="5890" max="5890" width="42.140625" style="1299" customWidth="1"/>
    <col min="5891" max="5891" width="12" style="1299" customWidth="1"/>
    <col min="5892" max="5892" width="10.85546875" style="1299" customWidth="1"/>
    <col min="5893" max="5893" width="39.140625" style="1299" customWidth="1"/>
    <col min="5894" max="5894" width="11" style="1299" customWidth="1"/>
    <col min="5895" max="5895" width="11.85546875" style="1299" customWidth="1"/>
    <col min="5896" max="6144" width="9.140625" style="1299"/>
    <col min="6145" max="6145" width="5.85546875" style="1299" customWidth="1"/>
    <col min="6146" max="6146" width="42.140625" style="1299" customWidth="1"/>
    <col min="6147" max="6147" width="12" style="1299" customWidth="1"/>
    <col min="6148" max="6148" width="10.85546875" style="1299" customWidth="1"/>
    <col min="6149" max="6149" width="39.140625" style="1299" customWidth="1"/>
    <col min="6150" max="6150" width="11" style="1299" customWidth="1"/>
    <col min="6151" max="6151" width="11.85546875" style="1299" customWidth="1"/>
    <col min="6152" max="6400" width="9.140625" style="1299"/>
    <col min="6401" max="6401" width="5.85546875" style="1299" customWidth="1"/>
    <col min="6402" max="6402" width="42.140625" style="1299" customWidth="1"/>
    <col min="6403" max="6403" width="12" style="1299" customWidth="1"/>
    <col min="6404" max="6404" width="10.85546875" style="1299" customWidth="1"/>
    <col min="6405" max="6405" width="39.140625" style="1299" customWidth="1"/>
    <col min="6406" max="6406" width="11" style="1299" customWidth="1"/>
    <col min="6407" max="6407" width="11.85546875" style="1299" customWidth="1"/>
    <col min="6408" max="6656" width="9.140625" style="1299"/>
    <col min="6657" max="6657" width="5.85546875" style="1299" customWidth="1"/>
    <col min="6658" max="6658" width="42.140625" style="1299" customWidth="1"/>
    <col min="6659" max="6659" width="12" style="1299" customWidth="1"/>
    <col min="6660" max="6660" width="10.85546875" style="1299" customWidth="1"/>
    <col min="6661" max="6661" width="39.140625" style="1299" customWidth="1"/>
    <col min="6662" max="6662" width="11" style="1299" customWidth="1"/>
    <col min="6663" max="6663" width="11.85546875" style="1299" customWidth="1"/>
    <col min="6664" max="6912" width="9.140625" style="1299"/>
    <col min="6913" max="6913" width="5.85546875" style="1299" customWidth="1"/>
    <col min="6914" max="6914" width="42.140625" style="1299" customWidth="1"/>
    <col min="6915" max="6915" width="12" style="1299" customWidth="1"/>
    <col min="6916" max="6916" width="10.85546875" style="1299" customWidth="1"/>
    <col min="6917" max="6917" width="39.140625" style="1299" customWidth="1"/>
    <col min="6918" max="6918" width="11" style="1299" customWidth="1"/>
    <col min="6919" max="6919" width="11.85546875" style="1299" customWidth="1"/>
    <col min="6920" max="7168" width="9.140625" style="1299"/>
    <col min="7169" max="7169" width="5.85546875" style="1299" customWidth="1"/>
    <col min="7170" max="7170" width="42.140625" style="1299" customWidth="1"/>
    <col min="7171" max="7171" width="12" style="1299" customWidth="1"/>
    <col min="7172" max="7172" width="10.85546875" style="1299" customWidth="1"/>
    <col min="7173" max="7173" width="39.140625" style="1299" customWidth="1"/>
    <col min="7174" max="7174" width="11" style="1299" customWidth="1"/>
    <col min="7175" max="7175" width="11.85546875" style="1299" customWidth="1"/>
    <col min="7176" max="7424" width="9.140625" style="1299"/>
    <col min="7425" max="7425" width="5.85546875" style="1299" customWidth="1"/>
    <col min="7426" max="7426" width="42.140625" style="1299" customWidth="1"/>
    <col min="7427" max="7427" width="12" style="1299" customWidth="1"/>
    <col min="7428" max="7428" width="10.85546875" style="1299" customWidth="1"/>
    <col min="7429" max="7429" width="39.140625" style="1299" customWidth="1"/>
    <col min="7430" max="7430" width="11" style="1299" customWidth="1"/>
    <col min="7431" max="7431" width="11.85546875" style="1299" customWidth="1"/>
    <col min="7432" max="7680" width="9.140625" style="1299"/>
    <col min="7681" max="7681" width="5.85546875" style="1299" customWidth="1"/>
    <col min="7682" max="7682" width="42.140625" style="1299" customWidth="1"/>
    <col min="7683" max="7683" width="12" style="1299" customWidth="1"/>
    <col min="7684" max="7684" width="10.85546875" style="1299" customWidth="1"/>
    <col min="7685" max="7685" width="39.140625" style="1299" customWidth="1"/>
    <col min="7686" max="7686" width="11" style="1299" customWidth="1"/>
    <col min="7687" max="7687" width="11.85546875" style="1299" customWidth="1"/>
    <col min="7688" max="7936" width="9.140625" style="1299"/>
    <col min="7937" max="7937" width="5.85546875" style="1299" customWidth="1"/>
    <col min="7938" max="7938" width="42.140625" style="1299" customWidth="1"/>
    <col min="7939" max="7939" width="12" style="1299" customWidth="1"/>
    <col min="7940" max="7940" width="10.85546875" style="1299" customWidth="1"/>
    <col min="7941" max="7941" width="39.140625" style="1299" customWidth="1"/>
    <col min="7942" max="7942" width="11" style="1299" customWidth="1"/>
    <col min="7943" max="7943" width="11.85546875" style="1299" customWidth="1"/>
    <col min="7944" max="8192" width="9.140625" style="1299"/>
    <col min="8193" max="8193" width="5.85546875" style="1299" customWidth="1"/>
    <col min="8194" max="8194" width="42.140625" style="1299" customWidth="1"/>
    <col min="8195" max="8195" width="12" style="1299" customWidth="1"/>
    <col min="8196" max="8196" width="10.85546875" style="1299" customWidth="1"/>
    <col min="8197" max="8197" width="39.140625" style="1299" customWidth="1"/>
    <col min="8198" max="8198" width="11" style="1299" customWidth="1"/>
    <col min="8199" max="8199" width="11.85546875" style="1299" customWidth="1"/>
    <col min="8200" max="8448" width="9.140625" style="1299"/>
    <col min="8449" max="8449" width="5.85546875" style="1299" customWidth="1"/>
    <col min="8450" max="8450" width="42.140625" style="1299" customWidth="1"/>
    <col min="8451" max="8451" width="12" style="1299" customWidth="1"/>
    <col min="8452" max="8452" width="10.85546875" style="1299" customWidth="1"/>
    <col min="8453" max="8453" width="39.140625" style="1299" customWidth="1"/>
    <col min="8454" max="8454" width="11" style="1299" customWidth="1"/>
    <col min="8455" max="8455" width="11.85546875" style="1299" customWidth="1"/>
    <col min="8456" max="8704" width="9.140625" style="1299"/>
    <col min="8705" max="8705" width="5.85546875" style="1299" customWidth="1"/>
    <col min="8706" max="8706" width="42.140625" style="1299" customWidth="1"/>
    <col min="8707" max="8707" width="12" style="1299" customWidth="1"/>
    <col min="8708" max="8708" width="10.85546875" style="1299" customWidth="1"/>
    <col min="8709" max="8709" width="39.140625" style="1299" customWidth="1"/>
    <col min="8710" max="8710" width="11" style="1299" customWidth="1"/>
    <col min="8711" max="8711" width="11.85546875" style="1299" customWidth="1"/>
    <col min="8712" max="8960" width="9.140625" style="1299"/>
    <col min="8961" max="8961" width="5.85546875" style="1299" customWidth="1"/>
    <col min="8962" max="8962" width="42.140625" style="1299" customWidth="1"/>
    <col min="8963" max="8963" width="12" style="1299" customWidth="1"/>
    <col min="8964" max="8964" width="10.85546875" style="1299" customWidth="1"/>
    <col min="8965" max="8965" width="39.140625" style="1299" customWidth="1"/>
    <col min="8966" max="8966" width="11" style="1299" customWidth="1"/>
    <col min="8967" max="8967" width="11.85546875" style="1299" customWidth="1"/>
    <col min="8968" max="9216" width="9.140625" style="1299"/>
    <col min="9217" max="9217" width="5.85546875" style="1299" customWidth="1"/>
    <col min="9218" max="9218" width="42.140625" style="1299" customWidth="1"/>
    <col min="9219" max="9219" width="12" style="1299" customWidth="1"/>
    <col min="9220" max="9220" width="10.85546875" style="1299" customWidth="1"/>
    <col min="9221" max="9221" width="39.140625" style="1299" customWidth="1"/>
    <col min="9222" max="9222" width="11" style="1299" customWidth="1"/>
    <col min="9223" max="9223" width="11.85546875" style="1299" customWidth="1"/>
    <col min="9224" max="9472" width="9.140625" style="1299"/>
    <col min="9473" max="9473" width="5.85546875" style="1299" customWidth="1"/>
    <col min="9474" max="9474" width="42.140625" style="1299" customWidth="1"/>
    <col min="9475" max="9475" width="12" style="1299" customWidth="1"/>
    <col min="9476" max="9476" width="10.85546875" style="1299" customWidth="1"/>
    <col min="9477" max="9477" width="39.140625" style="1299" customWidth="1"/>
    <col min="9478" max="9478" width="11" style="1299" customWidth="1"/>
    <col min="9479" max="9479" width="11.85546875" style="1299" customWidth="1"/>
    <col min="9480" max="9728" width="9.140625" style="1299"/>
    <col min="9729" max="9729" width="5.85546875" style="1299" customWidth="1"/>
    <col min="9730" max="9730" width="42.140625" style="1299" customWidth="1"/>
    <col min="9731" max="9731" width="12" style="1299" customWidth="1"/>
    <col min="9732" max="9732" width="10.85546875" style="1299" customWidth="1"/>
    <col min="9733" max="9733" width="39.140625" style="1299" customWidth="1"/>
    <col min="9734" max="9734" width="11" style="1299" customWidth="1"/>
    <col min="9735" max="9735" width="11.85546875" style="1299" customWidth="1"/>
    <col min="9736" max="9984" width="9.140625" style="1299"/>
    <col min="9985" max="9985" width="5.85546875" style="1299" customWidth="1"/>
    <col min="9986" max="9986" width="42.140625" style="1299" customWidth="1"/>
    <col min="9987" max="9987" width="12" style="1299" customWidth="1"/>
    <col min="9988" max="9988" width="10.85546875" style="1299" customWidth="1"/>
    <col min="9989" max="9989" width="39.140625" style="1299" customWidth="1"/>
    <col min="9990" max="9990" width="11" style="1299" customWidth="1"/>
    <col min="9991" max="9991" width="11.85546875" style="1299" customWidth="1"/>
    <col min="9992" max="10240" width="9.140625" style="1299"/>
    <col min="10241" max="10241" width="5.85546875" style="1299" customWidth="1"/>
    <col min="10242" max="10242" width="42.140625" style="1299" customWidth="1"/>
    <col min="10243" max="10243" width="12" style="1299" customWidth="1"/>
    <col min="10244" max="10244" width="10.85546875" style="1299" customWidth="1"/>
    <col min="10245" max="10245" width="39.140625" style="1299" customWidth="1"/>
    <col min="10246" max="10246" width="11" style="1299" customWidth="1"/>
    <col min="10247" max="10247" width="11.85546875" style="1299" customWidth="1"/>
    <col min="10248" max="10496" width="9.140625" style="1299"/>
    <col min="10497" max="10497" width="5.85546875" style="1299" customWidth="1"/>
    <col min="10498" max="10498" width="42.140625" style="1299" customWidth="1"/>
    <col min="10499" max="10499" width="12" style="1299" customWidth="1"/>
    <col min="10500" max="10500" width="10.85546875" style="1299" customWidth="1"/>
    <col min="10501" max="10501" width="39.140625" style="1299" customWidth="1"/>
    <col min="10502" max="10502" width="11" style="1299" customWidth="1"/>
    <col min="10503" max="10503" width="11.85546875" style="1299" customWidth="1"/>
    <col min="10504" max="10752" width="9.140625" style="1299"/>
    <col min="10753" max="10753" width="5.85546875" style="1299" customWidth="1"/>
    <col min="10754" max="10754" width="42.140625" style="1299" customWidth="1"/>
    <col min="10755" max="10755" width="12" style="1299" customWidth="1"/>
    <col min="10756" max="10756" width="10.85546875" style="1299" customWidth="1"/>
    <col min="10757" max="10757" width="39.140625" style="1299" customWidth="1"/>
    <col min="10758" max="10758" width="11" style="1299" customWidth="1"/>
    <col min="10759" max="10759" width="11.85546875" style="1299" customWidth="1"/>
    <col min="10760" max="11008" width="9.140625" style="1299"/>
    <col min="11009" max="11009" width="5.85546875" style="1299" customWidth="1"/>
    <col min="11010" max="11010" width="42.140625" style="1299" customWidth="1"/>
    <col min="11011" max="11011" width="12" style="1299" customWidth="1"/>
    <col min="11012" max="11012" width="10.85546875" style="1299" customWidth="1"/>
    <col min="11013" max="11013" width="39.140625" style="1299" customWidth="1"/>
    <col min="11014" max="11014" width="11" style="1299" customWidth="1"/>
    <col min="11015" max="11015" width="11.85546875" style="1299" customWidth="1"/>
    <col min="11016" max="11264" width="9.140625" style="1299"/>
    <col min="11265" max="11265" width="5.85546875" style="1299" customWidth="1"/>
    <col min="11266" max="11266" width="42.140625" style="1299" customWidth="1"/>
    <col min="11267" max="11267" width="12" style="1299" customWidth="1"/>
    <col min="11268" max="11268" width="10.85546875" style="1299" customWidth="1"/>
    <col min="11269" max="11269" width="39.140625" style="1299" customWidth="1"/>
    <col min="11270" max="11270" width="11" style="1299" customWidth="1"/>
    <col min="11271" max="11271" width="11.85546875" style="1299" customWidth="1"/>
    <col min="11272" max="11520" width="9.140625" style="1299"/>
    <col min="11521" max="11521" width="5.85546875" style="1299" customWidth="1"/>
    <col min="11522" max="11522" width="42.140625" style="1299" customWidth="1"/>
    <col min="11523" max="11523" width="12" style="1299" customWidth="1"/>
    <col min="11524" max="11524" width="10.85546875" style="1299" customWidth="1"/>
    <col min="11525" max="11525" width="39.140625" style="1299" customWidth="1"/>
    <col min="11526" max="11526" width="11" style="1299" customWidth="1"/>
    <col min="11527" max="11527" width="11.85546875" style="1299" customWidth="1"/>
    <col min="11528" max="11776" width="9.140625" style="1299"/>
    <col min="11777" max="11777" width="5.85546875" style="1299" customWidth="1"/>
    <col min="11778" max="11778" width="42.140625" style="1299" customWidth="1"/>
    <col min="11779" max="11779" width="12" style="1299" customWidth="1"/>
    <col min="11780" max="11780" width="10.85546875" style="1299" customWidth="1"/>
    <col min="11781" max="11781" width="39.140625" style="1299" customWidth="1"/>
    <col min="11782" max="11782" width="11" style="1299" customWidth="1"/>
    <col min="11783" max="11783" width="11.85546875" style="1299" customWidth="1"/>
    <col min="11784" max="12032" width="9.140625" style="1299"/>
    <col min="12033" max="12033" width="5.85546875" style="1299" customWidth="1"/>
    <col min="12034" max="12034" width="42.140625" style="1299" customWidth="1"/>
    <col min="12035" max="12035" width="12" style="1299" customWidth="1"/>
    <col min="12036" max="12036" width="10.85546875" style="1299" customWidth="1"/>
    <col min="12037" max="12037" width="39.140625" style="1299" customWidth="1"/>
    <col min="12038" max="12038" width="11" style="1299" customWidth="1"/>
    <col min="12039" max="12039" width="11.85546875" style="1299" customWidth="1"/>
    <col min="12040" max="12288" width="9.140625" style="1299"/>
    <col min="12289" max="12289" width="5.85546875" style="1299" customWidth="1"/>
    <col min="12290" max="12290" width="42.140625" style="1299" customWidth="1"/>
    <col min="12291" max="12291" width="12" style="1299" customWidth="1"/>
    <col min="12292" max="12292" width="10.85546875" style="1299" customWidth="1"/>
    <col min="12293" max="12293" width="39.140625" style="1299" customWidth="1"/>
    <col min="12294" max="12294" width="11" style="1299" customWidth="1"/>
    <col min="12295" max="12295" width="11.85546875" style="1299" customWidth="1"/>
    <col min="12296" max="12544" width="9.140625" style="1299"/>
    <col min="12545" max="12545" width="5.85546875" style="1299" customWidth="1"/>
    <col min="12546" max="12546" width="42.140625" style="1299" customWidth="1"/>
    <col min="12547" max="12547" width="12" style="1299" customWidth="1"/>
    <col min="12548" max="12548" width="10.85546875" style="1299" customWidth="1"/>
    <col min="12549" max="12549" width="39.140625" style="1299" customWidth="1"/>
    <col min="12550" max="12550" width="11" style="1299" customWidth="1"/>
    <col min="12551" max="12551" width="11.85546875" style="1299" customWidth="1"/>
    <col min="12552" max="12800" width="9.140625" style="1299"/>
    <col min="12801" max="12801" width="5.85546875" style="1299" customWidth="1"/>
    <col min="12802" max="12802" width="42.140625" style="1299" customWidth="1"/>
    <col min="12803" max="12803" width="12" style="1299" customWidth="1"/>
    <col min="12804" max="12804" width="10.85546875" style="1299" customWidth="1"/>
    <col min="12805" max="12805" width="39.140625" style="1299" customWidth="1"/>
    <col min="12806" max="12806" width="11" style="1299" customWidth="1"/>
    <col min="12807" max="12807" width="11.85546875" style="1299" customWidth="1"/>
    <col min="12808" max="13056" width="9.140625" style="1299"/>
    <col min="13057" max="13057" width="5.85546875" style="1299" customWidth="1"/>
    <col min="13058" max="13058" width="42.140625" style="1299" customWidth="1"/>
    <col min="13059" max="13059" width="12" style="1299" customWidth="1"/>
    <col min="13060" max="13060" width="10.85546875" style="1299" customWidth="1"/>
    <col min="13061" max="13061" width="39.140625" style="1299" customWidth="1"/>
    <col min="13062" max="13062" width="11" style="1299" customWidth="1"/>
    <col min="13063" max="13063" width="11.85546875" style="1299" customWidth="1"/>
    <col min="13064" max="13312" width="9.140625" style="1299"/>
    <col min="13313" max="13313" width="5.85546875" style="1299" customWidth="1"/>
    <col min="13314" max="13314" width="42.140625" style="1299" customWidth="1"/>
    <col min="13315" max="13315" width="12" style="1299" customWidth="1"/>
    <col min="13316" max="13316" width="10.85546875" style="1299" customWidth="1"/>
    <col min="13317" max="13317" width="39.140625" style="1299" customWidth="1"/>
    <col min="13318" max="13318" width="11" style="1299" customWidth="1"/>
    <col min="13319" max="13319" width="11.85546875" style="1299" customWidth="1"/>
    <col min="13320" max="13568" width="9.140625" style="1299"/>
    <col min="13569" max="13569" width="5.85546875" style="1299" customWidth="1"/>
    <col min="13570" max="13570" width="42.140625" style="1299" customWidth="1"/>
    <col min="13571" max="13571" width="12" style="1299" customWidth="1"/>
    <col min="13572" max="13572" width="10.85546875" style="1299" customWidth="1"/>
    <col min="13573" max="13573" width="39.140625" style="1299" customWidth="1"/>
    <col min="13574" max="13574" width="11" style="1299" customWidth="1"/>
    <col min="13575" max="13575" width="11.85546875" style="1299" customWidth="1"/>
    <col min="13576" max="13824" width="9.140625" style="1299"/>
    <col min="13825" max="13825" width="5.85546875" style="1299" customWidth="1"/>
    <col min="13826" max="13826" width="42.140625" style="1299" customWidth="1"/>
    <col min="13827" max="13827" width="12" style="1299" customWidth="1"/>
    <col min="13828" max="13828" width="10.85546875" style="1299" customWidth="1"/>
    <col min="13829" max="13829" width="39.140625" style="1299" customWidth="1"/>
    <col min="13830" max="13830" width="11" style="1299" customWidth="1"/>
    <col min="13831" max="13831" width="11.85546875" style="1299" customWidth="1"/>
    <col min="13832" max="14080" width="9.140625" style="1299"/>
    <col min="14081" max="14081" width="5.85546875" style="1299" customWidth="1"/>
    <col min="14082" max="14082" width="42.140625" style="1299" customWidth="1"/>
    <col min="14083" max="14083" width="12" style="1299" customWidth="1"/>
    <col min="14084" max="14084" width="10.85546875" style="1299" customWidth="1"/>
    <col min="14085" max="14085" width="39.140625" style="1299" customWidth="1"/>
    <col min="14086" max="14086" width="11" style="1299" customWidth="1"/>
    <col min="14087" max="14087" width="11.85546875" style="1299" customWidth="1"/>
    <col min="14088" max="14336" width="9.140625" style="1299"/>
    <col min="14337" max="14337" width="5.85546875" style="1299" customWidth="1"/>
    <col min="14338" max="14338" width="42.140625" style="1299" customWidth="1"/>
    <col min="14339" max="14339" width="12" style="1299" customWidth="1"/>
    <col min="14340" max="14340" width="10.85546875" style="1299" customWidth="1"/>
    <col min="14341" max="14341" width="39.140625" style="1299" customWidth="1"/>
    <col min="14342" max="14342" width="11" style="1299" customWidth="1"/>
    <col min="14343" max="14343" width="11.85546875" style="1299" customWidth="1"/>
    <col min="14344" max="14592" width="9.140625" style="1299"/>
    <col min="14593" max="14593" width="5.85546875" style="1299" customWidth="1"/>
    <col min="14594" max="14594" width="42.140625" style="1299" customWidth="1"/>
    <col min="14595" max="14595" width="12" style="1299" customWidth="1"/>
    <col min="14596" max="14596" width="10.85546875" style="1299" customWidth="1"/>
    <col min="14597" max="14597" width="39.140625" style="1299" customWidth="1"/>
    <col min="14598" max="14598" width="11" style="1299" customWidth="1"/>
    <col min="14599" max="14599" width="11.85546875" style="1299" customWidth="1"/>
    <col min="14600" max="14848" width="9.140625" style="1299"/>
    <col min="14849" max="14849" width="5.85546875" style="1299" customWidth="1"/>
    <col min="14850" max="14850" width="42.140625" style="1299" customWidth="1"/>
    <col min="14851" max="14851" width="12" style="1299" customWidth="1"/>
    <col min="14852" max="14852" width="10.85546875" style="1299" customWidth="1"/>
    <col min="14853" max="14853" width="39.140625" style="1299" customWidth="1"/>
    <col min="14854" max="14854" width="11" style="1299" customWidth="1"/>
    <col min="14855" max="14855" width="11.85546875" style="1299" customWidth="1"/>
    <col min="14856" max="15104" width="9.140625" style="1299"/>
    <col min="15105" max="15105" width="5.85546875" style="1299" customWidth="1"/>
    <col min="15106" max="15106" width="42.140625" style="1299" customWidth="1"/>
    <col min="15107" max="15107" width="12" style="1299" customWidth="1"/>
    <col min="15108" max="15108" width="10.85546875" style="1299" customWidth="1"/>
    <col min="15109" max="15109" width="39.140625" style="1299" customWidth="1"/>
    <col min="15110" max="15110" width="11" style="1299" customWidth="1"/>
    <col min="15111" max="15111" width="11.85546875" style="1299" customWidth="1"/>
    <col min="15112" max="15360" width="9.140625" style="1299"/>
    <col min="15361" max="15361" width="5.85546875" style="1299" customWidth="1"/>
    <col min="15362" max="15362" width="42.140625" style="1299" customWidth="1"/>
    <col min="15363" max="15363" width="12" style="1299" customWidth="1"/>
    <col min="15364" max="15364" width="10.85546875" style="1299" customWidth="1"/>
    <col min="15365" max="15365" width="39.140625" style="1299" customWidth="1"/>
    <col min="15366" max="15366" width="11" style="1299" customWidth="1"/>
    <col min="15367" max="15367" width="11.85546875" style="1299" customWidth="1"/>
    <col min="15368" max="15616" width="9.140625" style="1299"/>
    <col min="15617" max="15617" width="5.85546875" style="1299" customWidth="1"/>
    <col min="15618" max="15618" width="42.140625" style="1299" customWidth="1"/>
    <col min="15619" max="15619" width="12" style="1299" customWidth="1"/>
    <col min="15620" max="15620" width="10.85546875" style="1299" customWidth="1"/>
    <col min="15621" max="15621" width="39.140625" style="1299" customWidth="1"/>
    <col min="15622" max="15622" width="11" style="1299" customWidth="1"/>
    <col min="15623" max="15623" width="11.85546875" style="1299" customWidth="1"/>
    <col min="15624" max="15872" width="9.140625" style="1299"/>
    <col min="15873" max="15873" width="5.85546875" style="1299" customWidth="1"/>
    <col min="15874" max="15874" width="42.140625" style="1299" customWidth="1"/>
    <col min="15875" max="15875" width="12" style="1299" customWidth="1"/>
    <col min="15876" max="15876" width="10.85546875" style="1299" customWidth="1"/>
    <col min="15877" max="15877" width="39.140625" style="1299" customWidth="1"/>
    <col min="15878" max="15878" width="11" style="1299" customWidth="1"/>
    <col min="15879" max="15879" width="11.85546875" style="1299" customWidth="1"/>
    <col min="15880" max="16128" width="9.140625" style="1299"/>
    <col min="16129" max="16129" width="5.85546875" style="1299" customWidth="1"/>
    <col min="16130" max="16130" width="42.140625" style="1299" customWidth="1"/>
    <col min="16131" max="16131" width="12" style="1299" customWidth="1"/>
    <col min="16132" max="16132" width="10.85546875" style="1299" customWidth="1"/>
    <col min="16133" max="16133" width="39.140625" style="1299" customWidth="1"/>
    <col min="16134" max="16134" width="11" style="1299" customWidth="1"/>
    <col min="16135" max="16135" width="11.85546875" style="1299" customWidth="1"/>
    <col min="16136" max="16384" width="9.140625" style="1299"/>
  </cols>
  <sheetData>
    <row r="1" spans="1:7" ht="31.5">
      <c r="B1" s="1297" t="s">
        <v>1055</v>
      </c>
      <c r="C1" s="1298"/>
      <c r="D1" s="1298"/>
      <c r="E1" s="1298"/>
      <c r="F1" s="1298"/>
      <c r="G1" s="1298"/>
    </row>
    <row r="2" spans="1:7" ht="14.25" thickBot="1">
      <c r="F2" s="1830" t="s">
        <v>1006</v>
      </c>
      <c r="G2" s="1830"/>
    </row>
    <row r="3" spans="1:7" ht="13.5" thickBot="1">
      <c r="A3" s="1834" t="s">
        <v>1007</v>
      </c>
      <c r="B3" s="1301" t="s">
        <v>692</v>
      </c>
      <c r="C3" s="1302"/>
      <c r="D3" s="1303"/>
      <c r="E3" s="1301" t="s">
        <v>853</v>
      </c>
      <c r="F3" s="1304"/>
      <c r="G3" s="1304"/>
    </row>
    <row r="4" spans="1:7" s="1307" customFormat="1" ht="36.75" thickBot="1">
      <c r="A4" s="1835"/>
      <c r="B4" s="1305" t="s">
        <v>682</v>
      </c>
      <c r="C4" s="1306" t="s">
        <v>1086</v>
      </c>
      <c r="D4" s="1306" t="s">
        <v>691</v>
      </c>
      <c r="E4" s="1305" t="s">
        <v>682</v>
      </c>
      <c r="F4" s="1306" t="s">
        <v>1086</v>
      </c>
      <c r="G4" s="1412" t="s">
        <v>691</v>
      </c>
    </row>
    <row r="5" spans="1:7" s="1307" customFormat="1" ht="13.5" thickBot="1">
      <c r="A5" s="1308" t="s">
        <v>693</v>
      </c>
      <c r="B5" s="1309" t="s">
        <v>707</v>
      </c>
      <c r="C5" s="1310" t="s">
        <v>721</v>
      </c>
      <c r="D5" s="1345" t="s">
        <v>897</v>
      </c>
      <c r="E5" s="1309" t="s">
        <v>750</v>
      </c>
      <c r="F5" s="1311" t="s">
        <v>772</v>
      </c>
      <c r="G5" s="1312" t="s">
        <v>908</v>
      </c>
    </row>
    <row r="6" spans="1:7" ht="12.95" customHeight="1">
      <c r="A6" s="1314" t="s">
        <v>693</v>
      </c>
      <c r="B6" s="1315" t="s">
        <v>1056</v>
      </c>
      <c r="C6" s="1346"/>
      <c r="D6" s="1346"/>
      <c r="E6" s="1315" t="s">
        <v>72</v>
      </c>
      <c r="F6" s="1347">
        <f>'1.1 Összesítő'!C109</f>
        <v>23620830</v>
      </c>
      <c r="G6" s="1242">
        <f>'1.1 Összesítő'!D109</f>
        <v>34636872</v>
      </c>
    </row>
    <row r="7" spans="1:7">
      <c r="A7" s="1318" t="s">
        <v>707</v>
      </c>
      <c r="B7" s="1319" t="s">
        <v>1057</v>
      </c>
      <c r="C7" s="1348"/>
      <c r="D7" s="1348"/>
      <c r="E7" s="1319" t="s">
        <v>1058</v>
      </c>
      <c r="F7" s="1322"/>
      <c r="G7" s="1245"/>
    </row>
    <row r="8" spans="1:7" ht="12.95" customHeight="1">
      <c r="A8" s="1318" t="s">
        <v>721</v>
      </c>
      <c r="B8" s="1319" t="s">
        <v>168</v>
      </c>
      <c r="C8" s="1348">
        <f>'1.1 Összesítő'!C48</f>
        <v>35000000</v>
      </c>
      <c r="D8" s="1348">
        <f>'1.1 Összesítő'!D48</f>
        <v>35000000</v>
      </c>
      <c r="E8" s="1319" t="s">
        <v>172</v>
      </c>
      <c r="F8" s="1322"/>
      <c r="G8" s="1245"/>
    </row>
    <row r="9" spans="1:7" ht="12.95" customHeight="1">
      <c r="A9" s="1318" t="s">
        <v>897</v>
      </c>
      <c r="B9" s="1319" t="s">
        <v>1059</v>
      </c>
      <c r="C9" s="1348"/>
      <c r="D9" s="1348"/>
      <c r="E9" s="1319" t="s">
        <v>1060</v>
      </c>
      <c r="F9" s="1322"/>
      <c r="G9" s="1245"/>
    </row>
    <row r="10" spans="1:7" ht="12.75" customHeight="1">
      <c r="A10" s="1318" t="s">
        <v>750</v>
      </c>
      <c r="B10" s="1319" t="s">
        <v>1061</v>
      </c>
      <c r="C10" s="1348"/>
      <c r="D10" s="1348"/>
      <c r="E10" s="1319" t="s">
        <v>880</v>
      </c>
      <c r="F10" s="1322"/>
      <c r="G10" s="1245"/>
    </row>
    <row r="11" spans="1:7" ht="12.95" customHeight="1">
      <c r="A11" s="1318" t="s">
        <v>772</v>
      </c>
      <c r="B11" s="1319" t="s">
        <v>1062</v>
      </c>
      <c r="C11" s="1322"/>
      <c r="D11" s="1322"/>
      <c r="E11" s="1323"/>
      <c r="F11" s="1322"/>
      <c r="G11" s="1245"/>
    </row>
    <row r="12" spans="1:7" ht="12.95" customHeight="1">
      <c r="A12" s="1318" t="s">
        <v>908</v>
      </c>
      <c r="B12" s="1323"/>
      <c r="C12" s="1322"/>
      <c r="D12" s="1322"/>
      <c r="E12" s="1323"/>
      <c r="F12" s="1322"/>
      <c r="G12" s="1245"/>
    </row>
    <row r="13" spans="1:7" ht="12.95" customHeight="1">
      <c r="A13" s="1318" t="s">
        <v>793</v>
      </c>
      <c r="B13" s="1323"/>
      <c r="C13" s="1322"/>
      <c r="D13" s="1322"/>
      <c r="E13" s="1323"/>
      <c r="F13" s="1322"/>
      <c r="G13" s="1245"/>
    </row>
    <row r="14" spans="1:7" ht="12.95" customHeight="1">
      <c r="A14" s="1318" t="s">
        <v>803</v>
      </c>
      <c r="B14" s="1323"/>
      <c r="C14" s="1322"/>
      <c r="D14" s="1322"/>
      <c r="E14" s="1323"/>
      <c r="F14" s="1322"/>
      <c r="G14" s="1245"/>
    </row>
    <row r="15" spans="1:7">
      <c r="A15" s="1318" t="s">
        <v>920</v>
      </c>
      <c r="B15" s="1323"/>
      <c r="C15" s="1322"/>
      <c r="D15" s="1322"/>
      <c r="E15" s="1323"/>
      <c r="F15" s="1322"/>
      <c r="G15" s="1245"/>
    </row>
    <row r="16" spans="1:7" ht="12.95" customHeight="1" thickBot="1">
      <c r="A16" s="1349" t="s">
        <v>1014</v>
      </c>
      <c r="B16" s="1350"/>
      <c r="C16" s="1351"/>
      <c r="D16" s="1351"/>
      <c r="E16" s="1352" t="s">
        <v>1012</v>
      </c>
      <c r="F16" s="1351">
        <f>'1.1 Összesítő'!C124</f>
        <v>68016699</v>
      </c>
      <c r="G16" s="1246">
        <f>'1.1 Összesítő'!D124</f>
        <v>68016699</v>
      </c>
    </row>
    <row r="17" spans="1:7" ht="15.95" customHeight="1" thickBot="1">
      <c r="A17" s="1328" t="s">
        <v>1015</v>
      </c>
      <c r="B17" s="1329" t="s">
        <v>1063</v>
      </c>
      <c r="C17" s="1330">
        <f>+C6+C8+C9+C11+C12+C13+C14+C15+C16</f>
        <v>35000000</v>
      </c>
      <c r="D17" s="1330">
        <f>+D6+D8+D9+D11+D12+D13+D14+D15+D16</f>
        <v>35000000</v>
      </c>
      <c r="E17" s="1329" t="s">
        <v>1064</v>
      </c>
      <c r="F17" s="1331">
        <f>+F6+F8+F10+F11+F12+F13+F14+F15+F16</f>
        <v>91637529</v>
      </c>
      <c r="G17" s="1237">
        <f>+G6+G8+G10+G11+G12+G13+G14+G15+G16</f>
        <v>102653571</v>
      </c>
    </row>
    <row r="18" spans="1:7" ht="12.95" customHeight="1">
      <c r="A18" s="1314" t="s">
        <v>1016</v>
      </c>
      <c r="B18" s="1353" t="s">
        <v>1065</v>
      </c>
      <c r="C18" s="1354">
        <f>+C19+C20+C21+C22+C23</f>
        <v>17341720</v>
      </c>
      <c r="D18" s="1354">
        <f>+D19+D20+D21+D22+D23</f>
        <v>45783601</v>
      </c>
      <c r="E18" s="1335" t="s">
        <v>1021</v>
      </c>
      <c r="F18" s="1355"/>
      <c r="G18" s="1241"/>
    </row>
    <row r="19" spans="1:7" ht="12.95" customHeight="1">
      <c r="A19" s="1318" t="s">
        <v>1019</v>
      </c>
      <c r="B19" s="1356" t="s">
        <v>988</v>
      </c>
      <c r="C19" s="1338">
        <f>'1.1 Összesítő'!C75-'2.1 Működési mérleg'!C20</f>
        <v>17341720</v>
      </c>
      <c r="D19" s="1338">
        <f>'1.1 Összesítő'!D75-'2.1 Működési mérleg'!D20</f>
        <v>45783601</v>
      </c>
      <c r="E19" s="1335" t="s">
        <v>1066</v>
      </c>
      <c r="F19" s="1339">
        <f>'[10]1.1 Összesítő'!C127</f>
        <v>0</v>
      </c>
      <c r="G19" s="1265">
        <f>'[10]1.1 Összesítő'!D127</f>
        <v>0</v>
      </c>
    </row>
    <row r="20" spans="1:7" ht="12.95" customHeight="1">
      <c r="A20" s="1314" t="s">
        <v>1022</v>
      </c>
      <c r="B20" s="1356" t="s">
        <v>1067</v>
      </c>
      <c r="C20" s="1338"/>
      <c r="D20" s="1338"/>
      <c r="E20" s="1335" t="s">
        <v>1027</v>
      </c>
      <c r="F20" s="1339"/>
      <c r="G20" s="1265"/>
    </row>
    <row r="21" spans="1:7" ht="12.95" customHeight="1">
      <c r="A21" s="1318" t="s">
        <v>1025</v>
      </c>
      <c r="B21" s="1356" t="s">
        <v>1068</v>
      </c>
      <c r="C21" s="1338"/>
      <c r="D21" s="1338"/>
      <c r="E21" s="1335" t="s">
        <v>1030</v>
      </c>
      <c r="F21" s="1339"/>
      <c r="G21" s="1265"/>
    </row>
    <row r="22" spans="1:7" ht="12.95" customHeight="1">
      <c r="A22" s="1314" t="s">
        <v>1028</v>
      </c>
      <c r="B22" s="1356" t="s">
        <v>1069</v>
      </c>
      <c r="C22" s="1338"/>
      <c r="D22" s="1338"/>
      <c r="E22" s="1333" t="s">
        <v>1033</v>
      </c>
      <c r="F22" s="1339"/>
      <c r="G22" s="1265"/>
    </row>
    <row r="23" spans="1:7" ht="12.95" customHeight="1">
      <c r="A23" s="1318" t="s">
        <v>1031</v>
      </c>
      <c r="B23" s="1357" t="s">
        <v>1070</v>
      </c>
      <c r="C23" s="1338"/>
      <c r="D23" s="1338"/>
      <c r="E23" s="1335" t="s">
        <v>1071</v>
      </c>
      <c r="F23" s="1339"/>
      <c r="G23" s="1265"/>
    </row>
    <row r="24" spans="1:7" ht="12.95" customHeight="1">
      <c r="A24" s="1314" t="s">
        <v>1034</v>
      </c>
      <c r="B24" s="1358" t="s">
        <v>1072</v>
      </c>
      <c r="C24" s="1340">
        <f>+C25+C26+C27+C28+C29</f>
        <v>0</v>
      </c>
      <c r="D24" s="1340">
        <f>+D25+D26+D27+D28+D29</f>
        <v>0</v>
      </c>
      <c r="E24" s="1359" t="s">
        <v>1039</v>
      </c>
      <c r="F24" s="1339"/>
      <c r="G24" s="1265"/>
    </row>
    <row r="25" spans="1:7" ht="12.95" customHeight="1">
      <c r="A25" s="1318" t="s">
        <v>1037</v>
      </c>
      <c r="B25" s="1357" t="s">
        <v>1073</v>
      </c>
      <c r="C25" s="1338"/>
      <c r="D25" s="1338"/>
      <c r="E25" s="1359" t="s">
        <v>1074</v>
      </c>
      <c r="F25" s="1339"/>
      <c r="G25" s="1265"/>
    </row>
    <row r="26" spans="1:7" ht="12.95" customHeight="1">
      <c r="A26" s="1314" t="s">
        <v>1040</v>
      </c>
      <c r="B26" s="1357" t="s">
        <v>1075</v>
      </c>
      <c r="C26" s="1338"/>
      <c r="D26" s="1338"/>
      <c r="E26" s="1360"/>
      <c r="F26" s="1339"/>
      <c r="G26" s="1265"/>
    </row>
    <row r="27" spans="1:7" ht="12.95" customHeight="1">
      <c r="A27" s="1318" t="s">
        <v>1043</v>
      </c>
      <c r="B27" s="1356" t="s">
        <v>1076</v>
      </c>
      <c r="C27" s="1338"/>
      <c r="D27" s="1338"/>
      <c r="E27" s="1361"/>
      <c r="F27" s="1339"/>
      <c r="G27" s="1265"/>
    </row>
    <row r="28" spans="1:7" ht="12.95" customHeight="1">
      <c r="A28" s="1314" t="s">
        <v>1046</v>
      </c>
      <c r="B28" s="1362" t="s">
        <v>1077</v>
      </c>
      <c r="C28" s="1338"/>
      <c r="D28" s="1338"/>
      <c r="E28" s="1323"/>
      <c r="F28" s="1339"/>
      <c r="G28" s="1265"/>
    </row>
    <row r="29" spans="1:7" ht="12.95" customHeight="1" thickBot="1">
      <c r="A29" s="1318" t="s">
        <v>1049</v>
      </c>
      <c r="B29" s="1363" t="s">
        <v>1078</v>
      </c>
      <c r="C29" s="1338"/>
      <c r="D29" s="1338"/>
      <c r="E29" s="1361"/>
      <c r="F29" s="1339"/>
      <c r="G29" s="1265"/>
    </row>
    <row r="30" spans="1:7" ht="21.75" customHeight="1" thickBot="1">
      <c r="A30" s="1328" t="s">
        <v>1052</v>
      </c>
      <c r="B30" s="1329" t="s">
        <v>1079</v>
      </c>
      <c r="C30" s="1330">
        <f>+C18+C24</f>
        <v>17341720</v>
      </c>
      <c r="D30" s="1330">
        <f>+D18+D24</f>
        <v>45783601</v>
      </c>
      <c r="E30" s="1329" t="s">
        <v>1080</v>
      </c>
      <c r="F30" s="1331">
        <f>SUM(F18:F29)</f>
        <v>0</v>
      </c>
      <c r="G30" s="1237">
        <f>SUM(G18:G29)</f>
        <v>0</v>
      </c>
    </row>
    <row r="31" spans="1:7" ht="13.5" thickBot="1">
      <c r="A31" s="1328" t="s">
        <v>1081</v>
      </c>
      <c r="B31" s="1342" t="s">
        <v>1082</v>
      </c>
      <c r="C31" s="1343">
        <f>+C17+C30</f>
        <v>52341720</v>
      </c>
      <c r="D31" s="1344">
        <f>+D17+D30</f>
        <v>80783601</v>
      </c>
      <c r="E31" s="1342" t="s">
        <v>1083</v>
      </c>
      <c r="F31" s="1343">
        <f>+F17+F30</f>
        <v>91637529</v>
      </c>
      <c r="G31" s="1344">
        <f>+G17+G30</f>
        <v>102653571</v>
      </c>
    </row>
    <row r="32" spans="1:7" ht="13.5" thickBot="1">
      <c r="A32" s="1328" t="s">
        <v>1084</v>
      </c>
      <c r="B32" s="1342" t="s">
        <v>1050</v>
      </c>
      <c r="C32" s="1343">
        <f>IF(C17-F17&lt;0,F17-C17,"-")-F11</f>
        <v>56637529</v>
      </c>
      <c r="D32" s="1344">
        <f>IF(D17-G17&lt;0,G17-D17,"-")</f>
        <v>67653571</v>
      </c>
      <c r="E32" s="1342" t="s">
        <v>1051</v>
      </c>
      <c r="F32" s="1343" t="str">
        <f>IF(C17-F17&gt;0,C17-F17,"-")</f>
        <v>-</v>
      </c>
      <c r="G32" s="1344" t="str">
        <f>IF(D17-G17&gt;0,D17-G17,"-")</f>
        <v>-</v>
      </c>
    </row>
    <row r="33" spans="1:7" ht="13.5" thickBot="1">
      <c r="A33" s="1328" t="s">
        <v>1085</v>
      </c>
      <c r="B33" s="1342" t="s">
        <v>1053</v>
      </c>
      <c r="C33" s="1343">
        <f>IF(C17+C18-F31&lt;0,F31-(C17+C18),"-")</f>
        <v>39295809</v>
      </c>
      <c r="D33" s="1344">
        <f>IF(D17+D18-G31&lt;0,G31-(D17+D18),"-")</f>
        <v>21869970</v>
      </c>
      <c r="E33" s="1342" t="s">
        <v>1054</v>
      </c>
      <c r="F33" s="1343" t="str">
        <f>IF(C17+C18-F31&gt;0,C17+C18-F31,"-")</f>
        <v>-</v>
      </c>
      <c r="G33" s="1344" t="str">
        <f>IF(D17+D18-G31&gt;0,D17+D18-G31,"-")</f>
        <v>-</v>
      </c>
    </row>
    <row r="34" spans="1:7">
      <c r="A34" s="1224"/>
    </row>
  </sheetData>
  <sheetProtection selectLockedCells="1" selectUnlockedCells="1"/>
  <mergeCells count="2">
    <mergeCell ref="F2:G2"/>
    <mergeCell ref="A3:A4"/>
  </mergeCells>
  <printOptions horizontalCentered="1"/>
  <pageMargins left="0.78740157480314965" right="0.78740157480314965" top="0.68" bottom="0.78740157480314965" header="0.47244094488188981" footer="0.78740157480314965"/>
  <pageSetup paperSize="9" scale="93" orientation="landscape" r:id="rId1"/>
  <headerFooter alignWithMargins="0">
    <oddHeader>&amp;R&amp;"Times New Roman,Normál"2.2. melléklet a 8/2019. (V.20.)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G12"/>
  <sheetViews>
    <sheetView view="pageBreakPreview" zoomScale="125" zoomScaleNormal="100" zoomScaleSheetLayoutView="125" workbookViewId="0">
      <selection activeCell="Q16" sqref="Q16"/>
    </sheetView>
  </sheetViews>
  <sheetFormatPr defaultRowHeight="15"/>
  <cols>
    <col min="1" max="1" width="4.85546875" style="1386" customWidth="1"/>
    <col min="2" max="2" width="36" style="1386" customWidth="1"/>
    <col min="3" max="3" width="9.7109375" style="1386" customWidth="1"/>
    <col min="4" max="4" width="8.85546875" style="1386" customWidth="1"/>
    <col min="5" max="5" width="16.42578125" style="1386" customWidth="1"/>
    <col min="6" max="6" width="16" style="1386" customWidth="1"/>
    <col min="7" max="256" width="9.140625" style="1366"/>
    <col min="257" max="257" width="4.85546875" style="1366" customWidth="1"/>
    <col min="258" max="258" width="36" style="1366" customWidth="1"/>
    <col min="259" max="262" width="12" style="1366" customWidth="1"/>
    <col min="263" max="512" width="9.140625" style="1366"/>
    <col min="513" max="513" width="4.85546875" style="1366" customWidth="1"/>
    <col min="514" max="514" width="36" style="1366" customWidth="1"/>
    <col min="515" max="518" width="12" style="1366" customWidth="1"/>
    <col min="519" max="768" width="9.140625" style="1366"/>
    <col min="769" max="769" width="4.85546875" style="1366" customWidth="1"/>
    <col min="770" max="770" width="36" style="1366" customWidth="1"/>
    <col min="771" max="774" width="12" style="1366" customWidth="1"/>
    <col min="775" max="1024" width="9.140625" style="1366"/>
    <col min="1025" max="1025" width="4.85546875" style="1366" customWidth="1"/>
    <col min="1026" max="1026" width="36" style="1366" customWidth="1"/>
    <col min="1027" max="1030" width="12" style="1366" customWidth="1"/>
    <col min="1031" max="1280" width="9.140625" style="1366"/>
    <col min="1281" max="1281" width="4.85546875" style="1366" customWidth="1"/>
    <col min="1282" max="1282" width="36" style="1366" customWidth="1"/>
    <col min="1283" max="1286" width="12" style="1366" customWidth="1"/>
    <col min="1287" max="1536" width="9.140625" style="1366"/>
    <col min="1537" max="1537" width="4.85546875" style="1366" customWidth="1"/>
    <col min="1538" max="1538" width="36" style="1366" customWidth="1"/>
    <col min="1539" max="1542" width="12" style="1366" customWidth="1"/>
    <col min="1543" max="1792" width="9.140625" style="1366"/>
    <col min="1793" max="1793" width="4.85546875" style="1366" customWidth="1"/>
    <col min="1794" max="1794" width="36" style="1366" customWidth="1"/>
    <col min="1795" max="1798" width="12" style="1366" customWidth="1"/>
    <col min="1799" max="2048" width="9.140625" style="1366"/>
    <col min="2049" max="2049" width="4.85546875" style="1366" customWidth="1"/>
    <col min="2050" max="2050" width="36" style="1366" customWidth="1"/>
    <col min="2051" max="2054" width="12" style="1366" customWidth="1"/>
    <col min="2055" max="2304" width="9.140625" style="1366"/>
    <col min="2305" max="2305" width="4.85546875" style="1366" customWidth="1"/>
    <col min="2306" max="2306" width="36" style="1366" customWidth="1"/>
    <col min="2307" max="2310" width="12" style="1366" customWidth="1"/>
    <col min="2311" max="2560" width="9.140625" style="1366"/>
    <col min="2561" max="2561" width="4.85546875" style="1366" customWidth="1"/>
    <col min="2562" max="2562" width="36" style="1366" customWidth="1"/>
    <col min="2563" max="2566" width="12" style="1366" customWidth="1"/>
    <col min="2567" max="2816" width="9.140625" style="1366"/>
    <col min="2817" max="2817" width="4.85546875" style="1366" customWidth="1"/>
    <col min="2818" max="2818" width="36" style="1366" customWidth="1"/>
    <col min="2819" max="2822" width="12" style="1366" customWidth="1"/>
    <col min="2823" max="3072" width="9.140625" style="1366"/>
    <col min="3073" max="3073" width="4.85546875" style="1366" customWidth="1"/>
    <col min="3074" max="3074" width="36" style="1366" customWidth="1"/>
    <col min="3075" max="3078" width="12" style="1366" customWidth="1"/>
    <col min="3079" max="3328" width="9.140625" style="1366"/>
    <col min="3329" max="3329" width="4.85546875" style="1366" customWidth="1"/>
    <col min="3330" max="3330" width="36" style="1366" customWidth="1"/>
    <col min="3331" max="3334" width="12" style="1366" customWidth="1"/>
    <col min="3335" max="3584" width="9.140625" style="1366"/>
    <col min="3585" max="3585" width="4.85546875" style="1366" customWidth="1"/>
    <col min="3586" max="3586" width="36" style="1366" customWidth="1"/>
    <col min="3587" max="3590" width="12" style="1366" customWidth="1"/>
    <col min="3591" max="3840" width="9.140625" style="1366"/>
    <col min="3841" max="3841" width="4.85546875" style="1366" customWidth="1"/>
    <col min="3842" max="3842" width="36" style="1366" customWidth="1"/>
    <col min="3843" max="3846" width="12" style="1366" customWidth="1"/>
    <col min="3847" max="4096" width="9.140625" style="1366"/>
    <col min="4097" max="4097" width="4.85546875" style="1366" customWidth="1"/>
    <col min="4098" max="4098" width="36" style="1366" customWidth="1"/>
    <col min="4099" max="4102" width="12" style="1366" customWidth="1"/>
    <col min="4103" max="4352" width="9.140625" style="1366"/>
    <col min="4353" max="4353" width="4.85546875" style="1366" customWidth="1"/>
    <col min="4354" max="4354" width="36" style="1366" customWidth="1"/>
    <col min="4355" max="4358" width="12" style="1366" customWidth="1"/>
    <col min="4359" max="4608" width="9.140625" style="1366"/>
    <col min="4609" max="4609" width="4.85546875" style="1366" customWidth="1"/>
    <col min="4610" max="4610" width="36" style="1366" customWidth="1"/>
    <col min="4611" max="4614" width="12" style="1366" customWidth="1"/>
    <col min="4615" max="4864" width="9.140625" style="1366"/>
    <col min="4865" max="4865" width="4.85546875" style="1366" customWidth="1"/>
    <col min="4866" max="4866" width="36" style="1366" customWidth="1"/>
    <col min="4867" max="4870" width="12" style="1366" customWidth="1"/>
    <col min="4871" max="5120" width="9.140625" style="1366"/>
    <col min="5121" max="5121" width="4.85546875" style="1366" customWidth="1"/>
    <col min="5122" max="5122" width="36" style="1366" customWidth="1"/>
    <col min="5123" max="5126" width="12" style="1366" customWidth="1"/>
    <col min="5127" max="5376" width="9.140625" style="1366"/>
    <col min="5377" max="5377" width="4.85546875" style="1366" customWidth="1"/>
    <col min="5378" max="5378" width="36" style="1366" customWidth="1"/>
    <col min="5379" max="5382" width="12" style="1366" customWidth="1"/>
    <col min="5383" max="5632" width="9.140625" style="1366"/>
    <col min="5633" max="5633" width="4.85546875" style="1366" customWidth="1"/>
    <col min="5634" max="5634" width="36" style="1366" customWidth="1"/>
    <col min="5635" max="5638" width="12" style="1366" customWidth="1"/>
    <col min="5639" max="5888" width="9.140625" style="1366"/>
    <col min="5889" max="5889" width="4.85546875" style="1366" customWidth="1"/>
    <col min="5890" max="5890" width="36" style="1366" customWidth="1"/>
    <col min="5891" max="5894" width="12" style="1366" customWidth="1"/>
    <col min="5895" max="6144" width="9.140625" style="1366"/>
    <col min="6145" max="6145" width="4.85546875" style="1366" customWidth="1"/>
    <col min="6146" max="6146" width="36" style="1366" customWidth="1"/>
    <col min="6147" max="6150" width="12" style="1366" customWidth="1"/>
    <col min="6151" max="6400" width="9.140625" style="1366"/>
    <col min="6401" max="6401" width="4.85546875" style="1366" customWidth="1"/>
    <col min="6402" max="6402" width="36" style="1366" customWidth="1"/>
    <col min="6403" max="6406" width="12" style="1366" customWidth="1"/>
    <col min="6407" max="6656" width="9.140625" style="1366"/>
    <col min="6657" max="6657" width="4.85546875" style="1366" customWidth="1"/>
    <col min="6658" max="6658" width="36" style="1366" customWidth="1"/>
    <col min="6659" max="6662" width="12" style="1366" customWidth="1"/>
    <col min="6663" max="6912" width="9.140625" style="1366"/>
    <col min="6913" max="6913" width="4.85546875" style="1366" customWidth="1"/>
    <col min="6914" max="6914" width="36" style="1366" customWidth="1"/>
    <col min="6915" max="6918" width="12" style="1366" customWidth="1"/>
    <col min="6919" max="7168" width="9.140625" style="1366"/>
    <col min="7169" max="7169" width="4.85546875" style="1366" customWidth="1"/>
    <col min="7170" max="7170" width="36" style="1366" customWidth="1"/>
    <col min="7171" max="7174" width="12" style="1366" customWidth="1"/>
    <col min="7175" max="7424" width="9.140625" style="1366"/>
    <col min="7425" max="7425" width="4.85546875" style="1366" customWidth="1"/>
    <col min="7426" max="7426" width="36" style="1366" customWidth="1"/>
    <col min="7427" max="7430" width="12" style="1366" customWidth="1"/>
    <col min="7431" max="7680" width="9.140625" style="1366"/>
    <col min="7681" max="7681" width="4.85546875" style="1366" customWidth="1"/>
    <col min="7682" max="7682" width="36" style="1366" customWidth="1"/>
    <col min="7683" max="7686" width="12" style="1366" customWidth="1"/>
    <col min="7687" max="7936" width="9.140625" style="1366"/>
    <col min="7937" max="7937" width="4.85546875" style="1366" customWidth="1"/>
    <col min="7938" max="7938" width="36" style="1366" customWidth="1"/>
    <col min="7939" max="7942" width="12" style="1366" customWidth="1"/>
    <col min="7943" max="8192" width="9.140625" style="1366"/>
    <col min="8193" max="8193" width="4.85546875" style="1366" customWidth="1"/>
    <col min="8194" max="8194" width="36" style="1366" customWidth="1"/>
    <col min="8195" max="8198" width="12" style="1366" customWidth="1"/>
    <col min="8199" max="8448" width="9.140625" style="1366"/>
    <col min="8449" max="8449" width="4.85546875" style="1366" customWidth="1"/>
    <col min="8450" max="8450" width="36" style="1366" customWidth="1"/>
    <col min="8451" max="8454" width="12" style="1366" customWidth="1"/>
    <col min="8455" max="8704" width="9.140625" style="1366"/>
    <col min="8705" max="8705" width="4.85546875" style="1366" customWidth="1"/>
    <col min="8706" max="8706" width="36" style="1366" customWidth="1"/>
    <col min="8707" max="8710" width="12" style="1366" customWidth="1"/>
    <col min="8711" max="8960" width="9.140625" style="1366"/>
    <col min="8961" max="8961" width="4.85546875" style="1366" customWidth="1"/>
    <col min="8962" max="8962" width="36" style="1366" customWidth="1"/>
    <col min="8963" max="8966" width="12" style="1366" customWidth="1"/>
    <col min="8967" max="9216" width="9.140625" style="1366"/>
    <col min="9217" max="9217" width="4.85546875" style="1366" customWidth="1"/>
    <col min="9218" max="9218" width="36" style="1366" customWidth="1"/>
    <col min="9219" max="9222" width="12" style="1366" customWidth="1"/>
    <col min="9223" max="9472" width="9.140625" style="1366"/>
    <col min="9473" max="9473" width="4.85546875" style="1366" customWidth="1"/>
    <col min="9474" max="9474" width="36" style="1366" customWidth="1"/>
    <col min="9475" max="9478" width="12" style="1366" customWidth="1"/>
    <col min="9479" max="9728" width="9.140625" style="1366"/>
    <col min="9729" max="9729" width="4.85546875" style="1366" customWidth="1"/>
    <col min="9730" max="9730" width="36" style="1366" customWidth="1"/>
    <col min="9731" max="9734" width="12" style="1366" customWidth="1"/>
    <col min="9735" max="9984" width="9.140625" style="1366"/>
    <col min="9985" max="9985" width="4.85546875" style="1366" customWidth="1"/>
    <col min="9986" max="9986" width="36" style="1366" customWidth="1"/>
    <col min="9987" max="9990" width="12" style="1366" customWidth="1"/>
    <col min="9991" max="10240" width="9.140625" style="1366"/>
    <col min="10241" max="10241" width="4.85546875" style="1366" customWidth="1"/>
    <col min="10242" max="10242" width="36" style="1366" customWidth="1"/>
    <col min="10243" max="10246" width="12" style="1366" customWidth="1"/>
    <col min="10247" max="10496" width="9.140625" style="1366"/>
    <col min="10497" max="10497" width="4.85546875" style="1366" customWidth="1"/>
    <col min="10498" max="10498" width="36" style="1366" customWidth="1"/>
    <col min="10499" max="10502" width="12" style="1366" customWidth="1"/>
    <col min="10503" max="10752" width="9.140625" style="1366"/>
    <col min="10753" max="10753" width="4.85546875" style="1366" customWidth="1"/>
    <col min="10754" max="10754" width="36" style="1366" customWidth="1"/>
    <col min="10755" max="10758" width="12" style="1366" customWidth="1"/>
    <col min="10759" max="11008" width="9.140625" style="1366"/>
    <col min="11009" max="11009" width="4.85546875" style="1366" customWidth="1"/>
    <col min="11010" max="11010" width="36" style="1366" customWidth="1"/>
    <col min="11011" max="11014" width="12" style="1366" customWidth="1"/>
    <col min="11015" max="11264" width="9.140625" style="1366"/>
    <col min="11265" max="11265" width="4.85546875" style="1366" customWidth="1"/>
    <col min="11266" max="11266" width="36" style="1366" customWidth="1"/>
    <col min="11267" max="11270" width="12" style="1366" customWidth="1"/>
    <col min="11271" max="11520" width="9.140625" style="1366"/>
    <col min="11521" max="11521" width="4.85546875" style="1366" customWidth="1"/>
    <col min="11522" max="11522" width="36" style="1366" customWidth="1"/>
    <col min="11523" max="11526" width="12" style="1366" customWidth="1"/>
    <col min="11527" max="11776" width="9.140625" style="1366"/>
    <col min="11777" max="11777" width="4.85546875" style="1366" customWidth="1"/>
    <col min="11778" max="11778" width="36" style="1366" customWidth="1"/>
    <col min="11779" max="11782" width="12" style="1366" customWidth="1"/>
    <col min="11783" max="12032" width="9.140625" style="1366"/>
    <col min="12033" max="12033" width="4.85546875" style="1366" customWidth="1"/>
    <col min="12034" max="12034" width="36" style="1366" customWidth="1"/>
    <col min="12035" max="12038" width="12" style="1366" customWidth="1"/>
    <col min="12039" max="12288" width="9.140625" style="1366"/>
    <col min="12289" max="12289" width="4.85546875" style="1366" customWidth="1"/>
    <col min="12290" max="12290" width="36" style="1366" customWidth="1"/>
    <col min="12291" max="12294" width="12" style="1366" customWidth="1"/>
    <col min="12295" max="12544" width="9.140625" style="1366"/>
    <col min="12545" max="12545" width="4.85546875" style="1366" customWidth="1"/>
    <col min="12546" max="12546" width="36" style="1366" customWidth="1"/>
    <col min="12547" max="12550" width="12" style="1366" customWidth="1"/>
    <col min="12551" max="12800" width="9.140625" style="1366"/>
    <col min="12801" max="12801" width="4.85546875" style="1366" customWidth="1"/>
    <col min="12802" max="12802" width="36" style="1366" customWidth="1"/>
    <col min="12803" max="12806" width="12" style="1366" customWidth="1"/>
    <col min="12807" max="13056" width="9.140625" style="1366"/>
    <col min="13057" max="13057" width="4.85546875" style="1366" customWidth="1"/>
    <col min="13058" max="13058" width="36" style="1366" customWidth="1"/>
    <col min="13059" max="13062" width="12" style="1366" customWidth="1"/>
    <col min="13063" max="13312" width="9.140625" style="1366"/>
    <col min="13313" max="13313" width="4.85546875" style="1366" customWidth="1"/>
    <col min="13314" max="13314" width="36" style="1366" customWidth="1"/>
    <col min="13315" max="13318" width="12" style="1366" customWidth="1"/>
    <col min="13319" max="13568" width="9.140625" style="1366"/>
    <col min="13569" max="13569" width="4.85546875" style="1366" customWidth="1"/>
    <col min="13570" max="13570" width="36" style="1366" customWidth="1"/>
    <col min="13571" max="13574" width="12" style="1366" customWidth="1"/>
    <col min="13575" max="13824" width="9.140625" style="1366"/>
    <col min="13825" max="13825" width="4.85546875" style="1366" customWidth="1"/>
    <col min="13826" max="13826" width="36" style="1366" customWidth="1"/>
    <col min="13827" max="13830" width="12" style="1366" customWidth="1"/>
    <col min="13831" max="14080" width="9.140625" style="1366"/>
    <col min="14081" max="14081" width="4.85546875" style="1366" customWidth="1"/>
    <col min="14082" max="14082" width="36" style="1366" customWidth="1"/>
    <col min="14083" max="14086" width="12" style="1366" customWidth="1"/>
    <col min="14087" max="14336" width="9.140625" style="1366"/>
    <col min="14337" max="14337" width="4.85546875" style="1366" customWidth="1"/>
    <col min="14338" max="14338" width="36" style="1366" customWidth="1"/>
    <col min="14339" max="14342" width="12" style="1366" customWidth="1"/>
    <col min="14343" max="14592" width="9.140625" style="1366"/>
    <col min="14593" max="14593" width="4.85546875" style="1366" customWidth="1"/>
    <col min="14594" max="14594" width="36" style="1366" customWidth="1"/>
    <col min="14595" max="14598" width="12" style="1366" customWidth="1"/>
    <col min="14599" max="14848" width="9.140625" style="1366"/>
    <col min="14849" max="14849" width="4.85546875" style="1366" customWidth="1"/>
    <col min="14850" max="14850" width="36" style="1366" customWidth="1"/>
    <col min="14851" max="14854" width="12" style="1366" customWidth="1"/>
    <col min="14855" max="15104" width="9.140625" style="1366"/>
    <col min="15105" max="15105" width="4.85546875" style="1366" customWidth="1"/>
    <col min="15106" max="15106" width="36" style="1366" customWidth="1"/>
    <col min="15107" max="15110" width="12" style="1366" customWidth="1"/>
    <col min="15111" max="15360" width="9.140625" style="1366"/>
    <col min="15361" max="15361" width="4.85546875" style="1366" customWidth="1"/>
    <col min="15362" max="15362" width="36" style="1366" customWidth="1"/>
    <col min="15363" max="15366" width="12" style="1366" customWidth="1"/>
    <col min="15367" max="15616" width="9.140625" style="1366"/>
    <col min="15617" max="15617" width="4.85546875" style="1366" customWidth="1"/>
    <col min="15618" max="15618" width="36" style="1366" customWidth="1"/>
    <col min="15619" max="15622" width="12" style="1366" customWidth="1"/>
    <col min="15623" max="15872" width="9.140625" style="1366"/>
    <col min="15873" max="15873" width="4.85546875" style="1366" customWidth="1"/>
    <col min="15874" max="15874" width="36" style="1366" customWidth="1"/>
    <col min="15875" max="15878" width="12" style="1366" customWidth="1"/>
    <col min="15879" max="16128" width="9.140625" style="1366"/>
    <col min="16129" max="16129" width="4.85546875" style="1366" customWidth="1"/>
    <col min="16130" max="16130" width="36" style="1366" customWidth="1"/>
    <col min="16131" max="16134" width="12" style="1366" customWidth="1"/>
    <col min="16135" max="16384" width="9.140625" style="1366"/>
  </cols>
  <sheetData>
    <row r="1" spans="1:7" ht="33" customHeight="1">
      <c r="A1" s="1837" t="s">
        <v>1089</v>
      </c>
      <c r="B1" s="1837"/>
      <c r="C1" s="1837"/>
      <c r="D1" s="1837"/>
      <c r="E1" s="1837"/>
      <c r="F1" s="1837"/>
    </row>
    <row r="2" spans="1:7" ht="15.95" customHeight="1" thickBot="1">
      <c r="A2" s="1367"/>
      <c r="B2" s="1367"/>
      <c r="C2" s="1838"/>
      <c r="D2" s="1838"/>
      <c r="E2" s="1839" t="s">
        <v>687</v>
      </c>
      <c r="F2" s="1839"/>
      <c r="G2" s="1368"/>
    </row>
    <row r="3" spans="1:7" ht="63" customHeight="1">
      <c r="A3" s="1840" t="s">
        <v>1090</v>
      </c>
      <c r="B3" s="1842" t="s">
        <v>1091</v>
      </c>
      <c r="C3" s="1842" t="s">
        <v>1092</v>
      </c>
      <c r="D3" s="1842"/>
      <c r="E3" s="1842"/>
      <c r="F3" s="1844" t="s">
        <v>1093</v>
      </c>
    </row>
    <row r="4" spans="1:7" ht="15.75" thickBot="1">
      <c r="A4" s="1841"/>
      <c r="B4" s="1843"/>
      <c r="C4" s="1369"/>
      <c r="D4" s="1369"/>
      <c r="E4" s="1369" t="s">
        <v>1096</v>
      </c>
      <c r="F4" s="1845"/>
    </row>
    <row r="5" spans="1:7" ht="15.75" thickBot="1">
      <c r="A5" s="1370">
        <v>1</v>
      </c>
      <c r="B5" s="1371">
        <v>2</v>
      </c>
      <c r="C5" s="1371">
        <v>3</v>
      </c>
      <c r="D5" s="1371">
        <v>4</v>
      </c>
      <c r="E5" s="1371">
        <v>5</v>
      </c>
      <c r="F5" s="1372">
        <v>6</v>
      </c>
    </row>
    <row r="6" spans="1:7">
      <c r="A6" s="1373" t="s">
        <v>693</v>
      </c>
      <c r="B6" s="1375" t="s">
        <v>1094</v>
      </c>
      <c r="C6" s="1376"/>
      <c r="D6" s="1376"/>
      <c r="E6" s="1376">
        <f>'1.1 Összesítő'!C137</f>
        <v>5539458</v>
      </c>
      <c r="F6" s="1377">
        <f>SUM(C6:E6)</f>
        <v>5539458</v>
      </c>
    </row>
    <row r="7" spans="1:7">
      <c r="A7" s="1374" t="s">
        <v>707</v>
      </c>
      <c r="B7" s="1375"/>
      <c r="C7" s="1376"/>
      <c r="D7" s="1376"/>
      <c r="E7" s="1376"/>
      <c r="F7" s="1377">
        <f>SUM(C7:E7)</f>
        <v>0</v>
      </c>
    </row>
    <row r="8" spans="1:7">
      <c r="A8" s="1374" t="s">
        <v>721</v>
      </c>
      <c r="B8" s="1375"/>
      <c r="C8" s="1376"/>
      <c r="D8" s="1376"/>
      <c r="E8" s="1376"/>
      <c r="F8" s="1377">
        <f>SUM(C8:E8)</f>
        <v>0</v>
      </c>
    </row>
    <row r="9" spans="1:7">
      <c r="A9" s="1374" t="s">
        <v>897</v>
      </c>
      <c r="B9" s="1375"/>
      <c r="C9" s="1376"/>
      <c r="D9" s="1376"/>
      <c r="E9" s="1376"/>
      <c r="F9" s="1377">
        <f>SUM(C9:E9)</f>
        <v>0</v>
      </c>
    </row>
    <row r="10" spans="1:7" ht="15.75" thickBot="1">
      <c r="A10" s="1378" t="s">
        <v>750</v>
      </c>
      <c r="B10" s="1379"/>
      <c r="C10" s="1380"/>
      <c r="D10" s="1380"/>
      <c r="E10" s="1380"/>
      <c r="F10" s="1377">
        <f>SUM(C10:E10)</f>
        <v>0</v>
      </c>
    </row>
    <row r="11" spans="1:7" s="1385" customFormat="1" thickBot="1">
      <c r="A11" s="1381" t="s">
        <v>772</v>
      </c>
      <c r="B11" s="1382" t="s">
        <v>1095</v>
      </c>
      <c r="C11" s="1383">
        <f>SUM(C6:C10)</f>
        <v>0</v>
      </c>
      <c r="D11" s="1383">
        <f>SUM(D6:D10)</f>
        <v>0</v>
      </c>
      <c r="E11" s="1383">
        <f>SUM(E6:E10)</f>
        <v>5539458</v>
      </c>
      <c r="F11" s="1384">
        <f>SUM(F6:F10)</f>
        <v>5539458</v>
      </c>
    </row>
    <row r="12" spans="1:7">
      <c r="A12" s="1836"/>
      <c r="B12" s="1836"/>
      <c r="C12" s="1836"/>
      <c r="D12" s="1836"/>
      <c r="E12" s="1836"/>
      <c r="F12" s="1836"/>
    </row>
  </sheetData>
  <sheetProtection password="DCF7" sheet="1" objects="1" scenarios="1" selectLockedCells="1" selectUnlockedCells="1"/>
  <mergeCells count="8">
    <mergeCell ref="A12:F12"/>
    <mergeCell ref="A1:F1"/>
    <mergeCell ref="C2:D2"/>
    <mergeCell ref="E2:F2"/>
    <mergeCell ref="A3:A4"/>
    <mergeCell ref="B3:B4"/>
    <mergeCell ref="C3:E3"/>
    <mergeCell ref="F3:F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87" orientation="portrait" r:id="rId1"/>
  <headerFooter alignWithMargins="0">
    <oddHeader>&amp;R&amp;"Times New Roman CE,Félkövér dőlt" 3. melléklet a 3/2019. (II.25.)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view="pageBreakPreview" zoomScale="125" zoomScaleNormal="100" zoomScaleSheetLayoutView="125" workbookViewId="0">
      <selection activeCell="Q16" sqref="Q16"/>
    </sheetView>
  </sheetViews>
  <sheetFormatPr defaultRowHeight="15"/>
  <cols>
    <col min="1" max="1" width="4.85546875" style="1386" customWidth="1"/>
    <col min="2" max="2" width="58.85546875" style="1386" customWidth="1"/>
    <col min="3" max="3" width="16.7109375" style="1386" customWidth="1"/>
    <col min="4" max="4" width="17.42578125" style="1366" customWidth="1"/>
    <col min="5" max="256" width="9.140625" style="1366"/>
    <col min="257" max="257" width="4.85546875" style="1366" customWidth="1"/>
    <col min="258" max="258" width="58.85546875" style="1366" customWidth="1"/>
    <col min="259" max="259" width="16.7109375" style="1366" customWidth="1"/>
    <col min="260" max="260" width="17.42578125" style="1366" customWidth="1"/>
    <col min="261" max="512" width="9.140625" style="1366"/>
    <col min="513" max="513" width="4.85546875" style="1366" customWidth="1"/>
    <col min="514" max="514" width="58.85546875" style="1366" customWidth="1"/>
    <col min="515" max="515" width="16.7109375" style="1366" customWidth="1"/>
    <col min="516" max="516" width="17.42578125" style="1366" customWidth="1"/>
    <col min="517" max="768" width="9.140625" style="1366"/>
    <col min="769" max="769" width="4.85546875" style="1366" customWidth="1"/>
    <col min="770" max="770" width="58.85546875" style="1366" customWidth="1"/>
    <col min="771" max="771" width="16.7109375" style="1366" customWidth="1"/>
    <col min="772" max="772" width="17.42578125" style="1366" customWidth="1"/>
    <col min="773" max="1024" width="9.140625" style="1366"/>
    <col min="1025" max="1025" width="4.85546875" style="1366" customWidth="1"/>
    <col min="1026" max="1026" width="58.85546875" style="1366" customWidth="1"/>
    <col min="1027" max="1027" width="16.7109375" style="1366" customWidth="1"/>
    <col min="1028" max="1028" width="17.42578125" style="1366" customWidth="1"/>
    <col min="1029" max="1280" width="9.140625" style="1366"/>
    <col min="1281" max="1281" width="4.85546875" style="1366" customWidth="1"/>
    <col min="1282" max="1282" width="58.85546875" style="1366" customWidth="1"/>
    <col min="1283" max="1283" width="16.7109375" style="1366" customWidth="1"/>
    <col min="1284" max="1284" width="17.42578125" style="1366" customWidth="1"/>
    <col min="1285" max="1536" width="9.140625" style="1366"/>
    <col min="1537" max="1537" width="4.85546875" style="1366" customWidth="1"/>
    <col min="1538" max="1538" width="58.85546875" style="1366" customWidth="1"/>
    <col min="1539" max="1539" width="16.7109375" style="1366" customWidth="1"/>
    <col min="1540" max="1540" width="17.42578125" style="1366" customWidth="1"/>
    <col min="1541" max="1792" width="9.140625" style="1366"/>
    <col min="1793" max="1793" width="4.85546875" style="1366" customWidth="1"/>
    <col min="1794" max="1794" width="58.85546875" style="1366" customWidth="1"/>
    <col min="1795" max="1795" width="16.7109375" style="1366" customWidth="1"/>
    <col min="1796" max="1796" width="17.42578125" style="1366" customWidth="1"/>
    <col min="1797" max="2048" width="9.140625" style="1366"/>
    <col min="2049" max="2049" width="4.85546875" style="1366" customWidth="1"/>
    <col min="2050" max="2050" width="58.85546875" style="1366" customWidth="1"/>
    <col min="2051" max="2051" width="16.7109375" style="1366" customWidth="1"/>
    <col min="2052" max="2052" width="17.42578125" style="1366" customWidth="1"/>
    <col min="2053" max="2304" width="9.140625" style="1366"/>
    <col min="2305" max="2305" width="4.85546875" style="1366" customWidth="1"/>
    <col min="2306" max="2306" width="58.85546875" style="1366" customWidth="1"/>
    <col min="2307" max="2307" width="16.7109375" style="1366" customWidth="1"/>
    <col min="2308" max="2308" width="17.42578125" style="1366" customWidth="1"/>
    <col min="2309" max="2560" width="9.140625" style="1366"/>
    <col min="2561" max="2561" width="4.85546875" style="1366" customWidth="1"/>
    <col min="2562" max="2562" width="58.85546875" style="1366" customWidth="1"/>
    <col min="2563" max="2563" width="16.7109375" style="1366" customWidth="1"/>
    <col min="2564" max="2564" width="17.42578125" style="1366" customWidth="1"/>
    <col min="2565" max="2816" width="9.140625" style="1366"/>
    <col min="2817" max="2817" width="4.85546875" style="1366" customWidth="1"/>
    <col min="2818" max="2818" width="58.85546875" style="1366" customWidth="1"/>
    <col min="2819" max="2819" width="16.7109375" style="1366" customWidth="1"/>
    <col min="2820" max="2820" width="17.42578125" style="1366" customWidth="1"/>
    <col min="2821" max="3072" width="9.140625" style="1366"/>
    <col min="3073" max="3073" width="4.85546875" style="1366" customWidth="1"/>
    <col min="3074" max="3074" width="58.85546875" style="1366" customWidth="1"/>
    <col min="3075" max="3075" width="16.7109375" style="1366" customWidth="1"/>
    <col min="3076" max="3076" width="17.42578125" style="1366" customWidth="1"/>
    <col min="3077" max="3328" width="9.140625" style="1366"/>
    <col min="3329" max="3329" width="4.85546875" style="1366" customWidth="1"/>
    <col min="3330" max="3330" width="58.85546875" style="1366" customWidth="1"/>
    <col min="3331" max="3331" width="16.7109375" style="1366" customWidth="1"/>
    <col min="3332" max="3332" width="17.42578125" style="1366" customWidth="1"/>
    <col min="3333" max="3584" width="9.140625" style="1366"/>
    <col min="3585" max="3585" width="4.85546875" style="1366" customWidth="1"/>
    <col min="3586" max="3586" width="58.85546875" style="1366" customWidth="1"/>
    <col min="3587" max="3587" width="16.7109375" style="1366" customWidth="1"/>
    <col min="3588" max="3588" width="17.42578125" style="1366" customWidth="1"/>
    <col min="3589" max="3840" width="9.140625" style="1366"/>
    <col min="3841" max="3841" width="4.85546875" style="1366" customWidth="1"/>
    <col min="3842" max="3842" width="58.85546875" style="1366" customWidth="1"/>
    <col min="3843" max="3843" width="16.7109375" style="1366" customWidth="1"/>
    <col min="3844" max="3844" width="17.42578125" style="1366" customWidth="1"/>
    <col min="3845" max="4096" width="9.140625" style="1366"/>
    <col min="4097" max="4097" width="4.85546875" style="1366" customWidth="1"/>
    <col min="4098" max="4098" width="58.85546875" style="1366" customWidth="1"/>
    <col min="4099" max="4099" width="16.7109375" style="1366" customWidth="1"/>
    <col min="4100" max="4100" width="17.42578125" style="1366" customWidth="1"/>
    <col min="4101" max="4352" width="9.140625" style="1366"/>
    <col min="4353" max="4353" width="4.85546875" style="1366" customWidth="1"/>
    <col min="4354" max="4354" width="58.85546875" style="1366" customWidth="1"/>
    <col min="4355" max="4355" width="16.7109375" style="1366" customWidth="1"/>
    <col min="4356" max="4356" width="17.42578125" style="1366" customWidth="1"/>
    <col min="4357" max="4608" width="9.140625" style="1366"/>
    <col min="4609" max="4609" width="4.85546875" style="1366" customWidth="1"/>
    <col min="4610" max="4610" width="58.85546875" style="1366" customWidth="1"/>
    <col min="4611" max="4611" width="16.7109375" style="1366" customWidth="1"/>
    <col min="4612" max="4612" width="17.42578125" style="1366" customWidth="1"/>
    <col min="4613" max="4864" width="9.140625" style="1366"/>
    <col min="4865" max="4865" width="4.85546875" style="1366" customWidth="1"/>
    <col min="4866" max="4866" width="58.85546875" style="1366" customWidth="1"/>
    <col min="4867" max="4867" width="16.7109375" style="1366" customWidth="1"/>
    <col min="4868" max="4868" width="17.42578125" style="1366" customWidth="1"/>
    <col min="4869" max="5120" width="9.140625" style="1366"/>
    <col min="5121" max="5121" width="4.85546875" style="1366" customWidth="1"/>
    <col min="5122" max="5122" width="58.85546875" style="1366" customWidth="1"/>
    <col min="5123" max="5123" width="16.7109375" style="1366" customWidth="1"/>
    <col min="5124" max="5124" width="17.42578125" style="1366" customWidth="1"/>
    <col min="5125" max="5376" width="9.140625" style="1366"/>
    <col min="5377" max="5377" width="4.85546875" style="1366" customWidth="1"/>
    <col min="5378" max="5378" width="58.85546875" style="1366" customWidth="1"/>
    <col min="5379" max="5379" width="16.7109375" style="1366" customWidth="1"/>
    <col min="5380" max="5380" width="17.42578125" style="1366" customWidth="1"/>
    <col min="5381" max="5632" width="9.140625" style="1366"/>
    <col min="5633" max="5633" width="4.85546875" style="1366" customWidth="1"/>
    <col min="5634" max="5634" width="58.85546875" style="1366" customWidth="1"/>
    <col min="5635" max="5635" width="16.7109375" style="1366" customWidth="1"/>
    <col min="5636" max="5636" width="17.42578125" style="1366" customWidth="1"/>
    <col min="5637" max="5888" width="9.140625" style="1366"/>
    <col min="5889" max="5889" width="4.85546875" style="1366" customWidth="1"/>
    <col min="5890" max="5890" width="58.85546875" style="1366" customWidth="1"/>
    <col min="5891" max="5891" width="16.7109375" style="1366" customWidth="1"/>
    <col min="5892" max="5892" width="17.42578125" style="1366" customWidth="1"/>
    <col min="5893" max="6144" width="9.140625" style="1366"/>
    <col min="6145" max="6145" width="4.85546875" style="1366" customWidth="1"/>
    <col min="6146" max="6146" width="58.85546875" style="1366" customWidth="1"/>
    <col min="6147" max="6147" width="16.7109375" style="1366" customWidth="1"/>
    <col min="6148" max="6148" width="17.42578125" style="1366" customWidth="1"/>
    <col min="6149" max="6400" width="9.140625" style="1366"/>
    <col min="6401" max="6401" width="4.85546875" style="1366" customWidth="1"/>
    <col min="6402" max="6402" width="58.85546875" style="1366" customWidth="1"/>
    <col min="6403" max="6403" width="16.7109375" style="1366" customWidth="1"/>
    <col min="6404" max="6404" width="17.42578125" style="1366" customWidth="1"/>
    <col min="6405" max="6656" width="9.140625" style="1366"/>
    <col min="6657" max="6657" width="4.85546875" style="1366" customWidth="1"/>
    <col min="6658" max="6658" width="58.85546875" style="1366" customWidth="1"/>
    <col min="6659" max="6659" width="16.7109375" style="1366" customWidth="1"/>
    <col min="6660" max="6660" width="17.42578125" style="1366" customWidth="1"/>
    <col min="6661" max="6912" width="9.140625" style="1366"/>
    <col min="6913" max="6913" width="4.85546875" style="1366" customWidth="1"/>
    <col min="6914" max="6914" width="58.85546875" style="1366" customWidth="1"/>
    <col min="6915" max="6915" width="16.7109375" style="1366" customWidth="1"/>
    <col min="6916" max="6916" width="17.42578125" style="1366" customWidth="1"/>
    <col min="6917" max="7168" width="9.140625" style="1366"/>
    <col min="7169" max="7169" width="4.85546875" style="1366" customWidth="1"/>
    <col min="7170" max="7170" width="58.85546875" style="1366" customWidth="1"/>
    <col min="7171" max="7171" width="16.7109375" style="1366" customWidth="1"/>
    <col min="7172" max="7172" width="17.42578125" style="1366" customWidth="1"/>
    <col min="7173" max="7424" width="9.140625" style="1366"/>
    <col min="7425" max="7425" width="4.85546875" style="1366" customWidth="1"/>
    <col min="7426" max="7426" width="58.85546875" style="1366" customWidth="1"/>
    <col min="7427" max="7427" width="16.7109375" style="1366" customWidth="1"/>
    <col min="7428" max="7428" width="17.42578125" style="1366" customWidth="1"/>
    <col min="7429" max="7680" width="9.140625" style="1366"/>
    <col min="7681" max="7681" width="4.85546875" style="1366" customWidth="1"/>
    <col min="7682" max="7682" width="58.85546875" style="1366" customWidth="1"/>
    <col min="7683" max="7683" width="16.7109375" style="1366" customWidth="1"/>
    <col min="7684" max="7684" width="17.42578125" style="1366" customWidth="1"/>
    <col min="7685" max="7936" width="9.140625" style="1366"/>
    <col min="7937" max="7937" width="4.85546875" style="1366" customWidth="1"/>
    <col min="7938" max="7938" width="58.85546875" style="1366" customWidth="1"/>
    <col min="7939" max="7939" width="16.7109375" style="1366" customWidth="1"/>
    <col min="7940" max="7940" width="17.42578125" style="1366" customWidth="1"/>
    <col min="7941" max="8192" width="9.140625" style="1366"/>
    <col min="8193" max="8193" width="4.85546875" style="1366" customWidth="1"/>
    <col min="8194" max="8194" width="58.85546875" style="1366" customWidth="1"/>
    <col min="8195" max="8195" width="16.7109375" style="1366" customWidth="1"/>
    <col min="8196" max="8196" width="17.42578125" style="1366" customWidth="1"/>
    <col min="8197" max="8448" width="9.140625" style="1366"/>
    <col min="8449" max="8449" width="4.85546875" style="1366" customWidth="1"/>
    <col min="8450" max="8450" width="58.85546875" style="1366" customWidth="1"/>
    <col min="8451" max="8451" width="16.7109375" style="1366" customWidth="1"/>
    <col min="8452" max="8452" width="17.42578125" style="1366" customWidth="1"/>
    <col min="8453" max="8704" width="9.140625" style="1366"/>
    <col min="8705" max="8705" width="4.85546875" style="1366" customWidth="1"/>
    <col min="8706" max="8706" width="58.85546875" style="1366" customWidth="1"/>
    <col min="8707" max="8707" width="16.7109375" style="1366" customWidth="1"/>
    <col min="8708" max="8708" width="17.42578125" style="1366" customWidth="1"/>
    <col min="8709" max="8960" width="9.140625" style="1366"/>
    <col min="8961" max="8961" width="4.85546875" style="1366" customWidth="1"/>
    <col min="8962" max="8962" width="58.85546875" style="1366" customWidth="1"/>
    <col min="8963" max="8963" width="16.7109375" style="1366" customWidth="1"/>
    <col min="8964" max="8964" width="17.42578125" style="1366" customWidth="1"/>
    <col min="8965" max="9216" width="9.140625" style="1366"/>
    <col min="9217" max="9217" width="4.85546875" style="1366" customWidth="1"/>
    <col min="9218" max="9218" width="58.85546875" style="1366" customWidth="1"/>
    <col min="9219" max="9219" width="16.7109375" style="1366" customWidth="1"/>
    <col min="9220" max="9220" width="17.42578125" style="1366" customWidth="1"/>
    <col min="9221" max="9472" width="9.140625" style="1366"/>
    <col min="9473" max="9473" width="4.85546875" style="1366" customWidth="1"/>
    <col min="9474" max="9474" width="58.85546875" style="1366" customWidth="1"/>
    <col min="9475" max="9475" width="16.7109375" style="1366" customWidth="1"/>
    <col min="9476" max="9476" width="17.42578125" style="1366" customWidth="1"/>
    <col min="9477" max="9728" width="9.140625" style="1366"/>
    <col min="9729" max="9729" width="4.85546875" style="1366" customWidth="1"/>
    <col min="9730" max="9730" width="58.85546875" style="1366" customWidth="1"/>
    <col min="9731" max="9731" width="16.7109375" style="1366" customWidth="1"/>
    <col min="9732" max="9732" width="17.42578125" style="1366" customWidth="1"/>
    <col min="9733" max="9984" width="9.140625" style="1366"/>
    <col min="9985" max="9985" width="4.85546875" style="1366" customWidth="1"/>
    <col min="9986" max="9986" width="58.85546875" style="1366" customWidth="1"/>
    <col min="9987" max="9987" width="16.7109375" style="1366" customWidth="1"/>
    <col min="9988" max="9988" width="17.42578125" style="1366" customWidth="1"/>
    <col min="9989" max="10240" width="9.140625" style="1366"/>
    <col min="10241" max="10241" width="4.85546875" style="1366" customWidth="1"/>
    <col min="10242" max="10242" width="58.85546875" style="1366" customWidth="1"/>
    <col min="10243" max="10243" width="16.7109375" style="1366" customWidth="1"/>
    <col min="10244" max="10244" width="17.42578125" style="1366" customWidth="1"/>
    <col min="10245" max="10496" width="9.140625" style="1366"/>
    <col min="10497" max="10497" width="4.85546875" style="1366" customWidth="1"/>
    <col min="10498" max="10498" width="58.85546875" style="1366" customWidth="1"/>
    <col min="10499" max="10499" width="16.7109375" style="1366" customWidth="1"/>
    <col min="10500" max="10500" width="17.42578125" style="1366" customWidth="1"/>
    <col min="10501" max="10752" width="9.140625" style="1366"/>
    <col min="10753" max="10753" width="4.85546875" style="1366" customWidth="1"/>
    <col min="10754" max="10754" width="58.85546875" style="1366" customWidth="1"/>
    <col min="10755" max="10755" width="16.7109375" style="1366" customWidth="1"/>
    <col min="10756" max="10756" width="17.42578125" style="1366" customWidth="1"/>
    <col min="10757" max="11008" width="9.140625" style="1366"/>
    <col min="11009" max="11009" width="4.85546875" style="1366" customWidth="1"/>
    <col min="11010" max="11010" width="58.85546875" style="1366" customWidth="1"/>
    <col min="11011" max="11011" width="16.7109375" style="1366" customWidth="1"/>
    <col min="11012" max="11012" width="17.42578125" style="1366" customWidth="1"/>
    <col min="11013" max="11264" width="9.140625" style="1366"/>
    <col min="11265" max="11265" width="4.85546875" style="1366" customWidth="1"/>
    <col min="11266" max="11266" width="58.85546875" style="1366" customWidth="1"/>
    <col min="11267" max="11267" width="16.7109375" style="1366" customWidth="1"/>
    <col min="11268" max="11268" width="17.42578125" style="1366" customWidth="1"/>
    <col min="11269" max="11520" width="9.140625" style="1366"/>
    <col min="11521" max="11521" width="4.85546875" style="1366" customWidth="1"/>
    <col min="11522" max="11522" width="58.85546875" style="1366" customWidth="1"/>
    <col min="11523" max="11523" width="16.7109375" style="1366" customWidth="1"/>
    <col min="11524" max="11524" width="17.42578125" style="1366" customWidth="1"/>
    <col min="11525" max="11776" width="9.140625" style="1366"/>
    <col min="11777" max="11777" width="4.85546875" style="1366" customWidth="1"/>
    <col min="11778" max="11778" width="58.85546875" style="1366" customWidth="1"/>
    <col min="11779" max="11779" width="16.7109375" style="1366" customWidth="1"/>
    <col min="11780" max="11780" width="17.42578125" style="1366" customWidth="1"/>
    <col min="11781" max="12032" width="9.140625" style="1366"/>
    <col min="12033" max="12033" width="4.85546875" style="1366" customWidth="1"/>
    <col min="12034" max="12034" width="58.85546875" style="1366" customWidth="1"/>
    <col min="12035" max="12035" width="16.7109375" style="1366" customWidth="1"/>
    <col min="12036" max="12036" width="17.42578125" style="1366" customWidth="1"/>
    <col min="12037" max="12288" width="9.140625" style="1366"/>
    <col min="12289" max="12289" width="4.85546875" style="1366" customWidth="1"/>
    <col min="12290" max="12290" width="58.85546875" style="1366" customWidth="1"/>
    <col min="12291" max="12291" width="16.7109375" style="1366" customWidth="1"/>
    <col min="12292" max="12292" width="17.42578125" style="1366" customWidth="1"/>
    <col min="12293" max="12544" width="9.140625" style="1366"/>
    <col min="12545" max="12545" width="4.85546875" style="1366" customWidth="1"/>
    <col min="12546" max="12546" width="58.85546875" style="1366" customWidth="1"/>
    <col min="12547" max="12547" width="16.7109375" style="1366" customWidth="1"/>
    <col min="12548" max="12548" width="17.42578125" style="1366" customWidth="1"/>
    <col min="12549" max="12800" width="9.140625" style="1366"/>
    <col min="12801" max="12801" width="4.85546875" style="1366" customWidth="1"/>
    <col min="12802" max="12802" width="58.85546875" style="1366" customWidth="1"/>
    <col min="12803" max="12803" width="16.7109375" style="1366" customWidth="1"/>
    <col min="12804" max="12804" width="17.42578125" style="1366" customWidth="1"/>
    <col min="12805" max="13056" width="9.140625" style="1366"/>
    <col min="13057" max="13057" width="4.85546875" style="1366" customWidth="1"/>
    <col min="13058" max="13058" width="58.85546875" style="1366" customWidth="1"/>
    <col min="13059" max="13059" width="16.7109375" style="1366" customWidth="1"/>
    <col min="13060" max="13060" width="17.42578125" style="1366" customWidth="1"/>
    <col min="13061" max="13312" width="9.140625" style="1366"/>
    <col min="13313" max="13313" width="4.85546875" style="1366" customWidth="1"/>
    <col min="13314" max="13314" width="58.85546875" style="1366" customWidth="1"/>
    <col min="13315" max="13315" width="16.7109375" style="1366" customWidth="1"/>
    <col min="13316" max="13316" width="17.42578125" style="1366" customWidth="1"/>
    <col min="13317" max="13568" width="9.140625" style="1366"/>
    <col min="13569" max="13569" width="4.85546875" style="1366" customWidth="1"/>
    <col min="13570" max="13570" width="58.85546875" style="1366" customWidth="1"/>
    <col min="13571" max="13571" width="16.7109375" style="1366" customWidth="1"/>
    <col min="13572" max="13572" width="17.42578125" style="1366" customWidth="1"/>
    <col min="13573" max="13824" width="9.140625" style="1366"/>
    <col min="13825" max="13825" width="4.85546875" style="1366" customWidth="1"/>
    <col min="13826" max="13826" width="58.85546875" style="1366" customWidth="1"/>
    <col min="13827" max="13827" width="16.7109375" style="1366" customWidth="1"/>
    <col min="13828" max="13828" width="17.42578125" style="1366" customWidth="1"/>
    <col min="13829" max="14080" width="9.140625" style="1366"/>
    <col min="14081" max="14081" width="4.85546875" style="1366" customWidth="1"/>
    <col min="14082" max="14082" width="58.85546875" style="1366" customWidth="1"/>
    <col min="14083" max="14083" width="16.7109375" style="1366" customWidth="1"/>
    <col min="14084" max="14084" width="17.42578125" style="1366" customWidth="1"/>
    <col min="14085" max="14336" width="9.140625" style="1366"/>
    <col min="14337" max="14337" width="4.85546875" style="1366" customWidth="1"/>
    <col min="14338" max="14338" width="58.85546875" style="1366" customWidth="1"/>
    <col min="14339" max="14339" width="16.7109375" style="1366" customWidth="1"/>
    <col min="14340" max="14340" width="17.42578125" style="1366" customWidth="1"/>
    <col min="14341" max="14592" width="9.140625" style="1366"/>
    <col min="14593" max="14593" width="4.85546875" style="1366" customWidth="1"/>
    <col min="14594" max="14594" width="58.85546875" style="1366" customWidth="1"/>
    <col min="14595" max="14595" width="16.7109375" style="1366" customWidth="1"/>
    <col min="14596" max="14596" width="17.42578125" style="1366" customWidth="1"/>
    <col min="14597" max="14848" width="9.140625" style="1366"/>
    <col min="14849" max="14849" width="4.85546875" style="1366" customWidth="1"/>
    <col min="14850" max="14850" width="58.85546875" style="1366" customWidth="1"/>
    <col min="14851" max="14851" width="16.7109375" style="1366" customWidth="1"/>
    <col min="14852" max="14852" width="17.42578125" style="1366" customWidth="1"/>
    <col min="14853" max="15104" width="9.140625" style="1366"/>
    <col min="15105" max="15105" width="4.85546875" style="1366" customWidth="1"/>
    <col min="15106" max="15106" width="58.85546875" style="1366" customWidth="1"/>
    <col min="15107" max="15107" width="16.7109375" style="1366" customWidth="1"/>
    <col min="15108" max="15108" width="17.42578125" style="1366" customWidth="1"/>
    <col min="15109" max="15360" width="9.140625" style="1366"/>
    <col min="15361" max="15361" width="4.85546875" style="1366" customWidth="1"/>
    <col min="15362" max="15362" width="58.85546875" style="1366" customWidth="1"/>
    <col min="15363" max="15363" width="16.7109375" style="1366" customWidth="1"/>
    <col min="15364" max="15364" width="17.42578125" style="1366" customWidth="1"/>
    <col min="15365" max="15616" width="9.140625" style="1366"/>
    <col min="15617" max="15617" width="4.85546875" style="1366" customWidth="1"/>
    <col min="15618" max="15618" width="58.85546875" style="1366" customWidth="1"/>
    <col min="15619" max="15619" width="16.7109375" style="1366" customWidth="1"/>
    <col min="15620" max="15620" width="17.42578125" style="1366" customWidth="1"/>
    <col min="15621" max="15872" width="9.140625" style="1366"/>
    <col min="15873" max="15873" width="4.85546875" style="1366" customWidth="1"/>
    <col min="15874" max="15874" width="58.85546875" style="1366" customWidth="1"/>
    <col min="15875" max="15875" width="16.7109375" style="1366" customWidth="1"/>
    <col min="15876" max="15876" width="17.42578125" style="1366" customWidth="1"/>
    <col min="15877" max="16128" width="9.140625" style="1366"/>
    <col min="16129" max="16129" width="4.85546875" style="1366" customWidth="1"/>
    <col min="16130" max="16130" width="58.85546875" style="1366" customWidth="1"/>
    <col min="16131" max="16131" width="16.7109375" style="1366" customWidth="1"/>
    <col min="16132" max="16132" width="17.42578125" style="1366" customWidth="1"/>
    <col min="16133" max="16384" width="9.140625" style="1366"/>
  </cols>
  <sheetData>
    <row r="1" spans="1:4" ht="33" customHeight="1">
      <c r="A1" s="1837" t="s">
        <v>1097</v>
      </c>
      <c r="B1" s="1837"/>
      <c r="C1" s="1837"/>
      <c r="D1" s="1837"/>
    </row>
    <row r="2" spans="1:4" ht="15.95" customHeight="1" thickBot="1">
      <c r="A2" s="1367"/>
      <c r="B2" s="1367"/>
      <c r="C2" s="1846" t="s">
        <v>687</v>
      </c>
      <c r="D2" s="1846"/>
    </row>
    <row r="3" spans="1:4" ht="26.25" customHeight="1" thickBot="1">
      <c r="A3" s="1387" t="s">
        <v>1090</v>
      </c>
      <c r="B3" s="1388" t="s">
        <v>1098</v>
      </c>
      <c r="C3" s="1389" t="s">
        <v>690</v>
      </c>
      <c r="D3" s="1390" t="s">
        <v>691</v>
      </c>
    </row>
    <row r="4" spans="1:4" ht="15.75" thickBot="1">
      <c r="A4" s="1391">
        <v>1</v>
      </c>
      <c r="B4" s="1392">
        <v>2</v>
      </c>
      <c r="C4" s="1393">
        <v>3</v>
      </c>
      <c r="D4" s="1394">
        <v>4</v>
      </c>
    </row>
    <row r="5" spans="1:4">
      <c r="A5" s="1395" t="s">
        <v>693</v>
      </c>
      <c r="B5" s="1396" t="s">
        <v>1099</v>
      </c>
      <c r="C5" s="1397">
        <f>'1.1 Összesítő'!C30</f>
        <v>72153000</v>
      </c>
      <c r="D5" s="1398"/>
    </row>
    <row r="6" spans="1:4" ht="24.75">
      <c r="A6" s="1399" t="s">
        <v>707</v>
      </c>
      <c r="B6" s="1400" t="s">
        <v>1100</v>
      </c>
      <c r="C6" s="1401"/>
      <c r="D6" s="1402"/>
    </row>
    <row r="7" spans="1:4">
      <c r="A7" s="1399" t="s">
        <v>721</v>
      </c>
      <c r="B7" s="1403" t="s">
        <v>1101</v>
      </c>
      <c r="C7" s="1401"/>
      <c r="D7" s="1402"/>
    </row>
    <row r="8" spans="1:4" ht="24.75">
      <c r="A8" s="1399" t="s">
        <v>897</v>
      </c>
      <c r="B8" s="1403" t="s">
        <v>1102</v>
      </c>
      <c r="C8" s="1401">
        <f>'1.1 Összesítő'!C50-31000000</f>
        <v>4000000</v>
      </c>
      <c r="D8" s="1402"/>
    </row>
    <row r="9" spans="1:4">
      <c r="A9" s="1404" t="s">
        <v>750</v>
      </c>
      <c r="B9" s="1403" t="s">
        <v>1103</v>
      </c>
      <c r="C9" s="1405">
        <f>'1.1 Összesítő'!C36</f>
        <v>692000</v>
      </c>
      <c r="D9" s="1402"/>
    </row>
    <row r="10" spans="1:4" ht="15.75" thickBot="1">
      <c r="A10" s="1399" t="s">
        <v>772</v>
      </c>
      <c r="B10" s="1406" t="s">
        <v>1104</v>
      </c>
      <c r="C10" s="1401"/>
      <c r="D10" s="1407"/>
    </row>
    <row r="11" spans="1:4" ht="15.75" thickBot="1">
      <c r="A11" s="1847" t="s">
        <v>1105</v>
      </c>
      <c r="B11" s="1848"/>
      <c r="C11" s="1408">
        <f>SUM(C5:C10)</f>
        <v>76845000</v>
      </c>
      <c r="D11" s="1409">
        <f>SUM(D5:D10)</f>
        <v>0</v>
      </c>
    </row>
    <row r="12" spans="1:4" ht="23.25" customHeight="1">
      <c r="A12" s="1849"/>
      <c r="B12" s="1849"/>
      <c r="C12" s="1849"/>
    </row>
  </sheetData>
  <sheetProtection password="DCF7" sheet="1" objects="1" scenarios="1" selectLockedCells="1" selectUnlockedCells="1"/>
  <mergeCells count="4">
    <mergeCell ref="A1:D1"/>
    <mergeCell ref="C2:D2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>
    <oddHeader>&amp;R&amp;"Times New Roman CE,Félkövér dőlt" 4. melléklet a 3/2019. (II.25.)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7030A0"/>
  </sheetPr>
  <dimension ref="A1:F30"/>
  <sheetViews>
    <sheetView view="pageLayout" zoomScaleNormal="100" zoomScaleSheetLayoutView="100" workbookViewId="0">
      <selection sqref="A1:F1"/>
    </sheetView>
  </sheetViews>
  <sheetFormatPr defaultRowHeight="12.75"/>
  <cols>
    <col min="1" max="1" width="24.28515625" style="1451" customWidth="1"/>
    <col min="2" max="2" width="13.42578125" style="1410" customWidth="1"/>
    <col min="3" max="3" width="14" style="1410" customWidth="1"/>
    <col min="4" max="4" width="15.42578125" style="1410" customWidth="1"/>
    <col min="5" max="5" width="14.28515625" style="1410" customWidth="1"/>
    <col min="6" max="6" width="16.140625" style="1299" customWidth="1"/>
    <col min="7" max="8" width="11" style="1410" customWidth="1"/>
    <col min="9" max="9" width="11.85546875" style="1410" customWidth="1"/>
    <col min="10" max="256" width="9.140625" style="1410"/>
    <col min="257" max="257" width="24.28515625" style="1410" customWidth="1"/>
    <col min="258" max="258" width="13.42578125" style="1410" customWidth="1"/>
    <col min="259" max="259" width="14" style="1410" customWidth="1"/>
    <col min="260" max="260" width="15.42578125" style="1410" customWidth="1"/>
    <col min="261" max="261" width="14.28515625" style="1410" customWidth="1"/>
    <col min="262" max="262" width="16.140625" style="1410" customWidth="1"/>
    <col min="263" max="264" width="11" style="1410" customWidth="1"/>
    <col min="265" max="265" width="11.85546875" style="1410" customWidth="1"/>
    <col min="266" max="512" width="9.140625" style="1410"/>
    <col min="513" max="513" width="24.28515625" style="1410" customWidth="1"/>
    <col min="514" max="514" width="13.42578125" style="1410" customWidth="1"/>
    <col min="515" max="515" width="14" style="1410" customWidth="1"/>
    <col min="516" max="516" width="15.42578125" style="1410" customWidth="1"/>
    <col min="517" max="517" width="14.28515625" style="1410" customWidth="1"/>
    <col min="518" max="518" width="16.140625" style="1410" customWidth="1"/>
    <col min="519" max="520" width="11" style="1410" customWidth="1"/>
    <col min="521" max="521" width="11.85546875" style="1410" customWidth="1"/>
    <col min="522" max="768" width="9.140625" style="1410"/>
    <col min="769" max="769" width="24.28515625" style="1410" customWidth="1"/>
    <col min="770" max="770" width="13.42578125" style="1410" customWidth="1"/>
    <col min="771" max="771" width="14" style="1410" customWidth="1"/>
    <col min="772" max="772" width="15.42578125" style="1410" customWidth="1"/>
    <col min="773" max="773" width="14.28515625" style="1410" customWidth="1"/>
    <col min="774" max="774" width="16.140625" style="1410" customWidth="1"/>
    <col min="775" max="776" width="11" style="1410" customWidth="1"/>
    <col min="777" max="777" width="11.85546875" style="1410" customWidth="1"/>
    <col min="778" max="1024" width="9.140625" style="1410"/>
    <col min="1025" max="1025" width="24.28515625" style="1410" customWidth="1"/>
    <col min="1026" max="1026" width="13.42578125" style="1410" customWidth="1"/>
    <col min="1027" max="1027" width="14" style="1410" customWidth="1"/>
    <col min="1028" max="1028" width="15.42578125" style="1410" customWidth="1"/>
    <col min="1029" max="1029" width="14.28515625" style="1410" customWidth="1"/>
    <col min="1030" max="1030" width="16.140625" style="1410" customWidth="1"/>
    <col min="1031" max="1032" width="11" style="1410" customWidth="1"/>
    <col min="1033" max="1033" width="11.85546875" style="1410" customWidth="1"/>
    <col min="1034" max="1280" width="9.140625" style="1410"/>
    <col min="1281" max="1281" width="24.28515625" style="1410" customWidth="1"/>
    <col min="1282" max="1282" width="13.42578125" style="1410" customWidth="1"/>
    <col min="1283" max="1283" width="14" style="1410" customWidth="1"/>
    <col min="1284" max="1284" width="15.42578125" style="1410" customWidth="1"/>
    <col min="1285" max="1285" width="14.28515625" style="1410" customWidth="1"/>
    <col min="1286" max="1286" width="16.140625" style="1410" customWidth="1"/>
    <col min="1287" max="1288" width="11" style="1410" customWidth="1"/>
    <col min="1289" max="1289" width="11.85546875" style="1410" customWidth="1"/>
    <col min="1290" max="1536" width="9.140625" style="1410"/>
    <col min="1537" max="1537" width="24.28515625" style="1410" customWidth="1"/>
    <col min="1538" max="1538" width="13.42578125" style="1410" customWidth="1"/>
    <col min="1539" max="1539" width="14" style="1410" customWidth="1"/>
    <col min="1540" max="1540" width="15.42578125" style="1410" customWidth="1"/>
    <col min="1541" max="1541" width="14.28515625" style="1410" customWidth="1"/>
    <col min="1542" max="1542" width="16.140625" style="1410" customWidth="1"/>
    <col min="1543" max="1544" width="11" style="1410" customWidth="1"/>
    <col min="1545" max="1545" width="11.85546875" style="1410" customWidth="1"/>
    <col min="1546" max="1792" width="9.140625" style="1410"/>
    <col min="1793" max="1793" width="24.28515625" style="1410" customWidth="1"/>
    <col min="1794" max="1794" width="13.42578125" style="1410" customWidth="1"/>
    <col min="1795" max="1795" width="14" style="1410" customWidth="1"/>
    <col min="1796" max="1796" width="15.42578125" style="1410" customWidth="1"/>
    <col min="1797" max="1797" width="14.28515625" style="1410" customWidth="1"/>
    <col min="1798" max="1798" width="16.140625" style="1410" customWidth="1"/>
    <col min="1799" max="1800" width="11" style="1410" customWidth="1"/>
    <col min="1801" max="1801" width="11.85546875" style="1410" customWidth="1"/>
    <col min="1802" max="2048" width="9.140625" style="1410"/>
    <col min="2049" max="2049" width="24.28515625" style="1410" customWidth="1"/>
    <col min="2050" max="2050" width="13.42578125" style="1410" customWidth="1"/>
    <col min="2051" max="2051" width="14" style="1410" customWidth="1"/>
    <col min="2052" max="2052" width="15.42578125" style="1410" customWidth="1"/>
    <col min="2053" max="2053" width="14.28515625" style="1410" customWidth="1"/>
    <col min="2054" max="2054" width="16.140625" style="1410" customWidth="1"/>
    <col min="2055" max="2056" width="11" style="1410" customWidth="1"/>
    <col min="2057" max="2057" width="11.85546875" style="1410" customWidth="1"/>
    <col min="2058" max="2304" width="9.140625" style="1410"/>
    <col min="2305" max="2305" width="24.28515625" style="1410" customWidth="1"/>
    <col min="2306" max="2306" width="13.42578125" style="1410" customWidth="1"/>
    <col min="2307" max="2307" width="14" style="1410" customWidth="1"/>
    <col min="2308" max="2308" width="15.42578125" style="1410" customWidth="1"/>
    <col min="2309" max="2309" width="14.28515625" style="1410" customWidth="1"/>
    <col min="2310" max="2310" width="16.140625" style="1410" customWidth="1"/>
    <col min="2311" max="2312" width="11" style="1410" customWidth="1"/>
    <col min="2313" max="2313" width="11.85546875" style="1410" customWidth="1"/>
    <col min="2314" max="2560" width="9.140625" style="1410"/>
    <col min="2561" max="2561" width="24.28515625" style="1410" customWidth="1"/>
    <col min="2562" max="2562" width="13.42578125" style="1410" customWidth="1"/>
    <col min="2563" max="2563" width="14" style="1410" customWidth="1"/>
    <col min="2564" max="2564" width="15.42578125" style="1410" customWidth="1"/>
    <col min="2565" max="2565" width="14.28515625" style="1410" customWidth="1"/>
    <col min="2566" max="2566" width="16.140625" style="1410" customWidth="1"/>
    <col min="2567" max="2568" width="11" style="1410" customWidth="1"/>
    <col min="2569" max="2569" width="11.85546875" style="1410" customWidth="1"/>
    <col min="2570" max="2816" width="9.140625" style="1410"/>
    <col min="2817" max="2817" width="24.28515625" style="1410" customWidth="1"/>
    <col min="2818" max="2818" width="13.42578125" style="1410" customWidth="1"/>
    <col min="2819" max="2819" width="14" style="1410" customWidth="1"/>
    <col min="2820" max="2820" width="15.42578125" style="1410" customWidth="1"/>
    <col min="2821" max="2821" width="14.28515625" style="1410" customWidth="1"/>
    <col min="2822" max="2822" width="16.140625" style="1410" customWidth="1"/>
    <col min="2823" max="2824" width="11" style="1410" customWidth="1"/>
    <col min="2825" max="2825" width="11.85546875" style="1410" customWidth="1"/>
    <col min="2826" max="3072" width="9.140625" style="1410"/>
    <col min="3073" max="3073" width="24.28515625" style="1410" customWidth="1"/>
    <col min="3074" max="3074" width="13.42578125" style="1410" customWidth="1"/>
    <col min="3075" max="3075" width="14" style="1410" customWidth="1"/>
    <col min="3076" max="3076" width="15.42578125" style="1410" customWidth="1"/>
    <col min="3077" max="3077" width="14.28515625" style="1410" customWidth="1"/>
    <col min="3078" max="3078" width="16.140625" style="1410" customWidth="1"/>
    <col min="3079" max="3080" width="11" style="1410" customWidth="1"/>
    <col min="3081" max="3081" width="11.85546875" style="1410" customWidth="1"/>
    <col min="3082" max="3328" width="9.140625" style="1410"/>
    <col min="3329" max="3329" width="24.28515625" style="1410" customWidth="1"/>
    <col min="3330" max="3330" width="13.42578125" style="1410" customWidth="1"/>
    <col min="3331" max="3331" width="14" style="1410" customWidth="1"/>
    <col min="3332" max="3332" width="15.42578125" style="1410" customWidth="1"/>
    <col min="3333" max="3333" width="14.28515625" style="1410" customWidth="1"/>
    <col min="3334" max="3334" width="16.140625" style="1410" customWidth="1"/>
    <col min="3335" max="3336" width="11" style="1410" customWidth="1"/>
    <col min="3337" max="3337" width="11.85546875" style="1410" customWidth="1"/>
    <col min="3338" max="3584" width="9.140625" style="1410"/>
    <col min="3585" max="3585" width="24.28515625" style="1410" customWidth="1"/>
    <col min="3586" max="3586" width="13.42578125" style="1410" customWidth="1"/>
    <col min="3587" max="3587" width="14" style="1410" customWidth="1"/>
    <col min="3588" max="3588" width="15.42578125" style="1410" customWidth="1"/>
    <col min="3589" max="3589" width="14.28515625" style="1410" customWidth="1"/>
    <col min="3590" max="3590" width="16.140625" style="1410" customWidth="1"/>
    <col min="3591" max="3592" width="11" style="1410" customWidth="1"/>
    <col min="3593" max="3593" width="11.85546875" style="1410" customWidth="1"/>
    <col min="3594" max="3840" width="9.140625" style="1410"/>
    <col min="3841" max="3841" width="24.28515625" style="1410" customWidth="1"/>
    <col min="3842" max="3842" width="13.42578125" style="1410" customWidth="1"/>
    <col min="3843" max="3843" width="14" style="1410" customWidth="1"/>
    <col min="3844" max="3844" width="15.42578125" style="1410" customWidth="1"/>
    <col min="3845" max="3845" width="14.28515625" style="1410" customWidth="1"/>
    <col min="3846" max="3846" width="16.140625" style="1410" customWidth="1"/>
    <col min="3847" max="3848" width="11" style="1410" customWidth="1"/>
    <col min="3849" max="3849" width="11.85546875" style="1410" customWidth="1"/>
    <col min="3850" max="4096" width="9.140625" style="1410"/>
    <col min="4097" max="4097" width="24.28515625" style="1410" customWidth="1"/>
    <col min="4098" max="4098" width="13.42578125" style="1410" customWidth="1"/>
    <col min="4099" max="4099" width="14" style="1410" customWidth="1"/>
    <col min="4100" max="4100" width="15.42578125" style="1410" customWidth="1"/>
    <col min="4101" max="4101" width="14.28515625" style="1410" customWidth="1"/>
    <col min="4102" max="4102" width="16.140625" style="1410" customWidth="1"/>
    <col min="4103" max="4104" width="11" style="1410" customWidth="1"/>
    <col min="4105" max="4105" width="11.85546875" style="1410" customWidth="1"/>
    <col min="4106" max="4352" width="9.140625" style="1410"/>
    <col min="4353" max="4353" width="24.28515625" style="1410" customWidth="1"/>
    <col min="4354" max="4354" width="13.42578125" style="1410" customWidth="1"/>
    <col min="4355" max="4355" width="14" style="1410" customWidth="1"/>
    <col min="4356" max="4356" width="15.42578125" style="1410" customWidth="1"/>
    <col min="4357" max="4357" width="14.28515625" style="1410" customWidth="1"/>
    <col min="4358" max="4358" width="16.140625" style="1410" customWidth="1"/>
    <col min="4359" max="4360" width="11" style="1410" customWidth="1"/>
    <col min="4361" max="4361" width="11.85546875" style="1410" customWidth="1"/>
    <col min="4362" max="4608" width="9.140625" style="1410"/>
    <col min="4609" max="4609" width="24.28515625" style="1410" customWidth="1"/>
    <col min="4610" max="4610" width="13.42578125" style="1410" customWidth="1"/>
    <col min="4611" max="4611" width="14" style="1410" customWidth="1"/>
    <col min="4612" max="4612" width="15.42578125" style="1410" customWidth="1"/>
    <col min="4613" max="4613" width="14.28515625" style="1410" customWidth="1"/>
    <col min="4614" max="4614" width="16.140625" style="1410" customWidth="1"/>
    <col min="4615" max="4616" width="11" style="1410" customWidth="1"/>
    <col min="4617" max="4617" width="11.85546875" style="1410" customWidth="1"/>
    <col min="4618" max="4864" width="9.140625" style="1410"/>
    <col min="4865" max="4865" width="24.28515625" style="1410" customWidth="1"/>
    <col min="4866" max="4866" width="13.42578125" style="1410" customWidth="1"/>
    <col min="4867" max="4867" width="14" style="1410" customWidth="1"/>
    <col min="4868" max="4868" width="15.42578125" style="1410" customWidth="1"/>
    <col min="4869" max="4869" width="14.28515625" style="1410" customWidth="1"/>
    <col min="4870" max="4870" width="16.140625" style="1410" customWidth="1"/>
    <col min="4871" max="4872" width="11" style="1410" customWidth="1"/>
    <col min="4873" max="4873" width="11.85546875" style="1410" customWidth="1"/>
    <col min="4874" max="5120" width="9.140625" style="1410"/>
    <col min="5121" max="5121" width="24.28515625" style="1410" customWidth="1"/>
    <col min="5122" max="5122" width="13.42578125" style="1410" customWidth="1"/>
    <col min="5123" max="5123" width="14" style="1410" customWidth="1"/>
    <col min="5124" max="5124" width="15.42578125" style="1410" customWidth="1"/>
    <col min="5125" max="5125" width="14.28515625" style="1410" customWidth="1"/>
    <col min="5126" max="5126" width="16.140625" style="1410" customWidth="1"/>
    <col min="5127" max="5128" width="11" style="1410" customWidth="1"/>
    <col min="5129" max="5129" width="11.85546875" style="1410" customWidth="1"/>
    <col min="5130" max="5376" width="9.140625" style="1410"/>
    <col min="5377" max="5377" width="24.28515625" style="1410" customWidth="1"/>
    <col min="5378" max="5378" width="13.42578125" style="1410" customWidth="1"/>
    <col min="5379" max="5379" width="14" style="1410" customWidth="1"/>
    <col min="5380" max="5380" width="15.42578125" style="1410" customWidth="1"/>
    <col min="5381" max="5381" width="14.28515625" style="1410" customWidth="1"/>
    <col min="5382" max="5382" width="16.140625" style="1410" customWidth="1"/>
    <col min="5383" max="5384" width="11" style="1410" customWidth="1"/>
    <col min="5385" max="5385" width="11.85546875" style="1410" customWidth="1"/>
    <col min="5386" max="5632" width="9.140625" style="1410"/>
    <col min="5633" max="5633" width="24.28515625" style="1410" customWidth="1"/>
    <col min="5634" max="5634" width="13.42578125" style="1410" customWidth="1"/>
    <col min="5635" max="5635" width="14" style="1410" customWidth="1"/>
    <col min="5636" max="5636" width="15.42578125" style="1410" customWidth="1"/>
    <col min="5637" max="5637" width="14.28515625" style="1410" customWidth="1"/>
    <col min="5638" max="5638" width="16.140625" style="1410" customWidth="1"/>
    <col min="5639" max="5640" width="11" style="1410" customWidth="1"/>
    <col min="5641" max="5641" width="11.85546875" style="1410" customWidth="1"/>
    <col min="5642" max="5888" width="9.140625" style="1410"/>
    <col min="5889" max="5889" width="24.28515625" style="1410" customWidth="1"/>
    <col min="5890" max="5890" width="13.42578125" style="1410" customWidth="1"/>
    <col min="5891" max="5891" width="14" style="1410" customWidth="1"/>
    <col min="5892" max="5892" width="15.42578125" style="1410" customWidth="1"/>
    <col min="5893" max="5893" width="14.28515625" style="1410" customWidth="1"/>
    <col min="5894" max="5894" width="16.140625" style="1410" customWidth="1"/>
    <col min="5895" max="5896" width="11" style="1410" customWidth="1"/>
    <col min="5897" max="5897" width="11.85546875" style="1410" customWidth="1"/>
    <col min="5898" max="6144" width="9.140625" style="1410"/>
    <col min="6145" max="6145" width="24.28515625" style="1410" customWidth="1"/>
    <col min="6146" max="6146" width="13.42578125" style="1410" customWidth="1"/>
    <col min="6147" max="6147" width="14" style="1410" customWidth="1"/>
    <col min="6148" max="6148" width="15.42578125" style="1410" customWidth="1"/>
    <col min="6149" max="6149" width="14.28515625" style="1410" customWidth="1"/>
    <col min="6150" max="6150" width="16.140625" style="1410" customWidth="1"/>
    <col min="6151" max="6152" width="11" style="1410" customWidth="1"/>
    <col min="6153" max="6153" width="11.85546875" style="1410" customWidth="1"/>
    <col min="6154" max="6400" width="9.140625" style="1410"/>
    <col min="6401" max="6401" width="24.28515625" style="1410" customWidth="1"/>
    <col min="6402" max="6402" width="13.42578125" style="1410" customWidth="1"/>
    <col min="6403" max="6403" width="14" style="1410" customWidth="1"/>
    <col min="6404" max="6404" width="15.42578125" style="1410" customWidth="1"/>
    <col min="6405" max="6405" width="14.28515625" style="1410" customWidth="1"/>
    <col min="6406" max="6406" width="16.140625" style="1410" customWidth="1"/>
    <col min="6407" max="6408" width="11" style="1410" customWidth="1"/>
    <col min="6409" max="6409" width="11.85546875" style="1410" customWidth="1"/>
    <col min="6410" max="6656" width="9.140625" style="1410"/>
    <col min="6657" max="6657" width="24.28515625" style="1410" customWidth="1"/>
    <col min="6658" max="6658" width="13.42578125" style="1410" customWidth="1"/>
    <col min="6659" max="6659" width="14" style="1410" customWidth="1"/>
    <col min="6660" max="6660" width="15.42578125" style="1410" customWidth="1"/>
    <col min="6661" max="6661" width="14.28515625" style="1410" customWidth="1"/>
    <col min="6662" max="6662" width="16.140625" style="1410" customWidth="1"/>
    <col min="6663" max="6664" width="11" style="1410" customWidth="1"/>
    <col min="6665" max="6665" width="11.85546875" style="1410" customWidth="1"/>
    <col min="6666" max="6912" width="9.140625" style="1410"/>
    <col min="6913" max="6913" width="24.28515625" style="1410" customWidth="1"/>
    <col min="6914" max="6914" width="13.42578125" style="1410" customWidth="1"/>
    <col min="6915" max="6915" width="14" style="1410" customWidth="1"/>
    <col min="6916" max="6916" width="15.42578125" style="1410" customWidth="1"/>
    <col min="6917" max="6917" width="14.28515625" style="1410" customWidth="1"/>
    <col min="6918" max="6918" width="16.140625" style="1410" customWidth="1"/>
    <col min="6919" max="6920" width="11" style="1410" customWidth="1"/>
    <col min="6921" max="6921" width="11.85546875" style="1410" customWidth="1"/>
    <col min="6922" max="7168" width="9.140625" style="1410"/>
    <col min="7169" max="7169" width="24.28515625" style="1410" customWidth="1"/>
    <col min="7170" max="7170" width="13.42578125" style="1410" customWidth="1"/>
    <col min="7171" max="7171" width="14" style="1410" customWidth="1"/>
    <col min="7172" max="7172" width="15.42578125" style="1410" customWidth="1"/>
    <col min="7173" max="7173" width="14.28515625" style="1410" customWidth="1"/>
    <col min="7174" max="7174" width="16.140625" style="1410" customWidth="1"/>
    <col min="7175" max="7176" width="11" style="1410" customWidth="1"/>
    <col min="7177" max="7177" width="11.85546875" style="1410" customWidth="1"/>
    <col min="7178" max="7424" width="9.140625" style="1410"/>
    <col min="7425" max="7425" width="24.28515625" style="1410" customWidth="1"/>
    <col min="7426" max="7426" width="13.42578125" style="1410" customWidth="1"/>
    <col min="7427" max="7427" width="14" style="1410" customWidth="1"/>
    <col min="7428" max="7428" width="15.42578125" style="1410" customWidth="1"/>
    <col min="7429" max="7429" width="14.28515625" style="1410" customWidth="1"/>
    <col min="7430" max="7430" width="16.140625" style="1410" customWidth="1"/>
    <col min="7431" max="7432" width="11" style="1410" customWidth="1"/>
    <col min="7433" max="7433" width="11.85546875" style="1410" customWidth="1"/>
    <col min="7434" max="7680" width="9.140625" style="1410"/>
    <col min="7681" max="7681" width="24.28515625" style="1410" customWidth="1"/>
    <col min="7682" max="7682" width="13.42578125" style="1410" customWidth="1"/>
    <col min="7683" max="7683" width="14" style="1410" customWidth="1"/>
    <col min="7684" max="7684" width="15.42578125" style="1410" customWidth="1"/>
    <col min="7685" max="7685" width="14.28515625" style="1410" customWidth="1"/>
    <col min="7686" max="7686" width="16.140625" style="1410" customWidth="1"/>
    <col min="7687" max="7688" width="11" style="1410" customWidth="1"/>
    <col min="7689" max="7689" width="11.85546875" style="1410" customWidth="1"/>
    <col min="7690" max="7936" width="9.140625" style="1410"/>
    <col min="7937" max="7937" width="24.28515625" style="1410" customWidth="1"/>
    <col min="7938" max="7938" width="13.42578125" style="1410" customWidth="1"/>
    <col min="7939" max="7939" width="14" style="1410" customWidth="1"/>
    <col min="7940" max="7940" width="15.42578125" style="1410" customWidth="1"/>
    <col min="7941" max="7941" width="14.28515625" style="1410" customWidth="1"/>
    <col min="7942" max="7942" width="16.140625" style="1410" customWidth="1"/>
    <col min="7943" max="7944" width="11" style="1410" customWidth="1"/>
    <col min="7945" max="7945" width="11.85546875" style="1410" customWidth="1"/>
    <col min="7946" max="8192" width="9.140625" style="1410"/>
    <col min="8193" max="8193" width="24.28515625" style="1410" customWidth="1"/>
    <col min="8194" max="8194" width="13.42578125" style="1410" customWidth="1"/>
    <col min="8195" max="8195" width="14" style="1410" customWidth="1"/>
    <col min="8196" max="8196" width="15.42578125" style="1410" customWidth="1"/>
    <col min="8197" max="8197" width="14.28515625" style="1410" customWidth="1"/>
    <col min="8198" max="8198" width="16.140625" style="1410" customWidth="1"/>
    <col min="8199" max="8200" width="11" style="1410" customWidth="1"/>
    <col min="8201" max="8201" width="11.85546875" style="1410" customWidth="1"/>
    <col min="8202" max="8448" width="9.140625" style="1410"/>
    <col min="8449" max="8449" width="24.28515625" style="1410" customWidth="1"/>
    <col min="8450" max="8450" width="13.42578125" style="1410" customWidth="1"/>
    <col min="8451" max="8451" width="14" style="1410" customWidth="1"/>
    <col min="8452" max="8452" width="15.42578125" style="1410" customWidth="1"/>
    <col min="8453" max="8453" width="14.28515625" style="1410" customWidth="1"/>
    <col min="8454" max="8454" width="16.140625" style="1410" customWidth="1"/>
    <col min="8455" max="8456" width="11" style="1410" customWidth="1"/>
    <col min="8457" max="8457" width="11.85546875" style="1410" customWidth="1"/>
    <col min="8458" max="8704" width="9.140625" style="1410"/>
    <col min="8705" max="8705" width="24.28515625" style="1410" customWidth="1"/>
    <col min="8706" max="8706" width="13.42578125" style="1410" customWidth="1"/>
    <col min="8707" max="8707" width="14" style="1410" customWidth="1"/>
    <col min="8708" max="8708" width="15.42578125" style="1410" customWidth="1"/>
    <col min="8709" max="8709" width="14.28515625" style="1410" customWidth="1"/>
    <col min="8710" max="8710" width="16.140625" style="1410" customWidth="1"/>
    <col min="8711" max="8712" width="11" style="1410" customWidth="1"/>
    <col min="8713" max="8713" width="11.85546875" style="1410" customWidth="1"/>
    <col min="8714" max="8960" width="9.140625" style="1410"/>
    <col min="8961" max="8961" width="24.28515625" style="1410" customWidth="1"/>
    <col min="8962" max="8962" width="13.42578125" style="1410" customWidth="1"/>
    <col min="8963" max="8963" width="14" style="1410" customWidth="1"/>
    <col min="8964" max="8964" width="15.42578125" style="1410" customWidth="1"/>
    <col min="8965" max="8965" width="14.28515625" style="1410" customWidth="1"/>
    <col min="8966" max="8966" width="16.140625" style="1410" customWidth="1"/>
    <col min="8967" max="8968" width="11" style="1410" customWidth="1"/>
    <col min="8969" max="8969" width="11.85546875" style="1410" customWidth="1"/>
    <col min="8970" max="9216" width="9.140625" style="1410"/>
    <col min="9217" max="9217" width="24.28515625" style="1410" customWidth="1"/>
    <col min="9218" max="9218" width="13.42578125" style="1410" customWidth="1"/>
    <col min="9219" max="9219" width="14" style="1410" customWidth="1"/>
    <col min="9220" max="9220" width="15.42578125" style="1410" customWidth="1"/>
    <col min="9221" max="9221" width="14.28515625" style="1410" customWidth="1"/>
    <col min="9222" max="9222" width="16.140625" style="1410" customWidth="1"/>
    <col min="9223" max="9224" width="11" style="1410" customWidth="1"/>
    <col min="9225" max="9225" width="11.85546875" style="1410" customWidth="1"/>
    <col min="9226" max="9472" width="9.140625" style="1410"/>
    <col min="9473" max="9473" width="24.28515625" style="1410" customWidth="1"/>
    <col min="9474" max="9474" width="13.42578125" style="1410" customWidth="1"/>
    <col min="9475" max="9475" width="14" style="1410" customWidth="1"/>
    <col min="9476" max="9476" width="15.42578125" style="1410" customWidth="1"/>
    <col min="9477" max="9477" width="14.28515625" style="1410" customWidth="1"/>
    <col min="9478" max="9478" width="16.140625" style="1410" customWidth="1"/>
    <col min="9479" max="9480" width="11" style="1410" customWidth="1"/>
    <col min="9481" max="9481" width="11.85546875" style="1410" customWidth="1"/>
    <col min="9482" max="9728" width="9.140625" style="1410"/>
    <col min="9729" max="9729" width="24.28515625" style="1410" customWidth="1"/>
    <col min="9730" max="9730" width="13.42578125" style="1410" customWidth="1"/>
    <col min="9731" max="9731" width="14" style="1410" customWidth="1"/>
    <col min="9732" max="9732" width="15.42578125" style="1410" customWidth="1"/>
    <col min="9733" max="9733" width="14.28515625" style="1410" customWidth="1"/>
    <col min="9734" max="9734" width="16.140625" style="1410" customWidth="1"/>
    <col min="9735" max="9736" width="11" style="1410" customWidth="1"/>
    <col min="9737" max="9737" width="11.85546875" style="1410" customWidth="1"/>
    <col min="9738" max="9984" width="9.140625" style="1410"/>
    <col min="9985" max="9985" width="24.28515625" style="1410" customWidth="1"/>
    <col min="9986" max="9986" width="13.42578125" style="1410" customWidth="1"/>
    <col min="9987" max="9987" width="14" style="1410" customWidth="1"/>
    <col min="9988" max="9988" width="15.42578125" style="1410" customWidth="1"/>
    <col min="9989" max="9989" width="14.28515625" style="1410" customWidth="1"/>
    <col min="9990" max="9990" width="16.140625" style="1410" customWidth="1"/>
    <col min="9991" max="9992" width="11" style="1410" customWidth="1"/>
    <col min="9993" max="9993" width="11.85546875" style="1410" customWidth="1"/>
    <col min="9994" max="10240" width="9.140625" style="1410"/>
    <col min="10241" max="10241" width="24.28515625" style="1410" customWidth="1"/>
    <col min="10242" max="10242" width="13.42578125" style="1410" customWidth="1"/>
    <col min="10243" max="10243" width="14" style="1410" customWidth="1"/>
    <col min="10244" max="10244" width="15.42578125" style="1410" customWidth="1"/>
    <col min="10245" max="10245" width="14.28515625" style="1410" customWidth="1"/>
    <col min="10246" max="10246" width="16.140625" style="1410" customWidth="1"/>
    <col min="10247" max="10248" width="11" style="1410" customWidth="1"/>
    <col min="10249" max="10249" width="11.85546875" style="1410" customWidth="1"/>
    <col min="10250" max="10496" width="9.140625" style="1410"/>
    <col min="10497" max="10497" width="24.28515625" style="1410" customWidth="1"/>
    <col min="10498" max="10498" width="13.42578125" style="1410" customWidth="1"/>
    <col min="10499" max="10499" width="14" style="1410" customWidth="1"/>
    <col min="10500" max="10500" width="15.42578125" style="1410" customWidth="1"/>
    <col min="10501" max="10501" width="14.28515625" style="1410" customWidth="1"/>
    <col min="10502" max="10502" width="16.140625" style="1410" customWidth="1"/>
    <col min="10503" max="10504" width="11" style="1410" customWidth="1"/>
    <col min="10505" max="10505" width="11.85546875" style="1410" customWidth="1"/>
    <col min="10506" max="10752" width="9.140625" style="1410"/>
    <col min="10753" max="10753" width="24.28515625" style="1410" customWidth="1"/>
    <col min="10754" max="10754" width="13.42578125" style="1410" customWidth="1"/>
    <col min="10755" max="10755" width="14" style="1410" customWidth="1"/>
    <col min="10756" max="10756" width="15.42578125" style="1410" customWidth="1"/>
    <col min="10757" max="10757" width="14.28515625" style="1410" customWidth="1"/>
    <col min="10758" max="10758" width="16.140625" style="1410" customWidth="1"/>
    <col min="10759" max="10760" width="11" style="1410" customWidth="1"/>
    <col min="10761" max="10761" width="11.85546875" style="1410" customWidth="1"/>
    <col min="10762" max="11008" width="9.140625" style="1410"/>
    <col min="11009" max="11009" width="24.28515625" style="1410" customWidth="1"/>
    <col min="11010" max="11010" width="13.42578125" style="1410" customWidth="1"/>
    <col min="11011" max="11011" width="14" style="1410" customWidth="1"/>
    <col min="11012" max="11012" width="15.42578125" style="1410" customWidth="1"/>
    <col min="11013" max="11013" width="14.28515625" style="1410" customWidth="1"/>
    <col min="11014" max="11014" width="16.140625" style="1410" customWidth="1"/>
    <col min="11015" max="11016" width="11" style="1410" customWidth="1"/>
    <col min="11017" max="11017" width="11.85546875" style="1410" customWidth="1"/>
    <col min="11018" max="11264" width="9.140625" style="1410"/>
    <col min="11265" max="11265" width="24.28515625" style="1410" customWidth="1"/>
    <col min="11266" max="11266" width="13.42578125" style="1410" customWidth="1"/>
    <col min="11267" max="11267" width="14" style="1410" customWidth="1"/>
    <col min="11268" max="11268" width="15.42578125" style="1410" customWidth="1"/>
    <col min="11269" max="11269" width="14.28515625" style="1410" customWidth="1"/>
    <col min="11270" max="11270" width="16.140625" style="1410" customWidth="1"/>
    <col min="11271" max="11272" width="11" style="1410" customWidth="1"/>
    <col min="11273" max="11273" width="11.85546875" style="1410" customWidth="1"/>
    <col min="11274" max="11520" width="9.140625" style="1410"/>
    <col min="11521" max="11521" width="24.28515625" style="1410" customWidth="1"/>
    <col min="11522" max="11522" width="13.42578125" style="1410" customWidth="1"/>
    <col min="11523" max="11523" width="14" style="1410" customWidth="1"/>
    <col min="11524" max="11524" width="15.42578125" style="1410" customWidth="1"/>
    <col min="11525" max="11525" width="14.28515625" style="1410" customWidth="1"/>
    <col min="11526" max="11526" width="16.140625" style="1410" customWidth="1"/>
    <col min="11527" max="11528" width="11" style="1410" customWidth="1"/>
    <col min="11529" max="11529" width="11.85546875" style="1410" customWidth="1"/>
    <col min="11530" max="11776" width="9.140625" style="1410"/>
    <col min="11777" max="11777" width="24.28515625" style="1410" customWidth="1"/>
    <col min="11778" max="11778" width="13.42578125" style="1410" customWidth="1"/>
    <col min="11779" max="11779" width="14" style="1410" customWidth="1"/>
    <col min="11780" max="11780" width="15.42578125" style="1410" customWidth="1"/>
    <col min="11781" max="11781" width="14.28515625" style="1410" customWidth="1"/>
    <col min="11782" max="11782" width="16.140625" style="1410" customWidth="1"/>
    <col min="11783" max="11784" width="11" style="1410" customWidth="1"/>
    <col min="11785" max="11785" width="11.85546875" style="1410" customWidth="1"/>
    <col min="11786" max="12032" width="9.140625" style="1410"/>
    <col min="12033" max="12033" width="24.28515625" style="1410" customWidth="1"/>
    <col min="12034" max="12034" width="13.42578125" style="1410" customWidth="1"/>
    <col min="12035" max="12035" width="14" style="1410" customWidth="1"/>
    <col min="12036" max="12036" width="15.42578125" style="1410" customWidth="1"/>
    <col min="12037" max="12037" width="14.28515625" style="1410" customWidth="1"/>
    <col min="12038" max="12038" width="16.140625" style="1410" customWidth="1"/>
    <col min="12039" max="12040" width="11" style="1410" customWidth="1"/>
    <col min="12041" max="12041" width="11.85546875" style="1410" customWidth="1"/>
    <col min="12042" max="12288" width="9.140625" style="1410"/>
    <col min="12289" max="12289" width="24.28515625" style="1410" customWidth="1"/>
    <col min="12290" max="12290" width="13.42578125" style="1410" customWidth="1"/>
    <col min="12291" max="12291" width="14" style="1410" customWidth="1"/>
    <col min="12292" max="12292" width="15.42578125" style="1410" customWidth="1"/>
    <col min="12293" max="12293" width="14.28515625" style="1410" customWidth="1"/>
    <col min="12294" max="12294" width="16.140625" style="1410" customWidth="1"/>
    <col min="12295" max="12296" width="11" style="1410" customWidth="1"/>
    <col min="12297" max="12297" width="11.85546875" style="1410" customWidth="1"/>
    <col min="12298" max="12544" width="9.140625" style="1410"/>
    <col min="12545" max="12545" width="24.28515625" style="1410" customWidth="1"/>
    <col min="12546" max="12546" width="13.42578125" style="1410" customWidth="1"/>
    <col min="12547" max="12547" width="14" style="1410" customWidth="1"/>
    <col min="12548" max="12548" width="15.42578125" style="1410" customWidth="1"/>
    <col min="12549" max="12549" width="14.28515625" style="1410" customWidth="1"/>
    <col min="12550" max="12550" width="16.140625" style="1410" customWidth="1"/>
    <col min="12551" max="12552" width="11" style="1410" customWidth="1"/>
    <col min="12553" max="12553" width="11.85546875" style="1410" customWidth="1"/>
    <col min="12554" max="12800" width="9.140625" style="1410"/>
    <col min="12801" max="12801" width="24.28515625" style="1410" customWidth="1"/>
    <col min="12802" max="12802" width="13.42578125" style="1410" customWidth="1"/>
    <col min="12803" max="12803" width="14" style="1410" customWidth="1"/>
    <col min="12804" max="12804" width="15.42578125" style="1410" customWidth="1"/>
    <col min="12805" max="12805" width="14.28515625" style="1410" customWidth="1"/>
    <col min="12806" max="12806" width="16.140625" style="1410" customWidth="1"/>
    <col min="12807" max="12808" width="11" style="1410" customWidth="1"/>
    <col min="12809" max="12809" width="11.85546875" style="1410" customWidth="1"/>
    <col min="12810" max="13056" width="9.140625" style="1410"/>
    <col min="13057" max="13057" width="24.28515625" style="1410" customWidth="1"/>
    <col min="13058" max="13058" width="13.42578125" style="1410" customWidth="1"/>
    <col min="13059" max="13059" width="14" style="1410" customWidth="1"/>
    <col min="13060" max="13060" width="15.42578125" style="1410" customWidth="1"/>
    <col min="13061" max="13061" width="14.28515625" style="1410" customWidth="1"/>
    <col min="13062" max="13062" width="16.140625" style="1410" customWidth="1"/>
    <col min="13063" max="13064" width="11" style="1410" customWidth="1"/>
    <col min="13065" max="13065" width="11.85546875" style="1410" customWidth="1"/>
    <col min="13066" max="13312" width="9.140625" style="1410"/>
    <col min="13313" max="13313" width="24.28515625" style="1410" customWidth="1"/>
    <col min="13314" max="13314" width="13.42578125" style="1410" customWidth="1"/>
    <col min="13315" max="13315" width="14" style="1410" customWidth="1"/>
    <col min="13316" max="13316" width="15.42578125" style="1410" customWidth="1"/>
    <col min="13317" max="13317" width="14.28515625" style="1410" customWidth="1"/>
    <col min="13318" max="13318" width="16.140625" style="1410" customWidth="1"/>
    <col min="13319" max="13320" width="11" style="1410" customWidth="1"/>
    <col min="13321" max="13321" width="11.85546875" style="1410" customWidth="1"/>
    <col min="13322" max="13568" width="9.140625" style="1410"/>
    <col min="13569" max="13569" width="24.28515625" style="1410" customWidth="1"/>
    <col min="13570" max="13570" width="13.42578125" style="1410" customWidth="1"/>
    <col min="13571" max="13571" width="14" style="1410" customWidth="1"/>
    <col min="13572" max="13572" width="15.42578125" style="1410" customWidth="1"/>
    <col min="13573" max="13573" width="14.28515625" style="1410" customWidth="1"/>
    <col min="13574" max="13574" width="16.140625" style="1410" customWidth="1"/>
    <col min="13575" max="13576" width="11" style="1410" customWidth="1"/>
    <col min="13577" max="13577" width="11.85546875" style="1410" customWidth="1"/>
    <col min="13578" max="13824" width="9.140625" style="1410"/>
    <col min="13825" max="13825" width="24.28515625" style="1410" customWidth="1"/>
    <col min="13826" max="13826" width="13.42578125" style="1410" customWidth="1"/>
    <col min="13827" max="13827" width="14" style="1410" customWidth="1"/>
    <col min="13828" max="13828" width="15.42578125" style="1410" customWidth="1"/>
    <col min="13829" max="13829" width="14.28515625" style="1410" customWidth="1"/>
    <col min="13830" max="13830" width="16.140625" style="1410" customWidth="1"/>
    <col min="13831" max="13832" width="11" style="1410" customWidth="1"/>
    <col min="13833" max="13833" width="11.85546875" style="1410" customWidth="1"/>
    <col min="13834" max="14080" width="9.140625" style="1410"/>
    <col min="14081" max="14081" width="24.28515625" style="1410" customWidth="1"/>
    <col min="14082" max="14082" width="13.42578125" style="1410" customWidth="1"/>
    <col min="14083" max="14083" width="14" style="1410" customWidth="1"/>
    <col min="14084" max="14084" width="15.42578125" style="1410" customWidth="1"/>
    <col min="14085" max="14085" width="14.28515625" style="1410" customWidth="1"/>
    <col min="14086" max="14086" width="16.140625" style="1410" customWidth="1"/>
    <col min="14087" max="14088" width="11" style="1410" customWidth="1"/>
    <col min="14089" max="14089" width="11.85546875" style="1410" customWidth="1"/>
    <col min="14090" max="14336" width="9.140625" style="1410"/>
    <col min="14337" max="14337" width="24.28515625" style="1410" customWidth="1"/>
    <col min="14338" max="14338" width="13.42578125" style="1410" customWidth="1"/>
    <col min="14339" max="14339" width="14" style="1410" customWidth="1"/>
    <col min="14340" max="14340" width="15.42578125" style="1410" customWidth="1"/>
    <col min="14341" max="14341" width="14.28515625" style="1410" customWidth="1"/>
    <col min="14342" max="14342" width="16.140625" style="1410" customWidth="1"/>
    <col min="14343" max="14344" width="11" style="1410" customWidth="1"/>
    <col min="14345" max="14345" width="11.85546875" style="1410" customWidth="1"/>
    <col min="14346" max="14592" width="9.140625" style="1410"/>
    <col min="14593" max="14593" width="24.28515625" style="1410" customWidth="1"/>
    <col min="14594" max="14594" width="13.42578125" style="1410" customWidth="1"/>
    <col min="14595" max="14595" width="14" style="1410" customWidth="1"/>
    <col min="14596" max="14596" width="15.42578125" style="1410" customWidth="1"/>
    <col min="14597" max="14597" width="14.28515625" style="1410" customWidth="1"/>
    <col min="14598" max="14598" width="16.140625" style="1410" customWidth="1"/>
    <col min="14599" max="14600" width="11" style="1410" customWidth="1"/>
    <col min="14601" max="14601" width="11.85546875" style="1410" customWidth="1"/>
    <col min="14602" max="14848" width="9.140625" style="1410"/>
    <col min="14849" max="14849" width="24.28515625" style="1410" customWidth="1"/>
    <col min="14850" max="14850" width="13.42578125" style="1410" customWidth="1"/>
    <col min="14851" max="14851" width="14" style="1410" customWidth="1"/>
    <col min="14852" max="14852" width="15.42578125" style="1410" customWidth="1"/>
    <col min="14853" max="14853" width="14.28515625" style="1410" customWidth="1"/>
    <col min="14854" max="14854" width="16.140625" style="1410" customWidth="1"/>
    <col min="14855" max="14856" width="11" style="1410" customWidth="1"/>
    <col min="14857" max="14857" width="11.85546875" style="1410" customWidth="1"/>
    <col min="14858" max="15104" width="9.140625" style="1410"/>
    <col min="15105" max="15105" width="24.28515625" style="1410" customWidth="1"/>
    <col min="15106" max="15106" width="13.42578125" style="1410" customWidth="1"/>
    <col min="15107" max="15107" width="14" style="1410" customWidth="1"/>
    <col min="15108" max="15108" width="15.42578125" style="1410" customWidth="1"/>
    <col min="15109" max="15109" width="14.28515625" style="1410" customWidth="1"/>
    <col min="15110" max="15110" width="16.140625" style="1410" customWidth="1"/>
    <col min="15111" max="15112" width="11" style="1410" customWidth="1"/>
    <col min="15113" max="15113" width="11.85546875" style="1410" customWidth="1"/>
    <col min="15114" max="15360" width="9.140625" style="1410"/>
    <col min="15361" max="15361" width="24.28515625" style="1410" customWidth="1"/>
    <col min="15362" max="15362" width="13.42578125" style="1410" customWidth="1"/>
    <col min="15363" max="15363" width="14" style="1410" customWidth="1"/>
    <col min="15364" max="15364" width="15.42578125" style="1410" customWidth="1"/>
    <col min="15365" max="15365" width="14.28515625" style="1410" customWidth="1"/>
    <col min="15366" max="15366" width="16.140625" style="1410" customWidth="1"/>
    <col min="15367" max="15368" width="11" style="1410" customWidth="1"/>
    <col min="15369" max="15369" width="11.85546875" style="1410" customWidth="1"/>
    <col min="15370" max="15616" width="9.140625" style="1410"/>
    <col min="15617" max="15617" width="24.28515625" style="1410" customWidth="1"/>
    <col min="15618" max="15618" width="13.42578125" style="1410" customWidth="1"/>
    <col min="15619" max="15619" width="14" style="1410" customWidth="1"/>
    <col min="15620" max="15620" width="15.42578125" style="1410" customWidth="1"/>
    <col min="15621" max="15621" width="14.28515625" style="1410" customWidth="1"/>
    <col min="15622" max="15622" width="16.140625" style="1410" customWidth="1"/>
    <col min="15623" max="15624" width="11" style="1410" customWidth="1"/>
    <col min="15625" max="15625" width="11.85546875" style="1410" customWidth="1"/>
    <col min="15626" max="15872" width="9.140625" style="1410"/>
    <col min="15873" max="15873" width="24.28515625" style="1410" customWidth="1"/>
    <col min="15874" max="15874" width="13.42578125" style="1410" customWidth="1"/>
    <col min="15875" max="15875" width="14" style="1410" customWidth="1"/>
    <col min="15876" max="15876" width="15.42578125" style="1410" customWidth="1"/>
    <col min="15877" max="15877" width="14.28515625" style="1410" customWidth="1"/>
    <col min="15878" max="15878" width="16.140625" style="1410" customWidth="1"/>
    <col min="15879" max="15880" width="11" style="1410" customWidth="1"/>
    <col min="15881" max="15881" width="11.85546875" style="1410" customWidth="1"/>
    <col min="15882" max="16128" width="9.140625" style="1410"/>
    <col min="16129" max="16129" width="24.28515625" style="1410" customWidth="1"/>
    <col min="16130" max="16130" width="13.42578125" style="1410" customWidth="1"/>
    <col min="16131" max="16131" width="14" style="1410" customWidth="1"/>
    <col min="16132" max="16132" width="15.42578125" style="1410" customWidth="1"/>
    <col min="16133" max="16133" width="14.28515625" style="1410" customWidth="1"/>
    <col min="16134" max="16134" width="16.140625" style="1410" customWidth="1"/>
    <col min="16135" max="16136" width="11" style="1410" customWidth="1"/>
    <col min="16137" max="16137" width="11.85546875" style="1410" customWidth="1"/>
    <col min="16138" max="16384" width="9.140625" style="1410"/>
  </cols>
  <sheetData>
    <row r="1" spans="1:6" ht="25.5" customHeight="1">
      <c r="A1" s="1850" t="s">
        <v>1115</v>
      </c>
      <c r="B1" s="1850"/>
      <c r="C1" s="1850"/>
      <c r="D1" s="1850"/>
      <c r="E1" s="1850"/>
      <c r="F1" s="1850"/>
    </row>
    <row r="2" spans="1:6" ht="22.5" customHeight="1" thickBot="1">
      <c r="A2" s="1433"/>
      <c r="B2" s="1299"/>
      <c r="C2" s="1299"/>
      <c r="D2" s="1299"/>
      <c r="E2" s="1299"/>
      <c r="F2" s="1434" t="s">
        <v>1088</v>
      </c>
    </row>
    <row r="3" spans="1:6" s="1413" customFormat="1" ht="44.25" customHeight="1" thickBot="1">
      <c r="A3" s="1435" t="s">
        <v>1116</v>
      </c>
      <c r="B3" s="1436" t="s">
        <v>1108</v>
      </c>
      <c r="C3" s="1436" t="s">
        <v>1109</v>
      </c>
      <c r="D3" s="1436" t="s">
        <v>1110</v>
      </c>
      <c r="E3" s="1436" t="s">
        <v>1111</v>
      </c>
      <c r="F3" s="1437" t="s">
        <v>1117</v>
      </c>
    </row>
    <row r="4" spans="1:6" s="1299" customFormat="1" ht="12" customHeight="1" thickBot="1">
      <c r="A4" s="1438">
        <v>1</v>
      </c>
      <c r="B4" s="1439">
        <v>2</v>
      </c>
      <c r="C4" s="1439">
        <v>3</v>
      </c>
      <c r="D4" s="1439">
        <v>4</v>
      </c>
      <c r="E4" s="1439">
        <v>5</v>
      </c>
      <c r="F4" s="1440" t="s">
        <v>1118</v>
      </c>
    </row>
    <row r="5" spans="1:6" ht="20.100000000000001" customHeight="1">
      <c r="A5" s="1851" t="s">
        <v>285</v>
      </c>
      <c r="B5" s="1852"/>
      <c r="C5" s="1852"/>
      <c r="D5" s="1852"/>
      <c r="E5" s="1852"/>
      <c r="F5" s="1853"/>
    </row>
    <row r="6" spans="1:6" ht="20.100000000000001" customHeight="1" thickBot="1">
      <c r="A6" s="1441" t="s">
        <v>1119</v>
      </c>
      <c r="B6" s="1452">
        <v>2749992</v>
      </c>
      <c r="C6" s="1443" t="s">
        <v>1120</v>
      </c>
      <c r="D6" s="1442"/>
      <c r="E6" s="1452">
        <f>B6</f>
        <v>2749992</v>
      </c>
      <c r="F6" s="1444"/>
    </row>
    <row r="7" spans="1:6" ht="20.100000000000001" customHeight="1">
      <c r="A7" s="1851" t="s">
        <v>1113</v>
      </c>
      <c r="B7" s="1852"/>
      <c r="C7" s="1852"/>
      <c r="D7" s="1852"/>
      <c r="E7" s="1852"/>
      <c r="F7" s="1853"/>
    </row>
    <row r="8" spans="1:6" ht="20.100000000000001" customHeight="1" thickBot="1">
      <c r="A8" s="1454" t="s">
        <v>1119</v>
      </c>
      <c r="B8" s="1453">
        <v>1200150</v>
      </c>
      <c r="C8" s="1445" t="s">
        <v>1120</v>
      </c>
      <c r="D8" s="1453"/>
      <c r="E8" s="1453">
        <f>B8</f>
        <v>1200150</v>
      </c>
      <c r="F8" s="1455"/>
    </row>
    <row r="9" spans="1:6" ht="20.100000000000001" customHeight="1">
      <c r="A9" s="1854" t="s">
        <v>0</v>
      </c>
      <c r="B9" s="1855"/>
      <c r="C9" s="1855"/>
      <c r="D9" s="1855"/>
      <c r="E9" s="1855"/>
      <c r="F9" s="1856"/>
    </row>
    <row r="10" spans="1:6" ht="20.100000000000001" customHeight="1">
      <c r="A10" s="1441" t="s">
        <v>1136</v>
      </c>
      <c r="B10" s="1442">
        <v>20000000</v>
      </c>
      <c r="C10" s="1443" t="s">
        <v>1120</v>
      </c>
      <c r="D10" s="1442"/>
      <c r="E10" s="1442">
        <f t="shared" ref="E10:E28" si="0">B10-D10</f>
        <v>20000000</v>
      </c>
      <c r="F10" s="1444"/>
    </row>
    <row r="11" spans="1:6" ht="20.100000000000001" customHeight="1">
      <c r="A11" s="1441" t="s">
        <v>1121</v>
      </c>
      <c r="B11" s="1442">
        <v>282000</v>
      </c>
      <c r="C11" s="1443" t="s">
        <v>1120</v>
      </c>
      <c r="D11" s="1442"/>
      <c r="E11" s="1442">
        <f t="shared" si="0"/>
        <v>282000</v>
      </c>
      <c r="F11" s="1444"/>
    </row>
    <row r="12" spans="1:6" ht="20.100000000000001" customHeight="1">
      <c r="A12" s="1441" t="s">
        <v>1122</v>
      </c>
      <c r="B12" s="1442">
        <v>999490</v>
      </c>
      <c r="C12" s="1443" t="s">
        <v>1120</v>
      </c>
      <c r="D12" s="1442"/>
      <c r="E12" s="1442">
        <f t="shared" si="0"/>
        <v>999490</v>
      </c>
      <c r="F12" s="1444"/>
    </row>
    <row r="13" spans="1:6" ht="20.100000000000001" customHeight="1">
      <c r="A13" s="1441" t="s">
        <v>1123</v>
      </c>
      <c r="B13" s="1442">
        <v>6604000</v>
      </c>
      <c r="C13" s="1443" t="s">
        <v>1120</v>
      </c>
      <c r="D13" s="1442">
        <v>6223000</v>
      </c>
      <c r="E13" s="1442">
        <v>381000</v>
      </c>
      <c r="F13" s="1446"/>
    </row>
    <row r="14" spans="1:6" ht="20.100000000000001" customHeight="1">
      <c r="A14" s="1441" t="s">
        <v>1241</v>
      </c>
      <c r="B14" s="1442">
        <v>1300000</v>
      </c>
      <c r="C14" s="1443" t="s">
        <v>1120</v>
      </c>
      <c r="D14" s="1442"/>
      <c r="E14" s="1442">
        <f t="shared" si="0"/>
        <v>1300000</v>
      </c>
      <c r="F14" s="1444"/>
    </row>
    <row r="15" spans="1:6" ht="20.100000000000001" customHeight="1">
      <c r="A15" s="1441" t="s">
        <v>1242</v>
      </c>
      <c r="B15" s="1442">
        <v>6700000</v>
      </c>
      <c r="C15" s="1443" t="s">
        <v>1120</v>
      </c>
      <c r="D15" s="1442"/>
      <c r="E15" s="1442">
        <f t="shared" si="0"/>
        <v>6700000</v>
      </c>
      <c r="F15" s="1444"/>
    </row>
    <row r="16" spans="1:6" ht="20.100000000000001" customHeight="1">
      <c r="A16" s="1441" t="s">
        <v>1243</v>
      </c>
      <c r="B16" s="1442">
        <v>1024240</v>
      </c>
      <c r="C16" s="1443" t="s">
        <v>1120</v>
      </c>
      <c r="D16" s="1442"/>
      <c r="E16" s="1442">
        <f t="shared" si="0"/>
        <v>1024240</v>
      </c>
      <c r="F16" s="1444"/>
    </row>
    <row r="17" spans="1:6" ht="20.100000000000001" customHeight="1">
      <c r="A17" s="1441"/>
      <c r="B17" s="1442"/>
      <c r="C17" s="1443" t="s">
        <v>1120</v>
      </c>
      <c r="D17" s="1442"/>
      <c r="E17" s="1442">
        <f t="shared" si="0"/>
        <v>0</v>
      </c>
      <c r="F17" s="1444"/>
    </row>
    <row r="18" spans="1:6" ht="20.100000000000001" customHeight="1">
      <c r="A18" s="1441"/>
      <c r="B18" s="1442"/>
      <c r="C18" s="1443" t="s">
        <v>1120</v>
      </c>
      <c r="D18" s="1442"/>
      <c r="E18" s="1442">
        <f t="shared" si="0"/>
        <v>0</v>
      </c>
      <c r="F18" s="1444"/>
    </row>
    <row r="19" spans="1:6" ht="20.100000000000001" customHeight="1">
      <c r="A19" s="1441"/>
      <c r="B19" s="1442"/>
      <c r="C19" s="1443" t="s">
        <v>1120</v>
      </c>
      <c r="D19" s="1442"/>
      <c r="E19" s="1442">
        <f t="shared" si="0"/>
        <v>0</v>
      </c>
      <c r="F19" s="1444"/>
    </row>
    <row r="20" spans="1:6" ht="20.100000000000001" customHeight="1">
      <c r="A20" s="1441"/>
      <c r="B20" s="1442"/>
      <c r="C20" s="1443" t="s">
        <v>1120</v>
      </c>
      <c r="D20" s="1442"/>
      <c r="E20" s="1442">
        <f t="shared" si="0"/>
        <v>0</v>
      </c>
      <c r="F20" s="1444"/>
    </row>
    <row r="21" spans="1:6" ht="20.100000000000001" customHeight="1">
      <c r="A21" s="1441"/>
      <c r="B21" s="1442"/>
      <c r="C21" s="1443" t="s">
        <v>1120</v>
      </c>
      <c r="D21" s="1442"/>
      <c r="E21" s="1442">
        <f t="shared" si="0"/>
        <v>0</v>
      </c>
      <c r="F21" s="1444"/>
    </row>
    <row r="22" spans="1:6" s="1430" customFormat="1" ht="18" customHeight="1">
      <c r="A22" s="1441"/>
      <c r="B22" s="1442"/>
      <c r="C22" s="1443" t="s">
        <v>1120</v>
      </c>
      <c r="D22" s="1442"/>
      <c r="E22" s="1442">
        <f t="shared" si="0"/>
        <v>0</v>
      </c>
      <c r="F22" s="1444"/>
    </row>
    <row r="23" spans="1:6" ht="20.100000000000001" customHeight="1">
      <c r="A23" s="1441"/>
      <c r="B23" s="1442"/>
      <c r="C23" s="1443" t="s">
        <v>1120</v>
      </c>
      <c r="D23" s="1442"/>
      <c r="E23" s="1442">
        <f t="shared" si="0"/>
        <v>0</v>
      </c>
      <c r="F23" s="1444"/>
    </row>
    <row r="24" spans="1:6" ht="20.100000000000001" customHeight="1">
      <c r="A24" s="1441"/>
      <c r="B24" s="1442"/>
      <c r="C24" s="1443" t="s">
        <v>1120</v>
      </c>
      <c r="D24" s="1442"/>
      <c r="E24" s="1442">
        <f t="shared" si="0"/>
        <v>0</v>
      </c>
      <c r="F24" s="1444"/>
    </row>
    <row r="25" spans="1:6" ht="20.100000000000001" customHeight="1">
      <c r="A25" s="1441"/>
      <c r="B25" s="1442"/>
      <c r="C25" s="1443" t="s">
        <v>1120</v>
      </c>
      <c r="D25" s="1442"/>
      <c r="E25" s="1442">
        <f t="shared" si="0"/>
        <v>0</v>
      </c>
      <c r="F25" s="1444"/>
    </row>
    <row r="26" spans="1:6" ht="20.100000000000001" customHeight="1">
      <c r="A26" s="1441"/>
      <c r="B26" s="1442"/>
      <c r="C26" s="1443" t="s">
        <v>1120</v>
      </c>
      <c r="D26" s="1442"/>
      <c r="E26" s="1442">
        <f t="shared" si="0"/>
        <v>0</v>
      </c>
      <c r="F26" s="1444"/>
    </row>
    <row r="27" spans="1:6" s="1430" customFormat="1" ht="19.899999999999999" customHeight="1">
      <c r="A27" s="1441"/>
      <c r="B27" s="1442"/>
      <c r="C27" s="1443" t="s">
        <v>1120</v>
      </c>
      <c r="D27" s="1442"/>
      <c r="E27" s="1442">
        <f t="shared" si="0"/>
        <v>0</v>
      </c>
      <c r="F27" s="1444"/>
    </row>
    <row r="28" spans="1:6" ht="19.899999999999999" customHeight="1" thickBot="1">
      <c r="A28" s="1441"/>
      <c r="B28" s="1442"/>
      <c r="C28" s="1443"/>
      <c r="D28" s="1442"/>
      <c r="E28" s="1442">
        <f t="shared" si="0"/>
        <v>0</v>
      </c>
      <c r="F28" s="1444"/>
    </row>
    <row r="29" spans="1:6" ht="19.899999999999999" customHeight="1" thickBot="1">
      <c r="A29" s="1447" t="s">
        <v>1114</v>
      </c>
      <c r="B29" s="1448">
        <f>SUM(B5:B28)</f>
        <v>40859872</v>
      </c>
      <c r="C29" s="1448">
        <f>SUM(C5:C28)</f>
        <v>0</v>
      </c>
      <c r="D29" s="1448">
        <f>SUM(D5:D28)</f>
        <v>6223000</v>
      </c>
      <c r="E29" s="1448">
        <f>SUM(E5:E28)</f>
        <v>34636872</v>
      </c>
      <c r="F29" s="1449">
        <f>SUM(F5:F28)</f>
        <v>0</v>
      </c>
    </row>
    <row r="30" spans="1:6">
      <c r="A30" s="1450"/>
    </row>
  </sheetData>
  <sheetProtection selectLockedCells="1" selectUnlockedCells="1"/>
  <mergeCells count="4">
    <mergeCell ref="A1:F1"/>
    <mergeCell ref="A5:F5"/>
    <mergeCell ref="A7:F7"/>
    <mergeCell ref="A9:F9"/>
  </mergeCells>
  <printOptions horizontalCentered="1"/>
  <pageMargins left="0.78740157480314965" right="0.78740157480314965" top="0.89" bottom="0.98425196850393704" header="0.61" footer="0.78740157480314965"/>
  <pageSetup paperSize="9" scale="87" orientation="portrait" r:id="rId1"/>
  <headerFooter alignWithMargins="0">
    <oddHeader>&amp;R&amp;"Times New Roman CE,Félkövér dőlt"3. (5.) melléklet a 8/2019. (V.20.)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20</vt:i4>
      </vt:variant>
    </vt:vector>
  </HeadingPairs>
  <TitlesOfParts>
    <vt:vector size="46" baseType="lpstr">
      <vt:lpstr>Önkormányzat tételes</vt:lpstr>
      <vt:lpstr>Hivatal tételes</vt:lpstr>
      <vt:lpstr>Óvoda tételes</vt:lpstr>
      <vt:lpstr>1.1 Összesítő</vt:lpstr>
      <vt:lpstr>2.1 Működési mérleg</vt:lpstr>
      <vt:lpstr>2.2 Felhalmozási mérleg  </vt:lpstr>
      <vt:lpstr>3. Adósság   </vt:lpstr>
      <vt:lpstr>4. Saját bevétel</vt:lpstr>
      <vt:lpstr>3.(5.) Beruhzások </vt:lpstr>
      <vt:lpstr>6. Felújítások</vt:lpstr>
      <vt:lpstr>4.1.(7.1) Önkormányzat</vt:lpstr>
      <vt:lpstr>4.1.1.(7.1.1) Önkormány. (KÖT)</vt:lpstr>
      <vt:lpstr>7.1.2 Önkormányzat (ÁIG)</vt:lpstr>
      <vt:lpstr>4.1.3.(7.1.3) Önkormány. (ÖNK)</vt:lpstr>
      <vt:lpstr>4.2.(7.2) Hivatal</vt:lpstr>
      <vt:lpstr>4.2.1.(7.2.1) Hivatal (KÖT)</vt:lpstr>
      <vt:lpstr>4.2.2.(7.2.2) Hivatal (ÁIG)</vt:lpstr>
      <vt:lpstr>4.3.(7.3) Óvoda</vt:lpstr>
      <vt:lpstr>4.3.1.(7.3.1) Óvoda (KÖT)</vt:lpstr>
      <vt:lpstr>5.(8.) Tartalék</vt:lpstr>
      <vt:lpstr>9. Tartozás állomány</vt:lpstr>
      <vt:lpstr>1.sz tájékoztató t.</vt:lpstr>
      <vt:lpstr>2.sz. tájékoztató t.</vt:lpstr>
      <vt:lpstr>3. sz tájékoztató t</vt:lpstr>
      <vt:lpstr>4. sz tájékoztató t.</vt:lpstr>
      <vt:lpstr>5.sz tájékoztató t.</vt:lpstr>
      <vt:lpstr>'Önkormányzat tételes'!Nyomtatási_cím</vt:lpstr>
      <vt:lpstr>'1.1 Összesítő'!Nyomtatási_terület</vt:lpstr>
      <vt:lpstr>'1.sz tájékoztató t.'!Nyomtatási_terület</vt:lpstr>
      <vt:lpstr>'2.1 Működési mérleg'!Nyomtatási_terület</vt:lpstr>
      <vt:lpstr>'2.2 Felhalmozási mérleg  '!Nyomtatási_terület</vt:lpstr>
      <vt:lpstr>'2.sz. tájékoztató t.'!Nyomtatási_terület</vt:lpstr>
      <vt:lpstr>'3. Adósság   '!Nyomtatási_terület</vt:lpstr>
      <vt:lpstr>'3.(5.) Beruhzások '!Nyomtatási_terület</vt:lpstr>
      <vt:lpstr>'4. Saját bevétel'!Nyomtatási_terület</vt:lpstr>
      <vt:lpstr>'4.1.(7.1) Önkormányzat'!Nyomtatási_terület</vt:lpstr>
      <vt:lpstr>'4.1.1.(7.1.1) Önkormány. (KÖT)'!Nyomtatási_terület</vt:lpstr>
      <vt:lpstr>'4.1.3.(7.1.3) Önkormány. (ÖNK)'!Nyomtatási_terület</vt:lpstr>
      <vt:lpstr>'4.2.(7.2) Hivatal'!Nyomtatási_terület</vt:lpstr>
      <vt:lpstr>'4.2.1.(7.2.1) Hivatal (KÖT)'!Nyomtatási_terület</vt:lpstr>
      <vt:lpstr>'4.2.2.(7.2.2) Hivatal (ÁIG)'!Nyomtatási_terület</vt:lpstr>
      <vt:lpstr>'4.3.(7.3) Óvoda'!Nyomtatási_terület</vt:lpstr>
      <vt:lpstr>'4.3.1.(7.3.1) Óvoda (KÖT)'!Nyomtatási_terület</vt:lpstr>
      <vt:lpstr>'5.(8.) Tartalék'!Nyomtatási_terület</vt:lpstr>
      <vt:lpstr>'7.1.2 Önkormányzat (ÁIG)'!Nyomtatási_terület</vt:lpstr>
      <vt:lpstr>'Önkormányzat tételes'!Nyomtatási_terület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Turiné Török Anita</dc:creator>
  <cp:lastModifiedBy>ANI_VALI</cp:lastModifiedBy>
  <cp:lastPrinted>2019-05-09T11:45:57Z</cp:lastPrinted>
  <dcterms:created xsi:type="dcterms:W3CDTF">2018-02-13T14:17:44Z</dcterms:created>
  <dcterms:modified xsi:type="dcterms:W3CDTF">2019-05-23T04:04:26Z</dcterms:modified>
</cp:coreProperties>
</file>