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zter\Desktop\"/>
    </mc:Choice>
  </mc:AlternateContent>
  <xr:revisionPtr revIDLastSave="0" documentId="13_ncr:1_{979FF080-3266-4A40-93EC-C17ABD343F61}" xr6:coauthVersionLast="46" xr6:coauthVersionMax="46" xr10:uidLastSave="{00000000-0000-0000-0000-000000000000}"/>
  <bookViews>
    <workbookView xWindow="-120" yWindow="-120" windowWidth="20730" windowHeight="11160" tabRatio="828" firstSheet="5" activeTab="8" xr2:uid="{00000000-000D-0000-FFFF-FFFF00000000}"/>
  </bookViews>
  <sheets>
    <sheet name="Egyenlegmutató" sheetId="22" state="hidden" r:id="rId1"/>
    <sheet name="0.Mérleg" sheetId="40" r:id="rId2"/>
    <sheet name="1A. Fő bev" sheetId="11" r:id="rId3"/>
    <sheet name="1B. Fő kiad" sheetId="24" r:id="rId4"/>
    <sheet name="1C Bev kiad fel" sheetId="30" r:id="rId5"/>
    <sheet name="2A Önk bev" sheetId="10" r:id="rId6"/>
    <sheet name="2B Önk kiad" sheetId="23" r:id="rId7"/>
    <sheet name="2C Önk bev kiad fel" sheetId="25" r:id="rId8"/>
    <sheet name="2D Céltartalék" sheetId="29" r:id="rId9"/>
    <sheet name="2E VÉA" sheetId="31" state="hidden" r:id="rId10"/>
    <sheet name="2F KVA" sheetId="35" state="hidden" r:id="rId11"/>
    <sheet name="3A PH" sheetId="20" r:id="rId12"/>
    <sheet name="3B PH fel" sheetId="21" r:id="rId13"/>
    <sheet name="4A Walla" sheetId="2" r:id="rId14"/>
    <sheet name="4B Nyitnikék" sheetId="5" r:id="rId15"/>
    <sheet name="4C Bóbita" sheetId="7" r:id="rId16"/>
    <sheet name="4D MMMH" sheetId="18" r:id="rId17"/>
    <sheet name="4E Könyvtár" sheetId="14" r:id="rId18"/>
    <sheet name="4F Segítő Kéz" sheetId="8" r:id="rId19"/>
    <sheet name="4G Szérüskert" sheetId="37" r:id="rId20"/>
    <sheet name="Walla" sheetId="1" state="hidden" r:id="rId21"/>
    <sheet name="4H VG bev kiad" sheetId="12" r:id="rId22"/>
    <sheet name="5 GSZNR fel" sheetId="3" r:id="rId23"/>
    <sheet name="6. létszámkeret" sheetId="41" r:id="rId24"/>
    <sheet name="7. Fejlesztések" sheetId="39" r:id="rId25"/>
    <sheet name="8. stab tv" sheetId="42" r:id="rId26"/>
    <sheet name="Könyvtár" sheetId="15" state="hidden" r:id="rId27"/>
    <sheet name="Beruházás" sheetId="27" state="hidden" r:id="rId28"/>
    <sheet name="Felújítás" sheetId="28" state="hidden" r:id="rId29"/>
    <sheet name="7. projektek" sheetId="38" state="hidden" r:id="rId30"/>
    <sheet name="9. Uniós tám" sheetId="33" r:id="rId31"/>
    <sheet name="10. címrend" sheetId="34" r:id="rId32"/>
    <sheet name="ÖK kiad" sheetId="26" state="hidden" r:id="rId33"/>
    <sheet name="MMMH" sheetId="17" state="hidden" r:id="rId34"/>
    <sheet name="Nyitnikék" sheetId="4" state="hidden" r:id="rId35"/>
    <sheet name="Bóbita" sheetId="6" state="hidden" r:id="rId36"/>
    <sheet name="SKSZ" sheetId="9" state="hidden" r:id="rId37"/>
    <sheet name="PH" sheetId="19" state="hidden" r:id="rId38"/>
  </sheets>
  <externalReferences>
    <externalReference r:id="rId39"/>
    <externalReference r:id="rId40"/>
    <externalReference r:id="rId41"/>
    <externalReference r:id="rId42"/>
    <externalReference r:id="rId43"/>
    <externalReference r:id="rId44"/>
  </externalReferences>
  <definedNames>
    <definedName name="_1999._Évi_felhalmozási_és_felújítási_kiadások">"$#HIV!.$A$29:$E$29"</definedName>
    <definedName name="_xlnm._FilterDatabase" localSheetId="4" hidden="1">'1C Bev kiad fel'!$A$4:$B$96</definedName>
    <definedName name="_xlnm._FilterDatabase" localSheetId="7" hidden="1">'2C Önk bev kiad fel'!$A$75:$P$236</definedName>
    <definedName name="_xlnm._FilterDatabase" localSheetId="12" hidden="1">'3B PH fel'!$A$5:$F$38</definedName>
    <definedName name="_xlnm._FilterDatabase" localSheetId="22" hidden="1">'5 GSZNR fel'!$A$6:$E$207</definedName>
    <definedName name="_xlnm._FilterDatabase" localSheetId="24" hidden="1">'7. Fejlesztések'!$A$5:$R$49</definedName>
    <definedName name="_xlnm._FilterDatabase" localSheetId="29" hidden="1">'7. projektek'!$A$3:$F$38</definedName>
    <definedName name="_xlnm._FilterDatabase" localSheetId="27" hidden="1">Beruházás!$A$4:$Q$115</definedName>
    <definedName name="Excel_BuiltIn_Print_Area_1">"$#HIV!.$A$2:$C$155"</definedName>
    <definedName name="Excel_BuiltIn_Print_Area_10">"$#HIV!.$B$1:$G$95"</definedName>
    <definedName name="Excel_BuiltIn_Print_Area_11">"$#HIV!.$B$2:$H$40"</definedName>
    <definedName name="Excel_BuiltIn_Print_Area_12">"$#HIV!.$B$1:$E$25"</definedName>
    <definedName name="Excel_BuiltIn_Print_Area_13">"$#HIV!.$A$7:$E$53"</definedName>
    <definedName name="Excel_BuiltIn_Print_Area_14">"$#HIV!.$A$1:$M$59"</definedName>
    <definedName name="Excel_BuiltIn_Print_Area_15">"$#HIV!.$E$1:$F$98"</definedName>
    <definedName name="Excel_BuiltIn_Print_Area_16">"$#HIV!.$A$1:$D$139"</definedName>
    <definedName name="Excel_BuiltIn_Print_Area_2">"$#HIV!.$D$2:$H$55"</definedName>
    <definedName name="Excel_BuiltIn_Print_Area_3">"$#HIV!.$A$1:$F$131"</definedName>
    <definedName name="Excel_BuiltIn_Print_Area_4">"$#HIV!.$A$1:$F$115"</definedName>
    <definedName name="Excel_BuiltIn_Print_Area_5">"$#HIV!.$A$2:$B$22"</definedName>
    <definedName name="Excel_BuiltIn_Print_Area_6">"$#HIV!.$A$2:$C$143"</definedName>
    <definedName name="Excel_BuiltIn_Print_Area_7">"$#HIV!.$A$2:$C$143"</definedName>
    <definedName name="Excel_BuiltIn_Print_Area_8">"$#HIV!.$A$1:$I$144"</definedName>
    <definedName name="Excel_BuiltIn_Print_Area_9">"$#HIV!.$A$1:$H$98"</definedName>
    <definedName name="Excel_BuiltIn_Print_Titles_1">"$#HIV!.$A$2:$IQ$2"</definedName>
    <definedName name="Excel_BuiltIn_Print_Titles_10">"$#HIV!.$A$1:$IT$2"</definedName>
    <definedName name="Excel_BuiltIn_Print_Titles_14">"$#HIV!.$A$61:$IU$61"</definedName>
    <definedName name="Excel_BuiltIn_Print_Titles_19">"$#HIV!.$A$1:$IV$1"</definedName>
    <definedName name="Excel_BuiltIn_Print_Titles_2">"$Összesítő.$#HIV!$1:$#HIV!$31999"</definedName>
    <definedName name="Excel_BuiltIn_Print_Titles_21">"$#HIV!.$A$1:$IV$2"</definedName>
    <definedName name="Excel_BuiltIn_Print_Titles_4">"$#HIV!.$A$2:$IV$4"</definedName>
    <definedName name="Excel_BuiltIn_Print_Titles_6">"$#HIV!.$A$2:$II$3"</definedName>
    <definedName name="Excel_BuiltIn_Print_Titles_7">"$#HIV!.$A$2:$IR$3"</definedName>
    <definedName name="Excel_BuiltIn_Print_Titles_8">"$#HIV!.$A$2:$IS$3"</definedName>
    <definedName name="Excel_BuiltIn_Print_Titles_9">"$#HIV!.$A$1:$IT$2"</definedName>
    <definedName name="_xlnm.Print_Titles" localSheetId="2">'1A. Fő bev'!$A:$B,'1A. Fő bev'!$1:$2</definedName>
    <definedName name="_xlnm.Print_Titles" localSheetId="3">'1B. Fő kiad'!$A:$B,'1B. Fő kiad'!$1:$2</definedName>
    <definedName name="_xlnm.Print_Titles" localSheetId="4">'1C Bev kiad fel'!$A:$B,'1C Bev kiad fel'!$1:$4</definedName>
    <definedName name="_xlnm.Print_Titles" localSheetId="5">'2A Önk bev'!$A:$B,'2A Önk bev'!$1:$4</definedName>
    <definedName name="_xlnm.Print_Titles" localSheetId="6">'2B Önk kiad'!$A:$B,'2B Önk kiad'!$1:$3</definedName>
    <definedName name="_xlnm.Print_Titles" localSheetId="7">'2C Önk bev kiad fel'!$A:$B,'2C Önk bev kiad fel'!$2:$5</definedName>
    <definedName name="_xlnm.Print_Titles" localSheetId="11">'3A PH'!$A:$B,'3A PH'!$1:$3</definedName>
    <definedName name="_xlnm.Print_Titles" localSheetId="12">'3B PH fel'!$A:$B,'3B PH fel'!$1:$4</definedName>
    <definedName name="_xlnm.Print_Titles" localSheetId="13">'4A Walla'!$A:$B,'4A Walla'!$1:$4</definedName>
    <definedName name="_xlnm.Print_Titles" localSheetId="14">'4B Nyitnikék'!$A:$B,'4B Nyitnikék'!$1:$4</definedName>
    <definedName name="_xlnm.Print_Titles" localSheetId="15">'4C Bóbita'!$A:$B,'4C Bóbita'!$1:$4</definedName>
    <definedName name="_xlnm.Print_Titles" localSheetId="16">'4D MMMH'!$A:$B,'4D MMMH'!$1:$4</definedName>
    <definedName name="_xlnm.Print_Titles" localSheetId="17">'4E Könyvtár'!$A:$B,'4E Könyvtár'!$1:$4</definedName>
    <definedName name="_xlnm.Print_Titles" localSheetId="18">'4F Segítő Kéz'!$A:$B,'4F Segítő Kéz'!$1:$4</definedName>
    <definedName name="_xlnm.Print_Titles" localSheetId="19">'4G Szérüskert'!$A:$B,'4G Szérüskert'!$1:$4</definedName>
    <definedName name="_xlnm.Print_Titles" localSheetId="21">'4H VG bev kiad'!$A:$B,'4H VG bev kiad'!$2:$4</definedName>
    <definedName name="_xlnm.Print_Titles" localSheetId="22">'5 GSZNR fel'!$A:$B,'5 GSZNR fel'!$1:$5</definedName>
    <definedName name="_xlnm.Print_Titles" localSheetId="27">Beruházás!$4:$4</definedName>
    <definedName name="_xlnm.Print_Titles" localSheetId="26">Könyvtár!$1:$3</definedName>
    <definedName name="_xlnm.Print_Titles" localSheetId="33">MMMH!$1:$3</definedName>
    <definedName name="_xlnm.Print_Titles" localSheetId="32">'ÖK kiad'!$1:$1</definedName>
    <definedName name="_xlnm.Print_Titles" localSheetId="37">PH!$A:$C</definedName>
    <definedName name="_xlnm.Print_Titles" localSheetId="36">SKSZ!$A:$C</definedName>
    <definedName name="_xlnm.Print_Titles" localSheetId="20">Walla!$1:$3</definedName>
    <definedName name="_xlnm.Print_Area" localSheetId="1">'0.Mérleg'!$A$1:$L$26</definedName>
    <definedName name="_xlnm.Print_Area" localSheetId="31">'10. címrend'!$A$1:$C$16</definedName>
    <definedName name="_xlnm.Print_Area" localSheetId="2">'1A. Fő bev'!$A$1:$V$61</definedName>
    <definedName name="_xlnm.Print_Area" localSheetId="3">'1B. Fő kiad'!$A$1:$R$35</definedName>
    <definedName name="_xlnm.Print_Area" localSheetId="4">'1C Bev kiad fel'!$A$1:$X$95</definedName>
    <definedName name="_xlnm.Print_Area" localSheetId="5">'2A Önk bev'!$A$1:$V$110</definedName>
    <definedName name="_xlnm.Print_Area" localSheetId="6">'2B Önk kiad'!$A$1:$V$44</definedName>
    <definedName name="_xlnm.Print_Area" localSheetId="7">'2C Önk bev kiad fel'!$A$1:$R$236</definedName>
    <definedName name="_xlnm.Print_Area" localSheetId="8">'2D Céltartalék'!$A$1:$F$34</definedName>
    <definedName name="_xlnm.Print_Area" localSheetId="9">'2E VÉA'!$A$1:$F$34</definedName>
    <definedName name="_xlnm.Print_Area" localSheetId="10">'2F KVA'!$A$1:$D$35</definedName>
    <definedName name="_xlnm.Print_Area" localSheetId="11">'3A PH'!$A$1:$V$49</definedName>
    <definedName name="_xlnm.Print_Area" localSheetId="12">'3B PH fel'!$A$1:$V$38</definedName>
    <definedName name="_xlnm.Print_Area" localSheetId="13">'4A Walla'!$A$1:$Q$46</definedName>
    <definedName name="_xlnm.Print_Area" localSheetId="14">'4B Nyitnikék'!$A$1:$Q$46</definedName>
    <definedName name="_xlnm.Print_Area" localSheetId="15">'4C Bóbita'!$A$1:$Q$46</definedName>
    <definedName name="_xlnm.Print_Area" localSheetId="16">'4D MMMH'!$A$1:$Q$46</definedName>
    <definedName name="_xlnm.Print_Area" localSheetId="17">'4E Könyvtár'!$A$1:$Q$46</definedName>
    <definedName name="_xlnm.Print_Area" localSheetId="18">'4F Segítő Kéz'!$A$1:$Q$46</definedName>
    <definedName name="_xlnm.Print_Area" localSheetId="19">'4G Szérüskert'!$A$1:$Q$46</definedName>
    <definedName name="_xlnm.Print_Area" localSheetId="21">'4H VG bev kiad'!$A$1:$Q$46</definedName>
    <definedName name="_xlnm.Print_Area" localSheetId="22">'5 GSZNR fel'!$A$1:$Q$207</definedName>
    <definedName name="_xlnm.Print_Area" localSheetId="23">'6. létszámkeret'!$A$1:$I$19</definedName>
    <definedName name="_xlnm.Print_Area" localSheetId="24">'7. Fejlesztések'!$A$1:$R$92</definedName>
    <definedName name="_xlnm.Print_Area" localSheetId="29">'7. projektek'!$A$1:$H$123</definedName>
    <definedName name="_xlnm.Print_Area" localSheetId="25">'8. stab tv'!$A$1:$C$32</definedName>
    <definedName name="_xlnm.Print_Area" localSheetId="27">Beruházás!$A$1:$L$119</definedName>
    <definedName name="_xlnm.Print_Area" localSheetId="28">Felújítás!$A$1:$L$49</definedName>
    <definedName name="Print_Titles_1" localSheetId="1">[1]Bóbita!$A:$B,[1]Bóbita!$1:$1</definedName>
    <definedName name="Print_Titles_1" localSheetId="31">[2]Bóbita!$A$1:$B$65536,[2]Bóbita!$A$1:$IV$1</definedName>
    <definedName name="Print_Titles_1" localSheetId="4">[3]Bóbita!$A$1:$B$65536,[3]Bóbita!$A$1:$IV$1</definedName>
    <definedName name="Print_Titles_1" localSheetId="23">[4]Bóbita!$A:$B,[4]Bóbita!$1:$1</definedName>
    <definedName name="Print_Titles_1" localSheetId="25">[4]Bóbita!$A:$B,[4]Bóbita!$1:$1</definedName>
    <definedName name="Print_Titles_1" localSheetId="30">[2]Bóbita!$A$1:$B$65536,[2]Bóbita!$A$1:$IV$1</definedName>
    <definedName name="Print_Titles_1">[5]Bóbita!$A$1:$B$65536,[5]Bóbita!$A$1:$IV$1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7" i="42" l="1"/>
  <c r="C22" i="42" s="1"/>
  <c r="C14" i="42"/>
  <c r="C13" i="42" s="1"/>
  <c r="C7" i="42"/>
  <c r="C6" i="42"/>
  <c r="C5" i="42"/>
  <c r="C4" i="42"/>
  <c r="C11" i="42" s="1"/>
  <c r="C12" i="42" s="1"/>
  <c r="I18" i="41"/>
  <c r="H18" i="41"/>
  <c r="G18" i="41"/>
  <c r="G19" i="41" s="1"/>
  <c r="F18" i="41"/>
  <c r="F19" i="41" s="1"/>
  <c r="E18" i="41"/>
  <c r="E19" i="41" s="1"/>
  <c r="C18" i="41"/>
  <c r="C19" i="41" s="1"/>
  <c r="B18" i="41"/>
  <c r="B19" i="41" s="1"/>
  <c r="D16" i="41"/>
  <c r="D14" i="41"/>
  <c r="D13" i="41"/>
  <c r="D12" i="41"/>
  <c r="D11" i="41"/>
  <c r="D10" i="41"/>
  <c r="G8" i="41"/>
  <c r="F8" i="41"/>
  <c r="E8" i="41"/>
  <c r="C8" i="41"/>
  <c r="B8" i="41"/>
  <c r="I7" i="41"/>
  <c r="I8" i="41" s="1"/>
  <c r="H7" i="41"/>
  <c r="H8" i="41" s="1"/>
  <c r="D7" i="41"/>
  <c r="H6" i="41"/>
  <c r="D6" i="41"/>
  <c r="D8" i="41" s="1"/>
  <c r="F24" i="40"/>
  <c r="F22" i="40" s="1"/>
  <c r="F23" i="40"/>
  <c r="L22" i="40"/>
  <c r="K22" i="40"/>
  <c r="J22" i="40"/>
  <c r="I22" i="40"/>
  <c r="I17" i="40" s="1"/>
  <c r="E22" i="40"/>
  <c r="D22" i="40"/>
  <c r="C22" i="40"/>
  <c r="C17" i="40" s="1"/>
  <c r="L21" i="40"/>
  <c r="F21" i="40"/>
  <c r="L20" i="40"/>
  <c r="F20" i="40"/>
  <c r="L19" i="40"/>
  <c r="H19" i="40"/>
  <c r="F19" i="40"/>
  <c r="K18" i="40"/>
  <c r="K17" i="40" s="1"/>
  <c r="J18" i="40"/>
  <c r="I18" i="40"/>
  <c r="F18" i="40"/>
  <c r="E18" i="40"/>
  <c r="D18" i="40"/>
  <c r="C18" i="40"/>
  <c r="J17" i="40"/>
  <c r="E17" i="40"/>
  <c r="D17" i="40"/>
  <c r="K15" i="40"/>
  <c r="K25" i="40" s="1"/>
  <c r="E15" i="40"/>
  <c r="E25" i="40" s="1"/>
  <c r="K14" i="40"/>
  <c r="E14" i="40"/>
  <c r="L13" i="40"/>
  <c r="F13" i="40"/>
  <c r="L12" i="40"/>
  <c r="F12" i="40"/>
  <c r="L11" i="40"/>
  <c r="L10" i="40" s="1"/>
  <c r="F11" i="40"/>
  <c r="F10" i="40" s="1"/>
  <c r="K10" i="40"/>
  <c r="J10" i="40"/>
  <c r="J15" i="40" s="1"/>
  <c r="J25" i="40" s="1"/>
  <c r="I10" i="40"/>
  <c r="E10" i="40"/>
  <c r="D10" i="40"/>
  <c r="D15" i="40" s="1"/>
  <c r="D25" i="40" s="1"/>
  <c r="C10" i="40"/>
  <c r="I14" i="40" s="1"/>
  <c r="J9" i="40"/>
  <c r="I9" i="40"/>
  <c r="D9" i="40"/>
  <c r="C9" i="40"/>
  <c r="L8" i="40"/>
  <c r="L7" i="40"/>
  <c r="F7" i="40"/>
  <c r="L6" i="40"/>
  <c r="F6" i="40"/>
  <c r="L5" i="40"/>
  <c r="F5" i="40"/>
  <c r="L4" i="40"/>
  <c r="F4" i="40"/>
  <c r="K3" i="40"/>
  <c r="J3" i="40"/>
  <c r="I3" i="40"/>
  <c r="I15" i="40" s="1"/>
  <c r="I25" i="40" s="1"/>
  <c r="F3" i="40"/>
  <c r="E3" i="40"/>
  <c r="K9" i="40" s="1"/>
  <c r="D3" i="40"/>
  <c r="C3" i="40"/>
  <c r="C15" i="40" s="1"/>
  <c r="C25" i="40" s="1"/>
  <c r="O47" i="25"/>
  <c r="O48" i="25"/>
  <c r="Z107" i="10"/>
  <c r="Z106" i="10"/>
  <c r="Z105" i="10"/>
  <c r="Z104" i="10"/>
  <c r="Z103" i="10"/>
  <c r="Z102" i="10"/>
  <c r="Z101" i="10"/>
  <c r="Z100" i="10"/>
  <c r="Z99" i="10"/>
  <c r="Z98" i="10"/>
  <c r="Z97" i="10"/>
  <c r="Z96" i="10"/>
  <c r="Z95" i="10"/>
  <c r="Z94" i="10"/>
  <c r="Z93" i="10"/>
  <c r="Z92" i="10"/>
  <c r="Z91" i="10"/>
  <c r="Z90" i="10"/>
  <c r="Z89" i="10"/>
  <c r="Z88" i="10"/>
  <c r="Z87" i="10"/>
  <c r="Z86" i="10"/>
  <c r="Z85" i="10"/>
  <c r="Z84" i="10"/>
  <c r="Z83" i="10"/>
  <c r="Z82" i="10"/>
  <c r="Z81" i="10"/>
  <c r="Z80" i="10"/>
  <c r="Z79" i="10"/>
  <c r="Z78" i="10"/>
  <c r="Z77" i="10"/>
  <c r="Z76" i="10"/>
  <c r="Z75" i="10"/>
  <c r="Z74" i="10"/>
  <c r="Z73" i="10"/>
  <c r="Z72" i="10"/>
  <c r="Z71" i="10"/>
  <c r="Z70" i="10"/>
  <c r="Z69" i="10"/>
  <c r="Z68" i="10"/>
  <c r="Z67" i="10"/>
  <c r="Z66" i="10"/>
  <c r="Z65" i="10"/>
  <c r="Z64" i="10"/>
  <c r="Z63" i="10"/>
  <c r="Z62" i="10"/>
  <c r="Z61" i="10"/>
  <c r="Z60" i="10"/>
  <c r="Z59" i="10"/>
  <c r="Z58" i="10"/>
  <c r="Z57" i="10"/>
  <c r="Z56" i="10"/>
  <c r="Z55" i="10"/>
  <c r="Z54" i="10"/>
  <c r="Z53" i="10"/>
  <c r="Z52" i="10"/>
  <c r="Z51" i="10"/>
  <c r="Z50" i="10"/>
  <c r="Z49" i="10"/>
  <c r="Z48" i="10"/>
  <c r="Z47" i="10"/>
  <c r="Z46" i="10"/>
  <c r="Z45" i="10"/>
  <c r="Z44" i="10"/>
  <c r="Z43" i="10"/>
  <c r="Z42" i="10"/>
  <c r="Z41" i="10"/>
  <c r="Z40" i="10"/>
  <c r="Z39" i="10"/>
  <c r="Z38" i="10"/>
  <c r="Z37" i="10"/>
  <c r="Z36" i="10"/>
  <c r="Z35" i="10"/>
  <c r="Z34" i="10"/>
  <c r="Z33" i="10"/>
  <c r="Z32" i="10"/>
  <c r="Z31" i="10"/>
  <c r="Z30" i="10"/>
  <c r="Z29" i="10"/>
  <c r="Z28" i="10"/>
  <c r="Z27" i="10"/>
  <c r="Z26" i="10"/>
  <c r="Z25" i="10"/>
  <c r="Z24" i="10"/>
  <c r="Z23" i="10"/>
  <c r="Z22" i="10"/>
  <c r="Z21" i="10"/>
  <c r="Z20" i="10"/>
  <c r="Z19" i="10"/>
  <c r="Z18" i="10"/>
  <c r="Z17" i="10"/>
  <c r="Z16" i="10"/>
  <c r="Z15" i="10"/>
  <c r="Z14" i="10"/>
  <c r="Z13" i="10"/>
  <c r="Z12" i="10"/>
  <c r="Z11" i="10"/>
  <c r="Z10" i="10"/>
  <c r="Z9" i="10"/>
  <c r="Z8" i="10"/>
  <c r="Z7" i="10"/>
  <c r="Z6" i="10"/>
  <c r="Z5" i="10"/>
  <c r="Z110" i="10"/>
  <c r="P15" i="23"/>
  <c r="O13" i="23"/>
  <c r="P16" i="23"/>
  <c r="Y20" i="23"/>
  <c r="Y19" i="23"/>
  <c r="Y18" i="23"/>
  <c r="Y17" i="23"/>
  <c r="R39" i="7"/>
  <c r="C31" i="42" l="1"/>
  <c r="C32" i="42" s="1"/>
  <c r="D18" i="41"/>
  <c r="D19" i="41" s="1"/>
  <c r="F17" i="40"/>
  <c r="L18" i="40"/>
  <c r="L17" i="40" s="1"/>
  <c r="L3" i="40"/>
  <c r="L15" i="40" s="1"/>
  <c r="L25" i="40" s="1"/>
  <c r="H19" i="41"/>
  <c r="I19" i="41"/>
  <c r="J26" i="40"/>
  <c r="L14" i="40"/>
  <c r="F14" i="40"/>
  <c r="F15" i="40"/>
  <c r="E9" i="40"/>
  <c r="K16" i="40" s="1"/>
  <c r="C14" i="40"/>
  <c r="I16" i="40" s="1"/>
  <c r="C16" i="40"/>
  <c r="M3" i="40"/>
  <c r="F9" i="40"/>
  <c r="D14" i="40"/>
  <c r="J14" i="40"/>
  <c r="J16" i="40" s="1"/>
  <c r="O19" i="10"/>
  <c r="O169" i="25"/>
  <c r="N3" i="40" l="1"/>
  <c r="F25" i="40"/>
  <c r="L26" i="40" s="1"/>
  <c r="L9" i="40"/>
  <c r="L16" i="40" s="1"/>
  <c r="D16" i="40"/>
  <c r="E16" i="40"/>
  <c r="F16" i="40" l="1"/>
  <c r="W37" i="21"/>
  <c r="W36" i="21"/>
  <c r="W35" i="21"/>
  <c r="W30" i="21"/>
  <c r="W29" i="21"/>
  <c r="W28" i="21"/>
  <c r="W27" i="21"/>
  <c r="W19" i="21"/>
  <c r="W18" i="21"/>
  <c r="W11" i="21"/>
  <c r="W10" i="21"/>
  <c r="W49" i="20"/>
  <c r="W48" i="20"/>
  <c r="W47" i="20"/>
  <c r="W46" i="20"/>
  <c r="W45" i="20"/>
  <c r="W44" i="20"/>
  <c r="W43" i="20"/>
  <c r="W42" i="20"/>
  <c r="W41" i="20"/>
  <c r="W40" i="20"/>
  <c r="W39" i="20"/>
  <c r="R46" i="12"/>
  <c r="R45" i="12"/>
  <c r="R44" i="12"/>
  <c r="R43" i="12"/>
  <c r="R42" i="12"/>
  <c r="R41" i="12"/>
  <c r="R40" i="12"/>
  <c r="R39" i="12"/>
  <c r="R38" i="12"/>
  <c r="R37" i="12"/>
  <c r="R36" i="12"/>
  <c r="R207" i="3"/>
  <c r="R206" i="3"/>
  <c r="R205" i="3"/>
  <c r="R204" i="3"/>
  <c r="R203" i="3"/>
  <c r="R202" i="3"/>
  <c r="R201" i="3"/>
  <c r="R200" i="3"/>
  <c r="R199" i="3"/>
  <c r="R198" i="3"/>
  <c r="R197" i="3"/>
  <c r="R196" i="3"/>
  <c r="R195" i="3"/>
  <c r="R194" i="3"/>
  <c r="R193" i="3"/>
  <c r="R192" i="3"/>
  <c r="R191" i="3"/>
  <c r="R190" i="3"/>
  <c r="R189" i="3"/>
  <c r="R188" i="3"/>
  <c r="R187" i="3"/>
  <c r="R186" i="3"/>
  <c r="R185" i="3"/>
  <c r="R184" i="3"/>
  <c r="R183" i="3"/>
  <c r="R182" i="3"/>
  <c r="R181" i="3"/>
  <c r="R180" i="3"/>
  <c r="R179" i="3"/>
  <c r="R178" i="3"/>
  <c r="R177" i="3"/>
  <c r="R176" i="3"/>
  <c r="R175" i="3"/>
  <c r="R174" i="3"/>
  <c r="R173" i="3"/>
  <c r="R172" i="3"/>
  <c r="R171" i="3"/>
  <c r="R170" i="3"/>
  <c r="R169" i="3"/>
  <c r="R168" i="3"/>
  <c r="R167" i="3"/>
  <c r="R166" i="3"/>
  <c r="R165" i="3"/>
  <c r="R164" i="3"/>
  <c r="R163" i="3"/>
  <c r="R162" i="3"/>
  <c r="R161" i="3"/>
  <c r="R160" i="3"/>
  <c r="R159" i="3"/>
  <c r="R158" i="3"/>
  <c r="R157" i="3"/>
  <c r="R156" i="3"/>
  <c r="R155" i="3"/>
  <c r="R154" i="3"/>
  <c r="R153" i="3"/>
  <c r="R152" i="3"/>
  <c r="R151" i="3"/>
  <c r="R150" i="3"/>
  <c r="R21" i="3"/>
  <c r="R20" i="3"/>
  <c r="R15" i="3"/>
  <c r="R18" i="3"/>
  <c r="R13" i="3"/>
  <c r="R12" i="3"/>
  <c r="R11" i="3"/>
  <c r="R10" i="3"/>
  <c r="R9" i="3"/>
  <c r="R8" i="3"/>
  <c r="R7" i="3"/>
  <c r="R6" i="3"/>
  <c r="R54" i="3"/>
  <c r="R53" i="3"/>
  <c r="R52" i="3"/>
  <c r="R51" i="3"/>
  <c r="R50" i="3"/>
  <c r="R47" i="3"/>
  <c r="R46" i="3"/>
  <c r="R45" i="3"/>
  <c r="R44" i="3"/>
  <c r="R43" i="3"/>
  <c r="R42" i="3"/>
  <c r="R41" i="3"/>
  <c r="R40" i="3"/>
  <c r="R39" i="3"/>
  <c r="R37" i="3"/>
  <c r="R31" i="3"/>
  <c r="R30" i="3"/>
  <c r="R29" i="3"/>
  <c r="R28" i="3"/>
  <c r="R27" i="3"/>
  <c r="R26" i="3"/>
  <c r="R25" i="3"/>
  <c r="R46" i="37"/>
  <c r="R45" i="37"/>
  <c r="R44" i="37"/>
  <c r="R43" i="37"/>
  <c r="R42" i="37"/>
  <c r="R41" i="37"/>
  <c r="R40" i="37"/>
  <c r="R39" i="37"/>
  <c r="R38" i="37"/>
  <c r="R37" i="37"/>
  <c r="R36" i="37"/>
  <c r="R148" i="3"/>
  <c r="R147" i="3"/>
  <c r="R145" i="3"/>
  <c r="R142" i="3"/>
  <c r="R141" i="3"/>
  <c r="R140" i="3"/>
  <c r="R139" i="3"/>
  <c r="R138" i="3"/>
  <c r="R137" i="3"/>
  <c r="R136" i="3"/>
  <c r="R135" i="3"/>
  <c r="R134" i="3"/>
  <c r="R127" i="3"/>
  <c r="R125" i="3"/>
  <c r="R124" i="3"/>
  <c r="R120" i="3"/>
  <c r="R119" i="3"/>
  <c r="R115" i="3"/>
  <c r="R114" i="3"/>
  <c r="R113" i="3"/>
  <c r="R38" i="8"/>
  <c r="R37" i="8"/>
  <c r="R36" i="8"/>
  <c r="S42" i="18"/>
  <c r="R43" i="14"/>
  <c r="R41" i="14"/>
  <c r="R40" i="14"/>
  <c r="R39" i="14"/>
  <c r="R38" i="14"/>
  <c r="R37" i="14"/>
  <c r="R36" i="14"/>
  <c r="S57" i="3"/>
  <c r="R79" i="3"/>
  <c r="R78" i="3"/>
  <c r="R77" i="3"/>
  <c r="R76" i="3"/>
  <c r="R75" i="3"/>
  <c r="R72" i="3"/>
  <c r="R71" i="3"/>
  <c r="R70" i="3"/>
  <c r="R69" i="3"/>
  <c r="R68" i="3"/>
  <c r="R67" i="3"/>
  <c r="R66" i="3"/>
  <c r="R65" i="3"/>
  <c r="R62" i="3"/>
  <c r="R61" i="3"/>
  <c r="R60" i="3"/>
  <c r="R59" i="3"/>
  <c r="R58" i="3"/>
  <c r="R57" i="3"/>
  <c r="R56" i="3"/>
  <c r="R105" i="3"/>
  <c r="R104" i="3"/>
  <c r="R93" i="3"/>
  <c r="R92" i="3"/>
  <c r="R91" i="3"/>
  <c r="R90" i="3"/>
  <c r="R89" i="3"/>
  <c r="R106" i="3"/>
  <c r="R103" i="3"/>
  <c r="R102" i="3"/>
  <c r="R100" i="3"/>
  <c r="R95" i="3"/>
  <c r="R88" i="3"/>
  <c r="R87" i="3"/>
  <c r="R86" i="3"/>
  <c r="N99" i="3"/>
  <c r="N205" i="3"/>
  <c r="N200" i="3"/>
  <c r="N196" i="3"/>
  <c r="N195" i="3"/>
  <c r="N192" i="3"/>
  <c r="N190" i="3"/>
  <c r="N189" i="3"/>
  <c r="N188" i="3"/>
  <c r="N184" i="3"/>
  <c r="N182" i="3"/>
  <c r="N177" i="3"/>
  <c r="N176" i="3"/>
  <c r="N174" i="3"/>
  <c r="N171" i="3"/>
  <c r="N164" i="3"/>
  <c r="N160" i="3"/>
  <c r="N158" i="3"/>
  <c r="N155" i="3"/>
  <c r="N154" i="3"/>
  <c r="E3" i="29"/>
  <c r="O56" i="25" l="1"/>
  <c r="O221" i="25"/>
  <c r="O222" i="25"/>
  <c r="O65" i="25"/>
  <c r="O51" i="25"/>
  <c r="N59" i="39"/>
  <c r="M59" i="39"/>
  <c r="N56" i="39"/>
  <c r="M56" i="39"/>
  <c r="N53" i="39"/>
  <c r="M53" i="39"/>
  <c r="N46" i="39"/>
  <c r="M46" i="39"/>
  <c r="N39" i="39"/>
  <c r="N22" i="39"/>
  <c r="M22" i="39"/>
  <c r="N9" i="39"/>
  <c r="M9" i="39"/>
  <c r="N6" i="39"/>
  <c r="M6" i="39"/>
  <c r="N5" i="39"/>
  <c r="M5" i="39"/>
  <c r="P29" i="23"/>
  <c r="O146" i="25"/>
  <c r="O148" i="25"/>
  <c r="O103" i="10" l="1"/>
  <c r="G3" i="29" l="1"/>
  <c r="L33" i="12"/>
  <c r="N65" i="39" l="1"/>
  <c r="M65" i="39"/>
  <c r="O86" i="39"/>
  <c r="R118" i="3" l="1"/>
  <c r="R112" i="3"/>
  <c r="R117" i="3"/>
  <c r="R111" i="3"/>
  <c r="R108" i="3"/>
  <c r="R126" i="3"/>
  <c r="R121" i="3"/>
  <c r="R116" i="3"/>
  <c r="R110" i="3"/>
  <c r="W34" i="21"/>
  <c r="W31" i="21"/>
  <c r="W26" i="21"/>
  <c r="W25" i="21"/>
  <c r="W24" i="21"/>
  <c r="W23" i="21"/>
  <c r="W22" i="21"/>
  <c r="W21" i="21"/>
  <c r="W20" i="21"/>
  <c r="W5" i="21"/>
  <c r="W6" i="21"/>
  <c r="W17" i="21"/>
  <c r="W9" i="21"/>
  <c r="W8" i="21"/>
  <c r="W7" i="21"/>
  <c r="E6" i="29" l="1"/>
  <c r="E7" i="29"/>
  <c r="E16" i="29"/>
  <c r="O161" i="25"/>
  <c r="N41" i="39"/>
  <c r="M41" i="39"/>
  <c r="R161" i="25"/>
  <c r="T18" i="10"/>
  <c r="P18" i="10"/>
  <c r="O18" i="10"/>
  <c r="R24" i="10"/>
  <c r="V24" i="10"/>
  <c r="O228" i="25" l="1"/>
  <c r="O229" i="25"/>
  <c r="O218" i="25"/>
  <c r="O187" i="25"/>
  <c r="R8" i="18"/>
  <c r="W58" i="11"/>
  <c r="S28" i="23"/>
  <c r="O28" i="23"/>
  <c r="O235" i="25"/>
  <c r="N45" i="39"/>
  <c r="M45" i="39"/>
  <c r="W51" i="25"/>
  <c r="R245" i="25"/>
  <c r="R57" i="25"/>
  <c r="Q42" i="39"/>
  <c r="Q49" i="39" s="1"/>
  <c r="P42" i="39"/>
  <c r="R51" i="25"/>
  <c r="R56" i="25"/>
  <c r="R171" i="25"/>
  <c r="O171" i="25"/>
  <c r="R169" i="25"/>
  <c r="R46" i="25"/>
  <c r="T9" i="23"/>
  <c r="T8" i="23"/>
  <c r="R239" i="25"/>
  <c r="R238" i="25"/>
  <c r="S238" i="25" s="1"/>
  <c r="R194" i="25"/>
  <c r="O194" i="25"/>
  <c r="R170" i="25"/>
  <c r="T22" i="23" s="1"/>
  <c r="P49" i="39"/>
  <c r="N49" i="39"/>
  <c r="R48" i="39"/>
  <c r="O48" i="39"/>
  <c r="Q46" i="39"/>
  <c r="M38" i="39"/>
  <c r="P38" i="39"/>
  <c r="R65" i="25"/>
  <c r="R47" i="25"/>
  <c r="N61" i="39"/>
  <c r="M61" i="39"/>
  <c r="N57" i="39"/>
  <c r="M57" i="39"/>
  <c r="O63" i="39"/>
  <c r="O234" i="25"/>
  <c r="R32" i="25"/>
  <c r="O46" i="39" l="1"/>
  <c r="M49" i="39"/>
  <c r="S56" i="10"/>
  <c r="S47" i="10"/>
  <c r="P46" i="39"/>
  <c r="R46" i="39" s="1"/>
  <c r="Q45" i="39"/>
  <c r="P45" i="39"/>
  <c r="R67" i="39"/>
  <c r="O67" i="39"/>
  <c r="L67" i="39"/>
  <c r="Q61" i="39"/>
  <c r="Q68" i="39" s="1"/>
  <c r="P61" i="39"/>
  <c r="P68" i="39" s="1"/>
  <c r="R63" i="39"/>
  <c r="T29" i="23" l="1"/>
  <c r="N28" i="39"/>
  <c r="M28" i="39"/>
  <c r="S245" i="25"/>
  <c r="O220" i="25"/>
  <c r="R220" i="25"/>
  <c r="T11" i="23"/>
  <c r="R241" i="25"/>
  <c r="S241" i="25" s="1"/>
  <c r="R191" i="25"/>
  <c r="O191" i="25"/>
  <c r="O181" i="25"/>
  <c r="R146" i="25"/>
  <c r="R145" i="25" s="1"/>
  <c r="O145" i="25"/>
  <c r="R141" i="25"/>
  <c r="O141" i="25"/>
  <c r="R138" i="25"/>
  <c r="O138" i="25"/>
  <c r="R136" i="25"/>
  <c r="O136" i="25"/>
  <c r="R131" i="25"/>
  <c r="O131" i="25"/>
  <c r="O129" i="25"/>
  <c r="R125" i="25"/>
  <c r="O125" i="25"/>
  <c r="R123" i="25"/>
  <c r="O77" i="25"/>
  <c r="N52" i="39"/>
  <c r="M52" i="39"/>
  <c r="O72" i="25"/>
  <c r="S105" i="10"/>
  <c r="O105" i="10" l="1"/>
  <c r="V59" i="10"/>
  <c r="S46" i="10"/>
  <c r="O47" i="10"/>
  <c r="S40" i="10"/>
  <c r="V27" i="10"/>
  <c r="S68" i="10"/>
  <c r="S9" i="10"/>
  <c r="O13" i="10"/>
  <c r="O11" i="10"/>
  <c r="O10" i="10"/>
  <c r="O9" i="10"/>
  <c r="O8" i="10"/>
  <c r="R47" i="39" l="1"/>
  <c r="O47" i="39"/>
  <c r="R25" i="39"/>
  <c r="O52" i="25"/>
  <c r="N166" i="3" l="1"/>
  <c r="O19" i="12"/>
  <c r="N219" i="3"/>
  <c r="N161" i="3"/>
  <c r="N156" i="3"/>
  <c r="N203" i="3"/>
  <c r="N198" i="3"/>
  <c r="N179" i="3"/>
  <c r="N175" i="3"/>
  <c r="N172" i="3"/>
  <c r="N169" i="3"/>
  <c r="N162" i="3"/>
  <c r="N168" i="3"/>
  <c r="N165" i="3"/>
  <c r="N153" i="3"/>
  <c r="Q219" i="3"/>
  <c r="L44" i="12"/>
  <c r="Q218" i="3"/>
  <c r="Q216" i="3"/>
  <c r="Q151" i="3"/>
  <c r="Q205" i="3"/>
  <c r="Q206" i="3"/>
  <c r="Q204" i="3"/>
  <c r="N204" i="3"/>
  <c r="Q203" i="3"/>
  <c r="Q202" i="3"/>
  <c r="Q201" i="3"/>
  <c r="Q200" i="3"/>
  <c r="N202" i="3"/>
  <c r="Q166" i="3"/>
  <c r="Q139" i="3"/>
  <c r="N139" i="3"/>
  <c r="N138" i="3"/>
  <c r="N137" i="3"/>
  <c r="S42" i="20"/>
  <c r="S44" i="20"/>
  <c r="O42" i="20"/>
  <c r="O44" i="20"/>
  <c r="V5" i="21"/>
  <c r="R11" i="21"/>
  <c r="R25" i="21"/>
  <c r="R8" i="21"/>
  <c r="R23" i="21"/>
  <c r="R7" i="21"/>
  <c r="R22" i="21"/>
  <c r="N218" i="3" l="1"/>
  <c r="N216" i="3"/>
  <c r="V26" i="21"/>
  <c r="N24" i="21"/>
  <c r="R24" i="21"/>
  <c r="R9" i="21"/>
  <c r="O46" i="20"/>
  <c r="V9" i="21"/>
  <c r="V8" i="21"/>
  <c r="V7" i="21"/>
  <c r="S46" i="20"/>
  <c r="V17" i="21"/>
  <c r="R17" i="21"/>
  <c r="O34" i="14"/>
  <c r="O39" i="14"/>
  <c r="N91" i="3"/>
  <c r="L39" i="14" s="1"/>
  <c r="N106" i="3"/>
  <c r="M39" i="14" s="1"/>
  <c r="Q100" i="3"/>
  <c r="N100" i="3"/>
  <c r="N90" i="3"/>
  <c r="N89" i="3"/>
  <c r="N113" i="3"/>
  <c r="N115" i="3"/>
  <c r="L43" i="8" s="1"/>
  <c r="L42" i="8" s="1"/>
  <c r="N124" i="3"/>
  <c r="N121" i="3" s="1"/>
  <c r="T38" i="30" s="1"/>
  <c r="N111" i="3"/>
  <c r="N117" i="3"/>
  <c r="N112" i="3"/>
  <c r="P39" i="18"/>
  <c r="O39" i="18"/>
  <c r="O44" i="18"/>
  <c r="Q44" i="18" s="1"/>
  <c r="L44" i="18"/>
  <c r="N70" i="3"/>
  <c r="L43" i="18" s="1"/>
  <c r="N62" i="3"/>
  <c r="L41" i="18" s="1"/>
  <c r="N68" i="3"/>
  <c r="N66" i="3"/>
  <c r="P43" i="18"/>
  <c r="P42" i="18" s="1"/>
  <c r="O43" i="18"/>
  <c r="Q77" i="3"/>
  <c r="N77" i="3"/>
  <c r="O41" i="18"/>
  <c r="Q41" i="18" s="1"/>
  <c r="Q65" i="3"/>
  <c r="O13" i="18"/>
  <c r="N46" i="3"/>
  <c r="L43" i="7" s="1"/>
  <c r="L42" i="7" s="1"/>
  <c r="P43" i="7"/>
  <c r="P42" i="7" s="1"/>
  <c r="O43" i="7"/>
  <c r="Q52" i="3"/>
  <c r="N52" i="3"/>
  <c r="N43" i="3"/>
  <c r="L38" i="7" s="1"/>
  <c r="N28" i="3"/>
  <c r="P39" i="37"/>
  <c r="P39" i="8"/>
  <c r="P39" i="7"/>
  <c r="O39" i="7"/>
  <c r="P39" i="5"/>
  <c r="O39" i="5"/>
  <c r="P39" i="2"/>
  <c r="Q11" i="3"/>
  <c r="O39" i="2" s="1"/>
  <c r="Q147" i="3"/>
  <c r="N147" i="3"/>
  <c r="Q126" i="3"/>
  <c r="N126" i="3"/>
  <c r="Q36" i="3"/>
  <c r="N36" i="3"/>
  <c r="Q20" i="3"/>
  <c r="N20" i="3"/>
  <c r="N18" i="3"/>
  <c r="N11" i="3" s="1"/>
  <c r="L39" i="2" s="1"/>
  <c r="V60" i="11"/>
  <c r="V59" i="11"/>
  <c r="U58" i="11"/>
  <c r="T58" i="11"/>
  <c r="S58" i="11"/>
  <c r="V58" i="11" s="1"/>
  <c r="U57" i="11"/>
  <c r="T57" i="11"/>
  <c r="S57" i="11"/>
  <c r="V56" i="11"/>
  <c r="S54" i="11"/>
  <c r="V54" i="11" s="1"/>
  <c r="V53" i="11"/>
  <c r="V52" i="11"/>
  <c r="V51" i="11"/>
  <c r="U50" i="11"/>
  <c r="U49" i="11" s="1"/>
  <c r="T50" i="11"/>
  <c r="S50" i="11"/>
  <c r="S49" i="11" s="1"/>
  <c r="T49" i="11"/>
  <c r="T48" i="11" s="1"/>
  <c r="T47" i="11" s="1"/>
  <c r="T44" i="11"/>
  <c r="T43" i="11"/>
  <c r="T40" i="11" s="1"/>
  <c r="U42" i="11"/>
  <c r="T42" i="11"/>
  <c r="S42" i="11"/>
  <c r="U41" i="11"/>
  <c r="T41" i="11"/>
  <c r="S41" i="11"/>
  <c r="U39" i="11"/>
  <c r="T39" i="11"/>
  <c r="S39" i="11"/>
  <c r="U38" i="11"/>
  <c r="T38" i="11"/>
  <c r="S38" i="11"/>
  <c r="U37" i="11"/>
  <c r="U36" i="11"/>
  <c r="T36" i="11"/>
  <c r="S36" i="11"/>
  <c r="U34" i="11"/>
  <c r="T34" i="11"/>
  <c r="T31" i="11" s="1"/>
  <c r="S34" i="11"/>
  <c r="U33" i="11"/>
  <c r="T33" i="11"/>
  <c r="S33" i="11"/>
  <c r="V33" i="11" s="1"/>
  <c r="U32" i="11"/>
  <c r="U31" i="11" s="1"/>
  <c r="T32" i="11"/>
  <c r="S32" i="11"/>
  <c r="U29" i="11"/>
  <c r="U27" i="11" s="1"/>
  <c r="S29" i="11"/>
  <c r="U28" i="11"/>
  <c r="T28" i="11"/>
  <c r="S28" i="11"/>
  <c r="U26" i="11"/>
  <c r="T26" i="11"/>
  <c r="U25" i="11"/>
  <c r="T25" i="11"/>
  <c r="U24" i="11"/>
  <c r="T24" i="11"/>
  <c r="T23" i="11"/>
  <c r="U22" i="11"/>
  <c r="T22" i="11"/>
  <c r="U19" i="11"/>
  <c r="T19" i="11"/>
  <c r="U17" i="11"/>
  <c r="T17" i="11"/>
  <c r="S17" i="11"/>
  <c r="U16" i="11"/>
  <c r="T16" i="11"/>
  <c r="S16" i="11"/>
  <c r="T14" i="11"/>
  <c r="T12" i="11"/>
  <c r="T9" i="11"/>
  <c r="U8" i="11"/>
  <c r="T8" i="11"/>
  <c r="S8" i="11"/>
  <c r="U7" i="11"/>
  <c r="T7" i="11"/>
  <c r="R60" i="11"/>
  <c r="R59" i="11"/>
  <c r="Q58" i="11"/>
  <c r="P58" i="11"/>
  <c r="O58" i="11"/>
  <c r="R58" i="11" s="1"/>
  <c r="Q57" i="11"/>
  <c r="P57" i="11"/>
  <c r="O57" i="11"/>
  <c r="R56" i="11"/>
  <c r="Q55" i="11"/>
  <c r="O54" i="11"/>
  <c r="R54" i="11" s="1"/>
  <c r="R53" i="11"/>
  <c r="R52" i="11"/>
  <c r="R51" i="11"/>
  <c r="Q50" i="11"/>
  <c r="Q49" i="11" s="1"/>
  <c r="P50" i="11"/>
  <c r="O50" i="11"/>
  <c r="O49" i="11" s="1"/>
  <c r="P49" i="11"/>
  <c r="P44" i="11"/>
  <c r="P43" i="11"/>
  <c r="Q42" i="11"/>
  <c r="P42" i="11"/>
  <c r="O42" i="11"/>
  <c r="Q41" i="11"/>
  <c r="P41" i="11"/>
  <c r="O41" i="11"/>
  <c r="Q39" i="11"/>
  <c r="P39" i="11"/>
  <c r="O39" i="11"/>
  <c r="Q38" i="11"/>
  <c r="P38" i="11"/>
  <c r="O38" i="11"/>
  <c r="Q36" i="11"/>
  <c r="P36" i="11"/>
  <c r="O36" i="11"/>
  <c r="Q34" i="11"/>
  <c r="P34" i="11"/>
  <c r="Q33" i="11"/>
  <c r="Q31" i="11" s="1"/>
  <c r="P33" i="11"/>
  <c r="O33" i="11"/>
  <c r="Q32" i="11"/>
  <c r="P32" i="11"/>
  <c r="P31" i="11" s="1"/>
  <c r="O32" i="11"/>
  <c r="Q29" i="11"/>
  <c r="O29" i="11"/>
  <c r="Q28" i="11"/>
  <c r="P28" i="11"/>
  <c r="O28" i="11"/>
  <c r="Q26" i="11"/>
  <c r="P26" i="11"/>
  <c r="O26" i="11"/>
  <c r="Q25" i="11"/>
  <c r="P25" i="11"/>
  <c r="O25" i="11"/>
  <c r="Q24" i="11"/>
  <c r="P24" i="11"/>
  <c r="O24" i="11"/>
  <c r="Q22" i="11"/>
  <c r="P22" i="11"/>
  <c r="O22" i="11"/>
  <c r="Q19" i="11"/>
  <c r="P19" i="11"/>
  <c r="O19" i="11"/>
  <c r="Q17" i="11"/>
  <c r="P17" i="11"/>
  <c r="O17" i="11"/>
  <c r="Q16" i="11"/>
  <c r="P16" i="11"/>
  <c r="O16" i="11"/>
  <c r="P15" i="11"/>
  <c r="Q8" i="11"/>
  <c r="P8" i="11"/>
  <c r="O8" i="11"/>
  <c r="Q7" i="11"/>
  <c r="P7" i="11"/>
  <c r="U34" i="24"/>
  <c r="T34" i="24"/>
  <c r="T32" i="24" s="1"/>
  <c r="S34" i="24"/>
  <c r="V34" i="24" s="1"/>
  <c r="U33" i="24"/>
  <c r="T33" i="24"/>
  <c r="S33" i="24"/>
  <c r="V33" i="24" s="1"/>
  <c r="U32" i="24"/>
  <c r="U31" i="24"/>
  <c r="T31" i="24"/>
  <c r="S31" i="24"/>
  <c r="T30" i="24"/>
  <c r="S30" i="24"/>
  <c r="T29" i="24"/>
  <c r="S29" i="24"/>
  <c r="U28" i="24"/>
  <c r="T28" i="24"/>
  <c r="S28" i="24"/>
  <c r="V28" i="24" s="1"/>
  <c r="U27" i="24"/>
  <c r="T27" i="24"/>
  <c r="V23" i="24"/>
  <c r="V22" i="24"/>
  <c r="V21" i="24"/>
  <c r="V20" i="24"/>
  <c r="V19" i="24"/>
  <c r="V14" i="24"/>
  <c r="V13" i="24"/>
  <c r="V12" i="24"/>
  <c r="V11" i="24"/>
  <c r="V10" i="24"/>
  <c r="Q34" i="24"/>
  <c r="P34" i="24"/>
  <c r="O34" i="24"/>
  <c r="R34" i="24" s="1"/>
  <c r="Q33" i="24"/>
  <c r="Q32" i="24" s="1"/>
  <c r="P33" i="24"/>
  <c r="O33" i="24"/>
  <c r="P32" i="24"/>
  <c r="O32" i="24"/>
  <c r="Q31" i="24"/>
  <c r="P31" i="24"/>
  <c r="O31" i="24"/>
  <c r="R31" i="24" s="1"/>
  <c r="P30" i="24"/>
  <c r="O30" i="24"/>
  <c r="P29" i="24"/>
  <c r="O29" i="24"/>
  <c r="Q28" i="24"/>
  <c r="P28" i="24"/>
  <c r="O28" i="24"/>
  <c r="Q27" i="24"/>
  <c r="P27" i="24"/>
  <c r="P26" i="24" s="1"/>
  <c r="P25" i="24" s="1"/>
  <c r="R23" i="24"/>
  <c r="R22" i="24"/>
  <c r="R21" i="24"/>
  <c r="R20" i="24"/>
  <c r="R19" i="24"/>
  <c r="R14" i="24"/>
  <c r="R13" i="24"/>
  <c r="R12" i="24"/>
  <c r="R11" i="24"/>
  <c r="R10" i="24"/>
  <c r="X95" i="30"/>
  <c r="X94" i="30"/>
  <c r="X93" i="30"/>
  <c r="U42" i="30"/>
  <c r="U27" i="30"/>
  <c r="U20" i="30"/>
  <c r="T94" i="30"/>
  <c r="T95" i="30"/>
  <c r="T93" i="30"/>
  <c r="Q42" i="30"/>
  <c r="Q27" i="30"/>
  <c r="Q20" i="30"/>
  <c r="V109" i="10"/>
  <c r="V108" i="10"/>
  <c r="U107" i="10"/>
  <c r="T107" i="10"/>
  <c r="S107" i="10"/>
  <c r="V105" i="10"/>
  <c r="S104" i="10"/>
  <c r="S102" i="10" s="1"/>
  <c r="V103" i="10"/>
  <c r="U102" i="10"/>
  <c r="T102" i="10"/>
  <c r="V101" i="10"/>
  <c r="V100" i="10"/>
  <c r="V99" i="10"/>
  <c r="V98" i="10"/>
  <c r="V97" i="10"/>
  <c r="V96" i="10" s="1"/>
  <c r="U96" i="10"/>
  <c r="T96" i="10"/>
  <c r="S96" i="10"/>
  <c r="V90" i="10"/>
  <c r="V89" i="10"/>
  <c r="V88" i="10"/>
  <c r="V87" i="10"/>
  <c r="V86" i="10"/>
  <c r="V85" i="10"/>
  <c r="U84" i="10"/>
  <c r="S84" i="10"/>
  <c r="V83" i="10"/>
  <c r="V82" i="10"/>
  <c r="V81" i="10"/>
  <c r="U80" i="10"/>
  <c r="S80" i="10"/>
  <c r="V79" i="10"/>
  <c r="V78" i="10"/>
  <c r="T77" i="10"/>
  <c r="S77" i="10"/>
  <c r="V76" i="10"/>
  <c r="V75" i="10"/>
  <c r="V74" i="10"/>
  <c r="V73" i="10"/>
  <c r="V72" i="10"/>
  <c r="U71" i="10"/>
  <c r="T71" i="10"/>
  <c r="S71" i="10"/>
  <c r="V70" i="10"/>
  <c r="U69" i="10"/>
  <c r="S65" i="10"/>
  <c r="V67" i="10"/>
  <c r="V66" i="10"/>
  <c r="U65" i="10"/>
  <c r="T65" i="10"/>
  <c r="V62" i="10"/>
  <c r="V61" i="10"/>
  <c r="V60" i="10"/>
  <c r="T59" i="10"/>
  <c r="V58" i="10"/>
  <c r="U57" i="10"/>
  <c r="S57" i="10"/>
  <c r="V56" i="10"/>
  <c r="V55" i="10"/>
  <c r="V54" i="10"/>
  <c r="U53" i="10"/>
  <c r="V52" i="10"/>
  <c r="V51" i="10"/>
  <c r="V50" i="10"/>
  <c r="V49" i="10"/>
  <c r="U48" i="10"/>
  <c r="T48" i="10"/>
  <c r="S48" i="10"/>
  <c r="V47" i="10"/>
  <c r="V46" i="10"/>
  <c r="U45" i="10"/>
  <c r="T45" i="10"/>
  <c r="S45" i="10"/>
  <c r="V44" i="10"/>
  <c r="V42" i="10"/>
  <c r="V41" i="10"/>
  <c r="V40" i="10"/>
  <c r="V39" i="10"/>
  <c r="U38" i="10"/>
  <c r="T38" i="10"/>
  <c r="S38" i="10"/>
  <c r="V37" i="10"/>
  <c r="V36" i="10"/>
  <c r="V35" i="10"/>
  <c r="U34" i="10"/>
  <c r="T34" i="10"/>
  <c r="V33" i="10"/>
  <c r="S33" i="10"/>
  <c r="V32" i="10"/>
  <c r="U31" i="10"/>
  <c r="T31" i="10"/>
  <c r="S31" i="10"/>
  <c r="V30" i="10"/>
  <c r="V29" i="10"/>
  <c r="U28" i="10"/>
  <c r="T28" i="10"/>
  <c r="S28" i="10"/>
  <c r="T26" i="10"/>
  <c r="V25" i="10"/>
  <c r="V23" i="10"/>
  <c r="V22" i="10"/>
  <c r="V21" i="10"/>
  <c r="U20" i="10"/>
  <c r="V20" i="10" s="1"/>
  <c r="V19" i="10"/>
  <c r="U18" i="10"/>
  <c r="S18" i="10"/>
  <c r="V17" i="10"/>
  <c r="V16" i="10"/>
  <c r="S16" i="10"/>
  <c r="V15" i="10"/>
  <c r="V14" i="10"/>
  <c r="V13" i="10"/>
  <c r="V12" i="10"/>
  <c r="V11" i="10"/>
  <c r="V10" i="10"/>
  <c r="V9" i="10"/>
  <c r="V8" i="10"/>
  <c r="U7" i="10"/>
  <c r="T7" i="10"/>
  <c r="S7" i="10"/>
  <c r="R109" i="10"/>
  <c r="R108" i="10"/>
  <c r="Q107" i="10"/>
  <c r="P107" i="10"/>
  <c r="O107" i="10"/>
  <c r="R105" i="10"/>
  <c r="O104" i="10"/>
  <c r="O102" i="10" s="1"/>
  <c r="R103" i="10"/>
  <c r="Q102" i="10"/>
  <c r="P102" i="10"/>
  <c r="P95" i="10" s="1"/>
  <c r="R101" i="10"/>
  <c r="R100" i="10"/>
  <c r="R99" i="10"/>
  <c r="R98" i="10"/>
  <c r="R97" i="10"/>
  <c r="Q96" i="10"/>
  <c r="Q95" i="10" s="1"/>
  <c r="Q94" i="10" s="1"/>
  <c r="P96" i="10"/>
  <c r="O96" i="10"/>
  <c r="R90" i="10"/>
  <c r="R89" i="10"/>
  <c r="R88" i="10"/>
  <c r="R87" i="10"/>
  <c r="R86" i="10"/>
  <c r="R85" i="10"/>
  <c r="Q84" i="10"/>
  <c r="O84" i="10"/>
  <c r="R83" i="10"/>
  <c r="R82" i="10"/>
  <c r="R81" i="10"/>
  <c r="Q80" i="10"/>
  <c r="Q43" i="11" s="1"/>
  <c r="P80" i="10"/>
  <c r="O80" i="10"/>
  <c r="R79" i="10"/>
  <c r="R78" i="10"/>
  <c r="R76" i="10"/>
  <c r="R75" i="10"/>
  <c r="R74" i="10"/>
  <c r="R73" i="10"/>
  <c r="R72" i="10"/>
  <c r="Q71" i="10"/>
  <c r="P71" i="10"/>
  <c r="P37" i="11" s="1"/>
  <c r="O71" i="10"/>
  <c r="O37" i="11" s="1"/>
  <c r="R70" i="10"/>
  <c r="Q69" i="10"/>
  <c r="O68" i="10"/>
  <c r="O34" i="11" s="1"/>
  <c r="R34" i="11" s="1"/>
  <c r="R67" i="10"/>
  <c r="R66" i="10"/>
  <c r="Q65" i="10"/>
  <c r="P65" i="10"/>
  <c r="R62" i="10"/>
  <c r="R61" i="10"/>
  <c r="R60" i="10"/>
  <c r="R59" i="10" s="1"/>
  <c r="P59" i="10"/>
  <c r="R58" i="10"/>
  <c r="Q57" i="10"/>
  <c r="P57" i="10"/>
  <c r="O57" i="10"/>
  <c r="R56" i="10"/>
  <c r="R55" i="10"/>
  <c r="R54" i="10"/>
  <c r="Q53" i="10"/>
  <c r="P53" i="10"/>
  <c r="P23" i="11" s="1"/>
  <c r="O53" i="10"/>
  <c r="R52" i="10"/>
  <c r="R51" i="10"/>
  <c r="R50" i="10"/>
  <c r="R49" i="10"/>
  <c r="Q48" i="10"/>
  <c r="P48" i="10"/>
  <c r="O48" i="10"/>
  <c r="R47" i="10"/>
  <c r="R46" i="10"/>
  <c r="Q45" i="10"/>
  <c r="P45" i="10"/>
  <c r="O45" i="10"/>
  <c r="R44" i="10"/>
  <c r="R42" i="10"/>
  <c r="R41" i="10"/>
  <c r="R40" i="10"/>
  <c r="R39" i="10"/>
  <c r="Q38" i="10"/>
  <c r="P38" i="10"/>
  <c r="O38" i="10"/>
  <c r="R38" i="10" s="1"/>
  <c r="R37" i="10"/>
  <c r="O36" i="10"/>
  <c r="R36" i="10" s="1"/>
  <c r="R35" i="10"/>
  <c r="Q34" i="10"/>
  <c r="P34" i="10"/>
  <c r="O33" i="10"/>
  <c r="O32" i="10"/>
  <c r="R32" i="10" s="1"/>
  <c r="Q31" i="10"/>
  <c r="P31" i="10"/>
  <c r="O30" i="10"/>
  <c r="O29" i="10"/>
  <c r="R29" i="10" s="1"/>
  <c r="Q28" i="10"/>
  <c r="P28" i="10"/>
  <c r="R25" i="10"/>
  <c r="R23" i="10"/>
  <c r="R22" i="10"/>
  <c r="R21" i="10"/>
  <c r="Q20" i="10"/>
  <c r="R20" i="10" s="1"/>
  <c r="R19" i="10"/>
  <c r="R17" i="10"/>
  <c r="O16" i="10"/>
  <c r="R15" i="10"/>
  <c r="R14" i="10"/>
  <c r="R13" i="10"/>
  <c r="R12" i="10"/>
  <c r="R11" i="10"/>
  <c r="R10" i="10"/>
  <c r="R9" i="10"/>
  <c r="R8" i="10"/>
  <c r="Q7" i="10"/>
  <c r="P7" i="10"/>
  <c r="O7" i="10"/>
  <c r="U37" i="23"/>
  <c r="T15" i="23"/>
  <c r="S34" i="23"/>
  <c r="V34" i="23" s="1"/>
  <c r="S29" i="23"/>
  <c r="V29" i="23" s="1"/>
  <c r="S13" i="23"/>
  <c r="V13" i="23" s="1"/>
  <c r="S11" i="23"/>
  <c r="S10" i="23"/>
  <c r="S9" i="23"/>
  <c r="S8" i="23"/>
  <c r="U48" i="20"/>
  <c r="U18" i="24" s="1"/>
  <c r="T48" i="20"/>
  <c r="S48" i="20"/>
  <c r="U47" i="20"/>
  <c r="U17" i="24" s="1"/>
  <c r="T47" i="20"/>
  <c r="S47" i="20"/>
  <c r="U46" i="20"/>
  <c r="U16" i="24" s="1"/>
  <c r="T46" i="20"/>
  <c r="R73" i="39" s="1"/>
  <c r="U44" i="20"/>
  <c r="U9" i="24" s="1"/>
  <c r="T44" i="20"/>
  <c r="U43" i="20"/>
  <c r="U8" i="24" s="1"/>
  <c r="T43" i="20"/>
  <c r="S43" i="20"/>
  <c r="U41" i="20"/>
  <c r="U6" i="24" s="1"/>
  <c r="U40" i="20"/>
  <c r="V36" i="20"/>
  <c r="V32" i="20"/>
  <c r="V31" i="20"/>
  <c r="U31" i="20"/>
  <c r="T31" i="20"/>
  <c r="S31" i="20"/>
  <c r="V30" i="20"/>
  <c r="V29" i="20"/>
  <c r="U28" i="20"/>
  <c r="T28" i="20"/>
  <c r="T25" i="20" s="1"/>
  <c r="S28" i="20"/>
  <c r="V28" i="20" s="1"/>
  <c r="V27" i="20"/>
  <c r="U26" i="20"/>
  <c r="T26" i="20"/>
  <c r="V26" i="20" s="1"/>
  <c r="S26" i="20"/>
  <c r="U25" i="20"/>
  <c r="U33" i="20" s="1"/>
  <c r="V24" i="20"/>
  <c r="V23" i="20"/>
  <c r="U23" i="20"/>
  <c r="T23" i="20"/>
  <c r="S23" i="20"/>
  <c r="V22" i="20"/>
  <c r="U22" i="20"/>
  <c r="T22" i="20"/>
  <c r="U21" i="20"/>
  <c r="T21" i="20"/>
  <c r="V21" i="20" s="1"/>
  <c r="S21" i="20"/>
  <c r="U20" i="20"/>
  <c r="T20" i="20"/>
  <c r="V20" i="20" s="1"/>
  <c r="S20" i="20"/>
  <c r="V19" i="20"/>
  <c r="V18" i="20"/>
  <c r="U18" i="20"/>
  <c r="T18" i="20"/>
  <c r="S18" i="20"/>
  <c r="V17" i="20"/>
  <c r="U17" i="20"/>
  <c r="U14" i="20" s="1"/>
  <c r="T17" i="20"/>
  <c r="S17" i="20"/>
  <c r="V16" i="20"/>
  <c r="U15" i="20"/>
  <c r="T15" i="20"/>
  <c r="S15" i="20"/>
  <c r="V15" i="20" s="1"/>
  <c r="V13" i="20"/>
  <c r="V12" i="20"/>
  <c r="U11" i="20"/>
  <c r="U8" i="20" s="1"/>
  <c r="T11" i="20"/>
  <c r="S11" i="20"/>
  <c r="V10" i="20"/>
  <c r="V9" i="20"/>
  <c r="U9" i="20"/>
  <c r="T9" i="20"/>
  <c r="S9" i="20"/>
  <c r="V7" i="20"/>
  <c r="V6" i="20"/>
  <c r="Q48" i="20"/>
  <c r="Q18" i="24" s="1"/>
  <c r="P48" i="20"/>
  <c r="O48" i="20"/>
  <c r="Q47" i="20"/>
  <c r="P47" i="20"/>
  <c r="O47" i="20"/>
  <c r="Q46" i="20"/>
  <c r="Q16" i="24" s="1"/>
  <c r="P46" i="20"/>
  <c r="Q44" i="20"/>
  <c r="P44" i="20"/>
  <c r="Q43" i="20"/>
  <c r="Q8" i="24" s="1"/>
  <c r="P43" i="20"/>
  <c r="O43" i="20"/>
  <c r="Q41" i="20"/>
  <c r="Q6" i="24" s="1"/>
  <c r="Q40" i="20"/>
  <c r="R36" i="20"/>
  <c r="R32" i="20"/>
  <c r="R31" i="20"/>
  <c r="Q31" i="20"/>
  <c r="P31" i="20"/>
  <c r="O31" i="20"/>
  <c r="R30" i="20"/>
  <c r="R29" i="20"/>
  <c r="Q28" i="20"/>
  <c r="P28" i="20"/>
  <c r="P25" i="20" s="1"/>
  <c r="O28" i="20"/>
  <c r="R28" i="20" s="1"/>
  <c r="R27" i="20"/>
  <c r="Q26" i="20"/>
  <c r="Q25" i="20" s="1"/>
  <c r="P26" i="20"/>
  <c r="R26" i="20" s="1"/>
  <c r="O26" i="20"/>
  <c r="R24" i="20"/>
  <c r="R23" i="20"/>
  <c r="Q23" i="20"/>
  <c r="P23" i="20"/>
  <c r="O23" i="20"/>
  <c r="R22" i="20"/>
  <c r="Q22" i="20"/>
  <c r="P22" i="20"/>
  <c r="Q21" i="20"/>
  <c r="P21" i="20"/>
  <c r="R21" i="20" s="1"/>
  <c r="O21" i="20"/>
  <c r="Q20" i="20"/>
  <c r="P20" i="20"/>
  <c r="R20" i="20" s="1"/>
  <c r="O20" i="20"/>
  <c r="R19" i="20"/>
  <c r="R18" i="20"/>
  <c r="Q18" i="20"/>
  <c r="P18" i="20"/>
  <c r="O18" i="20"/>
  <c r="R17" i="20"/>
  <c r="Q17" i="20"/>
  <c r="Q14" i="20" s="1"/>
  <c r="P17" i="20"/>
  <c r="O17" i="20"/>
  <c r="R16" i="20"/>
  <c r="Q15" i="20"/>
  <c r="P15" i="20"/>
  <c r="O15" i="20"/>
  <c r="R15" i="20" s="1"/>
  <c r="O14" i="20"/>
  <c r="R13" i="20"/>
  <c r="R12" i="20"/>
  <c r="Q11" i="20"/>
  <c r="P11" i="20"/>
  <c r="O11" i="20"/>
  <c r="R10" i="20"/>
  <c r="R9" i="20"/>
  <c r="Q9" i="20"/>
  <c r="P9" i="20"/>
  <c r="O9" i="20"/>
  <c r="R7" i="20"/>
  <c r="R6" i="20"/>
  <c r="V34" i="21"/>
  <c r="V32" i="21"/>
  <c r="T40" i="20"/>
  <c r="V12" i="21"/>
  <c r="X12" i="30" s="1"/>
  <c r="S41" i="20"/>
  <c r="S40" i="20"/>
  <c r="S6" i="21"/>
  <c r="S5" i="21" s="1"/>
  <c r="S4" i="21" s="1"/>
  <c r="R37" i="21"/>
  <c r="R34" i="21" s="1"/>
  <c r="T91" i="30" s="1"/>
  <c r="T89" i="30" s="1"/>
  <c r="R32" i="21"/>
  <c r="R29" i="21"/>
  <c r="R28" i="21"/>
  <c r="R27" i="21"/>
  <c r="P42" i="20"/>
  <c r="R12" i="21"/>
  <c r="T12" i="30" s="1"/>
  <c r="O41" i="20"/>
  <c r="O6" i="21"/>
  <c r="O5" i="21" s="1"/>
  <c r="O4" i="21" s="1"/>
  <c r="Q37" i="23"/>
  <c r="O34" i="23"/>
  <c r="O33" i="23" s="1"/>
  <c r="O18" i="23"/>
  <c r="R18" i="23" s="1"/>
  <c r="R13" i="23"/>
  <c r="O9" i="23"/>
  <c r="V43" i="23"/>
  <c r="V42" i="23"/>
  <c r="U41" i="23"/>
  <c r="T41" i="23"/>
  <c r="T31" i="23" s="1"/>
  <c r="S41" i="23"/>
  <c r="V40" i="23"/>
  <c r="U39" i="23"/>
  <c r="V39" i="23" s="1"/>
  <c r="V36" i="23"/>
  <c r="V35" i="23"/>
  <c r="T32" i="23"/>
  <c r="V28" i="23"/>
  <c r="V27" i="23"/>
  <c r="V26" i="23"/>
  <c r="V25" i="23"/>
  <c r="U24" i="23"/>
  <c r="T24" i="23"/>
  <c r="U21" i="23"/>
  <c r="U20" i="23"/>
  <c r="V20" i="23" s="1"/>
  <c r="T20" i="23"/>
  <c r="U19" i="23"/>
  <c r="U17" i="23" s="1"/>
  <c r="U12" i="23" s="1"/>
  <c r="U7" i="23" s="1"/>
  <c r="S17" i="23"/>
  <c r="V17" i="23" s="1"/>
  <c r="T17" i="23"/>
  <c r="S15" i="23"/>
  <c r="V14" i="23"/>
  <c r="V6" i="23"/>
  <c r="V5" i="23"/>
  <c r="R43" i="23"/>
  <c r="R42" i="23"/>
  <c r="Q41" i="23"/>
  <c r="P41" i="23"/>
  <c r="P31" i="23" s="1"/>
  <c r="O41" i="23"/>
  <c r="R40" i="23"/>
  <c r="Q39" i="23"/>
  <c r="R39" i="23" s="1"/>
  <c r="R36" i="23"/>
  <c r="R35" i="23"/>
  <c r="P32" i="23"/>
  <c r="R28" i="23"/>
  <c r="R27" i="23"/>
  <c r="R26" i="23"/>
  <c r="R25" i="23"/>
  <c r="Q24" i="23"/>
  <c r="P24" i="23"/>
  <c r="Q21" i="23"/>
  <c r="Q20" i="23"/>
  <c r="P20" i="23"/>
  <c r="P17" i="23" s="1"/>
  <c r="Q19" i="23"/>
  <c r="Q17" i="23" s="1"/>
  <c r="Q12" i="23" s="1"/>
  <c r="O15" i="23"/>
  <c r="R14" i="23"/>
  <c r="R6" i="23"/>
  <c r="R5" i="23"/>
  <c r="F26" i="29"/>
  <c r="F21" i="29"/>
  <c r="F16" i="29"/>
  <c r="F15" i="29"/>
  <c r="F12" i="29"/>
  <c r="F7" i="29"/>
  <c r="F6" i="29"/>
  <c r="F4" i="29" s="1"/>
  <c r="F34" i="29" s="1"/>
  <c r="F3" i="29"/>
  <c r="R223" i="25"/>
  <c r="X85" i="30" s="1"/>
  <c r="R216" i="25"/>
  <c r="R212" i="25"/>
  <c r="R210" i="25"/>
  <c r="R206" i="25"/>
  <c r="R202" i="25"/>
  <c r="R198" i="25"/>
  <c r="X86" i="30" s="1"/>
  <c r="X87" i="30"/>
  <c r="R190" i="25"/>
  <c r="X82" i="30" s="1"/>
  <c r="R186" i="25"/>
  <c r="X77" i="30" s="1"/>
  <c r="R184" i="25"/>
  <c r="X83" i="30" s="1"/>
  <c r="R180" i="25"/>
  <c r="X79" i="30" s="1"/>
  <c r="R173" i="25"/>
  <c r="X78" i="30" s="1"/>
  <c r="R155" i="25"/>
  <c r="X73" i="30" s="1"/>
  <c r="R153" i="25"/>
  <c r="X72" i="30" s="1"/>
  <c r="R151" i="25"/>
  <c r="X71" i="30" s="1"/>
  <c r="T16" i="23"/>
  <c r="V16" i="23" s="1"/>
  <c r="X69" i="30"/>
  <c r="R143" i="25"/>
  <c r="X68" i="30" s="1"/>
  <c r="R140" i="25"/>
  <c r="X67" i="30" s="1"/>
  <c r="R137" i="25"/>
  <c r="X66" i="30" s="1"/>
  <c r="R134" i="25"/>
  <c r="X65" i="30" s="1"/>
  <c r="R132" i="25"/>
  <c r="X64" i="30" s="1"/>
  <c r="R130" i="25"/>
  <c r="X63" i="30" s="1"/>
  <c r="R128" i="25"/>
  <c r="X62" i="30" s="1"/>
  <c r="R126" i="25"/>
  <c r="X61" i="30" s="1"/>
  <c r="R124" i="25"/>
  <c r="X60" i="30" s="1"/>
  <c r="R117" i="25"/>
  <c r="X58" i="30" s="1"/>
  <c r="R115" i="25"/>
  <c r="X57" i="30" s="1"/>
  <c r="R110" i="25"/>
  <c r="X56" i="30" s="1"/>
  <c r="R106" i="25"/>
  <c r="X55" i="30" s="1"/>
  <c r="R104" i="25"/>
  <c r="X54" i="30" s="1"/>
  <c r="R102" i="25"/>
  <c r="X53" i="30" s="1"/>
  <c r="R101" i="25"/>
  <c r="R100" i="25" s="1"/>
  <c r="X52" i="30" s="1"/>
  <c r="R98" i="25"/>
  <c r="X51" i="30" s="1"/>
  <c r="R96" i="25"/>
  <c r="X50" i="30" s="1"/>
  <c r="R94" i="25"/>
  <c r="X49" i="30" s="1"/>
  <c r="R92" i="25"/>
  <c r="X48" i="30" s="1"/>
  <c r="R90" i="25"/>
  <c r="X47" i="30" s="1"/>
  <c r="R86" i="25"/>
  <c r="X46" i="30" s="1"/>
  <c r="R82" i="25"/>
  <c r="X45" i="30" s="1"/>
  <c r="R79" i="25"/>
  <c r="X44" i="30" s="1"/>
  <c r="R76" i="25"/>
  <c r="X43" i="30" s="1"/>
  <c r="R67" i="25"/>
  <c r="X21" i="30" s="1"/>
  <c r="R59" i="25"/>
  <c r="R34" i="25"/>
  <c r="X14" i="30" s="1"/>
  <c r="R30" i="25"/>
  <c r="R28" i="25"/>
  <c r="X11" i="30" s="1"/>
  <c r="R26" i="25"/>
  <c r="X10" i="30" s="1"/>
  <c r="R21" i="25"/>
  <c r="X9" i="30" s="1"/>
  <c r="R16" i="25"/>
  <c r="X8" i="30" s="1"/>
  <c r="R13" i="25"/>
  <c r="X7" i="30" s="1"/>
  <c r="O223" i="25"/>
  <c r="T85" i="30" s="1"/>
  <c r="O216" i="25"/>
  <c r="O212" i="25"/>
  <c r="O210" i="25"/>
  <c r="O206" i="25"/>
  <c r="O202" i="25"/>
  <c r="O198" i="25"/>
  <c r="T86" i="30" s="1"/>
  <c r="T87" i="30"/>
  <c r="O192" i="25"/>
  <c r="O190" i="25" s="1"/>
  <c r="T82" i="30" s="1"/>
  <c r="O186" i="25"/>
  <c r="T77" i="30" s="1"/>
  <c r="O185" i="25"/>
  <c r="O184" i="25" s="1"/>
  <c r="T83" i="30" s="1"/>
  <c r="O180" i="25"/>
  <c r="T79" i="30" s="1"/>
  <c r="O173" i="25"/>
  <c r="T78" i="30" s="1"/>
  <c r="O160" i="25"/>
  <c r="O159" i="25"/>
  <c r="O157" i="25"/>
  <c r="O154" i="25"/>
  <c r="O153" i="25" s="1"/>
  <c r="T72" i="30" s="1"/>
  <c r="O151" i="25"/>
  <c r="T71" i="30" s="1"/>
  <c r="R16" i="23"/>
  <c r="T69" i="30"/>
  <c r="O143" i="25"/>
  <c r="T68" i="30" s="1"/>
  <c r="O140" i="25"/>
  <c r="T67" i="30" s="1"/>
  <c r="O137" i="25"/>
  <c r="T66" i="30" s="1"/>
  <c r="O134" i="25"/>
  <c r="T65" i="30" s="1"/>
  <c r="O132" i="25"/>
  <c r="T64" i="30" s="1"/>
  <c r="O130" i="25"/>
  <c r="T63" i="30" s="1"/>
  <c r="O128" i="25"/>
  <c r="T62" i="30" s="1"/>
  <c r="O126" i="25"/>
  <c r="T61" i="30" s="1"/>
  <c r="O124" i="25"/>
  <c r="T60" i="30" s="1"/>
  <c r="O123" i="25"/>
  <c r="O121" i="25" s="1"/>
  <c r="O119" i="25"/>
  <c r="O115" i="25"/>
  <c r="T57" i="30" s="1"/>
  <c r="O113" i="25"/>
  <c r="O110" i="25" s="1"/>
  <c r="T56" i="30" s="1"/>
  <c r="O109" i="25"/>
  <c r="O106" i="25" s="1"/>
  <c r="T55" i="30" s="1"/>
  <c r="O104" i="25"/>
  <c r="T54" i="30" s="1"/>
  <c r="O103" i="25"/>
  <c r="O102" i="25" s="1"/>
  <c r="T53" i="30" s="1"/>
  <c r="O101" i="25"/>
  <c r="O100" i="25" s="1"/>
  <c r="T52" i="30" s="1"/>
  <c r="O98" i="25"/>
  <c r="T51" i="30" s="1"/>
  <c r="O96" i="25"/>
  <c r="T50" i="30" s="1"/>
  <c r="O95" i="25"/>
  <c r="O94" i="25" s="1"/>
  <c r="T49" i="30" s="1"/>
  <c r="O92" i="25"/>
  <c r="T48" i="30" s="1"/>
  <c r="O90" i="25"/>
  <c r="T47" i="30" s="1"/>
  <c r="O86" i="25"/>
  <c r="T46" i="30" s="1"/>
  <c r="O85" i="25"/>
  <c r="O82" i="25" s="1"/>
  <c r="T45" i="30" s="1"/>
  <c r="O79" i="25"/>
  <c r="T44" i="30" s="1"/>
  <c r="O76" i="25"/>
  <c r="T43" i="30" s="1"/>
  <c r="O67" i="25"/>
  <c r="T21" i="30" s="1"/>
  <c r="O241" i="25"/>
  <c r="O59" i="25"/>
  <c r="O44" i="25"/>
  <c r="O8" i="23" s="1"/>
  <c r="O40" i="25"/>
  <c r="O34" i="25"/>
  <c r="T14" i="30" s="1"/>
  <c r="O32" i="25"/>
  <c r="O30" i="25" s="1"/>
  <c r="O28" i="25"/>
  <c r="T11" i="30" s="1"/>
  <c r="O26" i="25"/>
  <c r="T10" i="30" s="1"/>
  <c r="O24" i="25"/>
  <c r="O16" i="25"/>
  <c r="T8" i="30" s="1"/>
  <c r="O13" i="25"/>
  <c r="T7" i="30" s="1"/>
  <c r="O12" i="25"/>
  <c r="O245" i="25" s="1"/>
  <c r="E26" i="29"/>
  <c r="O20" i="23" s="1"/>
  <c r="R20" i="23" s="1"/>
  <c r="E21" i="29"/>
  <c r="E15" i="29"/>
  <c r="E12" i="29"/>
  <c r="E4" i="29"/>
  <c r="O19" i="23" s="1"/>
  <c r="R19" i="23" s="1"/>
  <c r="O45" i="37"/>
  <c r="Q45" i="37" s="1"/>
  <c r="Q44" i="37"/>
  <c r="P43" i="37"/>
  <c r="P42" i="37" s="1"/>
  <c r="O41" i="37"/>
  <c r="Q41" i="37" s="1"/>
  <c r="Q40" i="37"/>
  <c r="P38" i="37"/>
  <c r="P37" i="37"/>
  <c r="Q33" i="37"/>
  <c r="Q29" i="37"/>
  <c r="P28" i="37"/>
  <c r="O28" i="37"/>
  <c r="Q28" i="37" s="1"/>
  <c r="Q27" i="37"/>
  <c r="Q26" i="37"/>
  <c r="P25" i="37"/>
  <c r="O25" i="37"/>
  <c r="Q25" i="37" s="1"/>
  <c r="Q24" i="37"/>
  <c r="P23" i="37"/>
  <c r="P22" i="37" s="1"/>
  <c r="P30" i="37" s="1"/>
  <c r="O23" i="37"/>
  <c r="Q23" i="37" s="1"/>
  <c r="O22" i="37"/>
  <c r="Q22" i="37" s="1"/>
  <c r="Q21" i="37"/>
  <c r="P20" i="37"/>
  <c r="O20" i="37"/>
  <c r="Q20" i="37" s="1"/>
  <c r="Q19" i="37"/>
  <c r="Q18" i="37"/>
  <c r="Q17" i="37"/>
  <c r="Q16" i="37"/>
  <c r="Q15" i="37"/>
  <c r="Q14" i="37"/>
  <c r="Q13" i="37"/>
  <c r="Q12" i="37"/>
  <c r="P11" i="37"/>
  <c r="O11" i="37"/>
  <c r="Q11" i="37" s="1"/>
  <c r="Q10" i="37"/>
  <c r="Q9" i="37"/>
  <c r="P9" i="37"/>
  <c r="O9" i="37"/>
  <c r="P8" i="37"/>
  <c r="Q7" i="37"/>
  <c r="Q6" i="37"/>
  <c r="L45" i="37"/>
  <c r="N45" i="37" s="1"/>
  <c r="N44" i="37"/>
  <c r="M43" i="37"/>
  <c r="M42" i="37" s="1"/>
  <c r="L41" i="37"/>
  <c r="N41" i="37" s="1"/>
  <c r="N40" i="37"/>
  <c r="M39" i="37"/>
  <c r="M38" i="37"/>
  <c r="M37" i="37"/>
  <c r="N33" i="37"/>
  <c r="N29" i="37"/>
  <c r="M28" i="37"/>
  <c r="L28" i="37"/>
  <c r="N28" i="37" s="1"/>
  <c r="N27" i="37"/>
  <c r="N26" i="37"/>
  <c r="M25" i="37"/>
  <c r="L25" i="37"/>
  <c r="N25" i="37" s="1"/>
  <c r="N24" i="37"/>
  <c r="M23" i="37"/>
  <c r="M22" i="37" s="1"/>
  <c r="M30" i="37" s="1"/>
  <c r="L23" i="37"/>
  <c r="N23" i="37" s="1"/>
  <c r="L22" i="37"/>
  <c r="N22" i="37" s="1"/>
  <c r="N21" i="37"/>
  <c r="M20" i="37"/>
  <c r="L20" i="37"/>
  <c r="N20" i="37" s="1"/>
  <c r="N19" i="37"/>
  <c r="N18" i="37"/>
  <c r="N17" i="37"/>
  <c r="N16" i="37"/>
  <c r="N15" i="37"/>
  <c r="N14" i="37"/>
  <c r="N13" i="37"/>
  <c r="N12" i="37"/>
  <c r="N11" i="37"/>
  <c r="M11" i="37"/>
  <c r="L11" i="37"/>
  <c r="N10" i="37"/>
  <c r="N9" i="37"/>
  <c r="M9" i="37"/>
  <c r="L9" i="37"/>
  <c r="M8" i="37"/>
  <c r="N7" i="37"/>
  <c r="N6" i="37"/>
  <c r="Q45" i="2"/>
  <c r="O44" i="2"/>
  <c r="Q44" i="2" s="1"/>
  <c r="P43" i="2"/>
  <c r="O43" i="2"/>
  <c r="P41" i="2"/>
  <c r="O41" i="2"/>
  <c r="Q40" i="2"/>
  <c r="P38" i="2"/>
  <c r="O38" i="2"/>
  <c r="P37" i="2"/>
  <c r="O37" i="2"/>
  <c r="Q33" i="2"/>
  <c r="Q29" i="2"/>
  <c r="P28" i="2"/>
  <c r="Q28" i="2" s="1"/>
  <c r="O28" i="2"/>
  <c r="Q27" i="2"/>
  <c r="Q26" i="2"/>
  <c r="Q25" i="2"/>
  <c r="P25" i="2"/>
  <c r="O25" i="2"/>
  <c r="Q24" i="2"/>
  <c r="Q23" i="2"/>
  <c r="P23" i="2"/>
  <c r="O23" i="2"/>
  <c r="O22" i="2" s="1"/>
  <c r="Q22" i="2" s="1"/>
  <c r="P22" i="2"/>
  <c r="Q21" i="2"/>
  <c r="P20" i="2"/>
  <c r="Q20" i="2" s="1"/>
  <c r="O20" i="2"/>
  <c r="Q19" i="2"/>
  <c r="Q18" i="2"/>
  <c r="Q17" i="2"/>
  <c r="Q16" i="2"/>
  <c r="Q15" i="2"/>
  <c r="Q14" i="2"/>
  <c r="Q13" i="2"/>
  <c r="Q12" i="2"/>
  <c r="P11" i="2"/>
  <c r="O11" i="2"/>
  <c r="Q11" i="2" s="1"/>
  <c r="Q10" i="2"/>
  <c r="P9" i="2"/>
  <c r="P8" i="2" s="1"/>
  <c r="P30" i="2" s="1"/>
  <c r="O9" i="2"/>
  <c r="Q7" i="2"/>
  <c r="Q6" i="2"/>
  <c r="N45" i="2"/>
  <c r="L44" i="2"/>
  <c r="M43" i="2"/>
  <c r="M41" i="2"/>
  <c r="L41" i="2"/>
  <c r="N40" i="2"/>
  <c r="M39" i="2"/>
  <c r="M38" i="2"/>
  <c r="L38" i="2"/>
  <c r="M37" i="2"/>
  <c r="L37" i="2"/>
  <c r="N33" i="2"/>
  <c r="N29" i="2"/>
  <c r="M28" i="2"/>
  <c r="N28" i="2" s="1"/>
  <c r="L28" i="2"/>
  <c r="N27" i="2"/>
  <c r="N26" i="2"/>
  <c r="N25" i="2"/>
  <c r="M25" i="2"/>
  <c r="L25" i="2"/>
  <c r="N24" i="2"/>
  <c r="N23" i="2"/>
  <c r="M23" i="2"/>
  <c r="L23" i="2"/>
  <c r="L22" i="2" s="1"/>
  <c r="N22" i="2" s="1"/>
  <c r="M22" i="2"/>
  <c r="N21" i="2"/>
  <c r="M20" i="2"/>
  <c r="N20" i="2" s="1"/>
  <c r="L20" i="2"/>
  <c r="N19" i="2"/>
  <c r="N18" i="2"/>
  <c r="N17" i="2"/>
  <c r="N16" i="2"/>
  <c r="N15" i="2"/>
  <c r="N14" i="2"/>
  <c r="N13" i="2"/>
  <c r="N12" i="2"/>
  <c r="M11" i="2"/>
  <c r="L11" i="2"/>
  <c r="N11" i="2" s="1"/>
  <c r="N10" i="2"/>
  <c r="M9" i="2"/>
  <c r="M8" i="2" s="1"/>
  <c r="M30" i="2" s="1"/>
  <c r="L9" i="2"/>
  <c r="L8" i="2" s="1"/>
  <c r="N7" i="2"/>
  <c r="N6" i="2"/>
  <c r="Q45" i="5"/>
  <c r="Q44" i="5"/>
  <c r="P43" i="5"/>
  <c r="P42" i="5" s="1"/>
  <c r="P41" i="5"/>
  <c r="O41" i="5"/>
  <c r="Q40" i="5"/>
  <c r="P38" i="5"/>
  <c r="P37" i="5"/>
  <c r="Q33" i="5"/>
  <c r="Q29" i="5"/>
  <c r="P28" i="5"/>
  <c r="O28" i="5"/>
  <c r="Q28" i="5" s="1"/>
  <c r="Q27" i="5"/>
  <c r="Q26" i="5"/>
  <c r="P25" i="5"/>
  <c r="O25" i="5"/>
  <c r="Q25" i="5" s="1"/>
  <c r="Q24" i="5"/>
  <c r="P23" i="5"/>
  <c r="P22" i="5" s="1"/>
  <c r="O23" i="5"/>
  <c r="Q23" i="5" s="1"/>
  <c r="O22" i="5"/>
  <c r="Q21" i="5"/>
  <c r="P20" i="5"/>
  <c r="O20" i="5"/>
  <c r="Q20" i="5" s="1"/>
  <c r="Q19" i="5"/>
  <c r="Q18" i="5"/>
  <c r="Q17" i="5"/>
  <c r="Q16" i="5"/>
  <c r="Q15" i="5"/>
  <c r="Q14" i="5"/>
  <c r="Q13" i="5"/>
  <c r="Q12" i="5"/>
  <c r="P11" i="5"/>
  <c r="O11" i="5"/>
  <c r="Q11" i="5" s="1"/>
  <c r="Q10" i="5"/>
  <c r="P9" i="5"/>
  <c r="P8" i="5" s="1"/>
  <c r="O9" i="5"/>
  <c r="Q9" i="5" s="1"/>
  <c r="Q7" i="5"/>
  <c r="Q6" i="5"/>
  <c r="N45" i="5"/>
  <c r="N44" i="5"/>
  <c r="M43" i="5"/>
  <c r="M42" i="5" s="1"/>
  <c r="M41" i="5"/>
  <c r="L41" i="5"/>
  <c r="N40" i="5"/>
  <c r="M39" i="5"/>
  <c r="M38" i="5"/>
  <c r="M37" i="5"/>
  <c r="N33" i="5"/>
  <c r="N29" i="5"/>
  <c r="M28" i="5"/>
  <c r="L28" i="5"/>
  <c r="N28" i="5" s="1"/>
  <c r="N27" i="5"/>
  <c r="N26" i="5"/>
  <c r="M25" i="5"/>
  <c r="L25" i="5"/>
  <c r="N25" i="5" s="1"/>
  <c r="N24" i="5"/>
  <c r="M23" i="5"/>
  <c r="M22" i="5" s="1"/>
  <c r="M30" i="5" s="1"/>
  <c r="L23" i="5"/>
  <c r="N23" i="5" s="1"/>
  <c r="L22" i="5"/>
  <c r="N21" i="5"/>
  <c r="M20" i="5"/>
  <c r="L20" i="5"/>
  <c r="N20" i="5" s="1"/>
  <c r="N19" i="5"/>
  <c r="N18" i="5"/>
  <c r="N17" i="5"/>
  <c r="N16" i="5"/>
  <c r="N15" i="5"/>
  <c r="N14" i="5"/>
  <c r="N13" i="5"/>
  <c r="N12" i="5"/>
  <c r="N11" i="5"/>
  <c r="M11" i="5"/>
  <c r="L11" i="5"/>
  <c r="N10" i="5"/>
  <c r="N9" i="5"/>
  <c r="M9" i="5"/>
  <c r="L9" i="5"/>
  <c r="M8" i="5"/>
  <c r="N7" i="5"/>
  <c r="N6" i="5"/>
  <c r="Q45" i="7"/>
  <c r="Q44" i="7"/>
  <c r="P41" i="7"/>
  <c r="O41" i="7"/>
  <c r="Q40" i="7"/>
  <c r="P38" i="7"/>
  <c r="P37" i="7"/>
  <c r="Q33" i="7"/>
  <c r="Q29" i="7"/>
  <c r="P28" i="7"/>
  <c r="O28" i="7"/>
  <c r="Q28" i="7" s="1"/>
  <c r="Q27" i="7"/>
  <c r="Q26" i="7"/>
  <c r="P25" i="7"/>
  <c r="O25" i="7"/>
  <c r="Q25" i="7" s="1"/>
  <c r="Q24" i="7"/>
  <c r="P23" i="7"/>
  <c r="P22" i="7" s="1"/>
  <c r="P30" i="7" s="1"/>
  <c r="O23" i="7"/>
  <c r="Q23" i="7" s="1"/>
  <c r="O22" i="7"/>
  <c r="Q21" i="7"/>
  <c r="P20" i="7"/>
  <c r="O20" i="7"/>
  <c r="Q20" i="7" s="1"/>
  <c r="Q19" i="7"/>
  <c r="Q18" i="7"/>
  <c r="Q17" i="7"/>
  <c r="Q16" i="7"/>
  <c r="Q15" i="7"/>
  <c r="Q14" i="7"/>
  <c r="Q13" i="7"/>
  <c r="Q12" i="7"/>
  <c r="P11" i="7"/>
  <c r="O11" i="7"/>
  <c r="Q11" i="7" s="1"/>
  <c r="Q10" i="7"/>
  <c r="Q9" i="7"/>
  <c r="P9" i="7"/>
  <c r="O9" i="7"/>
  <c r="P8" i="7"/>
  <c r="Q7" i="7"/>
  <c r="N45" i="7"/>
  <c r="N44" i="7"/>
  <c r="M43" i="7"/>
  <c r="M41" i="7"/>
  <c r="L41" i="7"/>
  <c r="N40" i="7"/>
  <c r="M39" i="7"/>
  <c r="M38" i="7"/>
  <c r="M37" i="7"/>
  <c r="N33" i="7"/>
  <c r="N29" i="7"/>
  <c r="M28" i="7"/>
  <c r="L28" i="7"/>
  <c r="N28" i="7" s="1"/>
  <c r="N27" i="7"/>
  <c r="N26" i="7"/>
  <c r="M25" i="7"/>
  <c r="N25" i="7" s="1"/>
  <c r="L25" i="7"/>
  <c r="N24" i="7"/>
  <c r="M23" i="7"/>
  <c r="N23" i="7" s="1"/>
  <c r="L23" i="7"/>
  <c r="L22" i="7"/>
  <c r="N21" i="7"/>
  <c r="M20" i="7"/>
  <c r="L20" i="7"/>
  <c r="N20" i="7" s="1"/>
  <c r="N19" i="7"/>
  <c r="N18" i="7"/>
  <c r="N17" i="7"/>
  <c r="N16" i="7"/>
  <c r="N15" i="7"/>
  <c r="N14" i="7"/>
  <c r="N13" i="7"/>
  <c r="N12" i="7"/>
  <c r="M11" i="7"/>
  <c r="L11" i="7"/>
  <c r="N11" i="7" s="1"/>
  <c r="N10" i="7"/>
  <c r="M9" i="7"/>
  <c r="M8" i="7" s="1"/>
  <c r="L9" i="7"/>
  <c r="N9" i="7" s="1"/>
  <c r="N7" i="7"/>
  <c r="Q45" i="18"/>
  <c r="Q40" i="18"/>
  <c r="P38" i="18"/>
  <c r="P37" i="18"/>
  <c r="Q33" i="18"/>
  <c r="Q29" i="18"/>
  <c r="P28" i="18"/>
  <c r="O28" i="18"/>
  <c r="Q28" i="18" s="1"/>
  <c r="Q27" i="18"/>
  <c r="Q26" i="18"/>
  <c r="Q25" i="18"/>
  <c r="P25" i="18"/>
  <c r="O25" i="18"/>
  <c r="Q24" i="18"/>
  <c r="Q23" i="18"/>
  <c r="P23" i="18"/>
  <c r="O23" i="18"/>
  <c r="P22" i="18"/>
  <c r="O22" i="18"/>
  <c r="Q21" i="18"/>
  <c r="P20" i="18"/>
  <c r="O20" i="18"/>
  <c r="Q20" i="18" s="1"/>
  <c r="Q19" i="18"/>
  <c r="Q18" i="18"/>
  <c r="Q17" i="18"/>
  <c r="Q16" i="18"/>
  <c r="Q15" i="18"/>
  <c r="Q14" i="18"/>
  <c r="Q13" i="18"/>
  <c r="Q12" i="18"/>
  <c r="P11" i="18"/>
  <c r="O11" i="18"/>
  <c r="Q11" i="18" s="1"/>
  <c r="Q10" i="18"/>
  <c r="P9" i="18"/>
  <c r="P8" i="18" s="1"/>
  <c r="O9" i="18"/>
  <c r="Q9" i="18" s="1"/>
  <c r="Q7" i="18"/>
  <c r="Q6" i="18"/>
  <c r="O6" i="18"/>
  <c r="N45" i="18"/>
  <c r="M43" i="18"/>
  <c r="M42" i="18" s="1"/>
  <c r="N40" i="18"/>
  <c r="M39" i="18"/>
  <c r="M38" i="18"/>
  <c r="M37" i="18"/>
  <c r="N33" i="18"/>
  <c r="N29" i="18"/>
  <c r="M28" i="18"/>
  <c r="L28" i="18"/>
  <c r="N28" i="18" s="1"/>
  <c r="N27" i="18"/>
  <c r="N26" i="18"/>
  <c r="N25" i="18"/>
  <c r="M25" i="18"/>
  <c r="L25" i="18"/>
  <c r="N24" i="18"/>
  <c r="N23" i="18"/>
  <c r="M23" i="18"/>
  <c r="L23" i="18"/>
  <c r="M22" i="18"/>
  <c r="L22" i="18"/>
  <c r="N21" i="18"/>
  <c r="M20" i="18"/>
  <c r="L20" i="18"/>
  <c r="N20" i="18" s="1"/>
  <c r="N19" i="18"/>
  <c r="N18" i="18"/>
  <c r="N17" i="18"/>
  <c r="N16" i="18"/>
  <c r="N15" i="18"/>
  <c r="N14" i="18"/>
  <c r="N13" i="18"/>
  <c r="N12" i="18"/>
  <c r="M11" i="18"/>
  <c r="L11" i="18"/>
  <c r="N11" i="18" s="1"/>
  <c r="N10" i="18"/>
  <c r="M9" i="18"/>
  <c r="M8" i="18" s="1"/>
  <c r="L9" i="18"/>
  <c r="N7" i="18"/>
  <c r="N6" i="18"/>
  <c r="L6" i="18"/>
  <c r="Q45" i="14"/>
  <c r="O44" i="14"/>
  <c r="P43" i="14"/>
  <c r="P42" i="14" s="1"/>
  <c r="O41" i="14"/>
  <c r="Q41" i="14" s="1"/>
  <c r="Q40" i="14"/>
  <c r="Q33" i="14"/>
  <c r="Q29" i="14"/>
  <c r="P28" i="14"/>
  <c r="O28" i="14"/>
  <c r="Q28" i="14" s="1"/>
  <c r="Q27" i="14"/>
  <c r="Q26" i="14"/>
  <c r="P25" i="14"/>
  <c r="Q25" i="14" s="1"/>
  <c r="O25" i="14"/>
  <c r="Q24" i="14"/>
  <c r="P23" i="14"/>
  <c r="P22" i="14" s="1"/>
  <c r="O23" i="14"/>
  <c r="O22" i="14"/>
  <c r="Q21" i="14"/>
  <c r="P20" i="14"/>
  <c r="O20" i="14"/>
  <c r="Q20" i="14" s="1"/>
  <c r="Q19" i="14"/>
  <c r="Q18" i="14"/>
  <c r="Q17" i="14"/>
  <c r="Q16" i="14"/>
  <c r="Q15" i="14"/>
  <c r="Q14" i="14"/>
  <c r="Q13" i="14"/>
  <c r="Q12" i="14"/>
  <c r="P11" i="14"/>
  <c r="O11" i="14"/>
  <c r="Q11" i="14" s="1"/>
  <c r="Q10" i="14"/>
  <c r="P9" i="14"/>
  <c r="P8" i="14" s="1"/>
  <c r="O9" i="14"/>
  <c r="Q9" i="14" s="1"/>
  <c r="Q7" i="14"/>
  <c r="Q6" i="14"/>
  <c r="N45" i="14"/>
  <c r="L44" i="14"/>
  <c r="N44" i="14" s="1"/>
  <c r="M43" i="14"/>
  <c r="M42" i="14" s="1"/>
  <c r="L41" i="14"/>
  <c r="N41" i="14" s="1"/>
  <c r="N40" i="14"/>
  <c r="N33" i="14"/>
  <c r="N29" i="14"/>
  <c r="M28" i="14"/>
  <c r="L28" i="14"/>
  <c r="N28" i="14" s="1"/>
  <c r="N27" i="14"/>
  <c r="N26" i="14"/>
  <c r="M25" i="14"/>
  <c r="L25" i="14"/>
  <c r="N25" i="14" s="1"/>
  <c r="N24" i="14"/>
  <c r="M23" i="14"/>
  <c r="M22" i="14" s="1"/>
  <c r="M30" i="14" s="1"/>
  <c r="L23" i="14"/>
  <c r="N23" i="14" s="1"/>
  <c r="L22" i="14"/>
  <c r="N21" i="14"/>
  <c r="M20" i="14"/>
  <c r="L20" i="14"/>
  <c r="N20" i="14" s="1"/>
  <c r="N19" i="14"/>
  <c r="N18" i="14"/>
  <c r="N17" i="14"/>
  <c r="N16" i="14"/>
  <c r="N15" i="14"/>
  <c r="N14" i="14"/>
  <c r="N13" i="14"/>
  <c r="N12" i="14"/>
  <c r="N11" i="14"/>
  <c r="M11" i="14"/>
  <c r="L11" i="14"/>
  <c r="N10" i="14"/>
  <c r="N9" i="14"/>
  <c r="M9" i="14"/>
  <c r="L9" i="14"/>
  <c r="M8" i="14"/>
  <c r="N7" i="14"/>
  <c r="N6" i="14"/>
  <c r="Q45" i="8"/>
  <c r="Q44" i="8"/>
  <c r="P43" i="8"/>
  <c r="P42" i="8" s="1"/>
  <c r="O43" i="8"/>
  <c r="O42" i="8" s="1"/>
  <c r="O41" i="8"/>
  <c r="Q41" i="8" s="1"/>
  <c r="Q40" i="8"/>
  <c r="P38" i="8"/>
  <c r="P37" i="8"/>
  <c r="Q33" i="8"/>
  <c r="Q29" i="8"/>
  <c r="Q28" i="8"/>
  <c r="P28" i="8"/>
  <c r="O28" i="8"/>
  <c r="Q27" i="8"/>
  <c r="Q26" i="8"/>
  <c r="P25" i="8"/>
  <c r="O25" i="8"/>
  <c r="Q25" i="8" s="1"/>
  <c r="Q24" i="8"/>
  <c r="P23" i="8"/>
  <c r="O23" i="8"/>
  <c r="Q23" i="8" s="1"/>
  <c r="P22" i="8"/>
  <c r="P30" i="8" s="1"/>
  <c r="Q21" i="8"/>
  <c r="Q20" i="8"/>
  <c r="P20" i="8"/>
  <c r="O20" i="8"/>
  <c r="Q19" i="8"/>
  <c r="Q18" i="8"/>
  <c r="Q17" i="8"/>
  <c r="Q16" i="8"/>
  <c r="Q15" i="8"/>
  <c r="Q14" i="8"/>
  <c r="Q13" i="8"/>
  <c r="Q12" i="8"/>
  <c r="P11" i="8"/>
  <c r="O11" i="8"/>
  <c r="Q11" i="8" s="1"/>
  <c r="Q10" i="8"/>
  <c r="P9" i="8"/>
  <c r="O9" i="8"/>
  <c r="Q9" i="8" s="1"/>
  <c r="P8" i="8"/>
  <c r="Q7" i="8"/>
  <c r="N45" i="8"/>
  <c r="N44" i="8"/>
  <c r="M43" i="8"/>
  <c r="L41" i="8"/>
  <c r="N41" i="8" s="1"/>
  <c r="N40" i="8"/>
  <c r="M39" i="8"/>
  <c r="M38" i="8"/>
  <c r="M37" i="8"/>
  <c r="N33" i="8"/>
  <c r="N29" i="8"/>
  <c r="M28" i="8"/>
  <c r="L28" i="8"/>
  <c r="N28" i="8" s="1"/>
  <c r="N27" i="8"/>
  <c r="N26" i="8"/>
  <c r="M25" i="8"/>
  <c r="L25" i="8"/>
  <c r="N25" i="8" s="1"/>
  <c r="N24" i="8"/>
  <c r="M23" i="8"/>
  <c r="M22" i="8" s="1"/>
  <c r="L23" i="8"/>
  <c r="L22" i="8" s="1"/>
  <c r="N21" i="8"/>
  <c r="M20" i="8"/>
  <c r="L20" i="8"/>
  <c r="N20" i="8" s="1"/>
  <c r="N19" i="8"/>
  <c r="N18" i="8"/>
  <c r="N17" i="8"/>
  <c r="L16" i="8"/>
  <c r="N16" i="8" s="1"/>
  <c r="N15" i="8"/>
  <c r="L15" i="8"/>
  <c r="N14" i="8"/>
  <c r="N13" i="8"/>
  <c r="N12" i="8"/>
  <c r="M11" i="8"/>
  <c r="L11" i="8"/>
  <c r="N11" i="8" s="1"/>
  <c r="N10" i="8"/>
  <c r="M9" i="8"/>
  <c r="M8" i="8" s="1"/>
  <c r="L9" i="8"/>
  <c r="N9" i="8" s="1"/>
  <c r="N7" i="8"/>
  <c r="Q45" i="12"/>
  <c r="P42" i="12"/>
  <c r="Q40" i="12"/>
  <c r="P36" i="12"/>
  <c r="P46" i="12" s="1"/>
  <c r="P34" i="12" s="1"/>
  <c r="P32" i="12" s="1"/>
  <c r="P31" i="12" s="1"/>
  <c r="P35" i="12" s="1"/>
  <c r="Q33" i="12"/>
  <c r="Q29" i="12"/>
  <c r="P28" i="12"/>
  <c r="O28" i="12"/>
  <c r="Q28" i="12" s="1"/>
  <c r="Q27" i="12"/>
  <c r="Q26" i="12"/>
  <c r="P25" i="12"/>
  <c r="O25" i="12"/>
  <c r="Q25" i="12" s="1"/>
  <c r="Q24" i="12"/>
  <c r="P23" i="12"/>
  <c r="P22" i="12" s="1"/>
  <c r="P30" i="12" s="1"/>
  <c r="O23" i="12"/>
  <c r="Q23" i="12" s="1"/>
  <c r="O22" i="12"/>
  <c r="Q22" i="12" s="1"/>
  <c r="Q21" i="12"/>
  <c r="P20" i="12"/>
  <c r="O20" i="12"/>
  <c r="Q20" i="12" s="1"/>
  <c r="Q19" i="12"/>
  <c r="S26" i="11" s="1"/>
  <c r="Q18" i="12"/>
  <c r="S25" i="11" s="1"/>
  <c r="Q17" i="12"/>
  <c r="Q16" i="12"/>
  <c r="Q15" i="12"/>
  <c r="Q14" i="12"/>
  <c r="Q13" i="12"/>
  <c r="Q12" i="12"/>
  <c r="S19" i="11" s="1"/>
  <c r="V19" i="11" s="1"/>
  <c r="P11" i="12"/>
  <c r="O11" i="12"/>
  <c r="Q11" i="12" s="1"/>
  <c r="Q10" i="12"/>
  <c r="Q9" i="12"/>
  <c r="P9" i="12"/>
  <c r="O9" i="12"/>
  <c r="P8" i="12"/>
  <c r="Q7" i="12"/>
  <c r="N45" i="12"/>
  <c r="M42" i="12"/>
  <c r="N40" i="12"/>
  <c r="M36" i="12"/>
  <c r="N33" i="12"/>
  <c r="N29" i="12"/>
  <c r="M28" i="12"/>
  <c r="L28" i="12"/>
  <c r="N28" i="12" s="1"/>
  <c r="N27" i="12"/>
  <c r="N26" i="12"/>
  <c r="M25" i="12"/>
  <c r="N25" i="12" s="1"/>
  <c r="L25" i="12"/>
  <c r="N24" i="12"/>
  <c r="M23" i="12"/>
  <c r="N23" i="12" s="1"/>
  <c r="L23" i="12"/>
  <c r="L22" i="12"/>
  <c r="N21" i="12"/>
  <c r="M20" i="12"/>
  <c r="L20" i="12"/>
  <c r="N20" i="12" s="1"/>
  <c r="N19" i="12"/>
  <c r="N18" i="12"/>
  <c r="N17" i="12"/>
  <c r="N16" i="12"/>
  <c r="N15" i="12"/>
  <c r="N14" i="12"/>
  <c r="N13" i="12"/>
  <c r="N12" i="12"/>
  <c r="M11" i="12"/>
  <c r="L11" i="12"/>
  <c r="N11" i="12" s="1"/>
  <c r="N10" i="12"/>
  <c r="M9" i="12"/>
  <c r="M8" i="12" s="1"/>
  <c r="L9" i="12"/>
  <c r="N9" i="12" s="1"/>
  <c r="N7" i="12"/>
  <c r="O43" i="12"/>
  <c r="Q191" i="3"/>
  <c r="Q217" i="3" s="1"/>
  <c r="O41" i="12" s="1"/>
  <c r="Q183" i="3"/>
  <c r="Q170" i="3"/>
  <c r="X26" i="30" s="1"/>
  <c r="Q163" i="3"/>
  <c r="X24" i="30" s="1"/>
  <c r="O151" i="3"/>
  <c r="O150" i="3" s="1"/>
  <c r="O6" i="12" s="1"/>
  <c r="Q6" i="12" s="1"/>
  <c r="Q142" i="3"/>
  <c r="X40" i="30" s="1"/>
  <c r="O43" i="37"/>
  <c r="O38" i="37"/>
  <c r="Q129" i="3"/>
  <c r="Q128" i="3" s="1"/>
  <c r="Q121" i="3"/>
  <c r="X38" i="30" s="1"/>
  <c r="O110" i="3"/>
  <c r="O109" i="3" s="1"/>
  <c r="O108" i="3" s="1"/>
  <c r="O6" i="8" s="1"/>
  <c r="Q6" i="8" s="1"/>
  <c r="P39" i="14"/>
  <c r="P38" i="14"/>
  <c r="P37" i="14"/>
  <c r="O102" i="3"/>
  <c r="Q95" i="3"/>
  <c r="X35" i="30" s="1"/>
  <c r="O38" i="14"/>
  <c r="O87" i="3"/>
  <c r="Q81" i="3"/>
  <c r="Q80" i="3" s="1"/>
  <c r="Q72" i="3"/>
  <c r="Q47" i="3"/>
  <c r="O38" i="7"/>
  <c r="O40" i="3"/>
  <c r="O39" i="3" s="1"/>
  <c r="Q31" i="3"/>
  <c r="O43" i="5"/>
  <c r="O38" i="5"/>
  <c r="Q15" i="3"/>
  <c r="N201" i="3"/>
  <c r="N197" i="3"/>
  <c r="L43" i="12"/>
  <c r="N43" i="12" s="1"/>
  <c r="O81" i="39" s="1"/>
  <c r="N191" i="3"/>
  <c r="N217" i="3" s="1"/>
  <c r="L41" i="12" s="1"/>
  <c r="N41" i="12" s="1"/>
  <c r="N183" i="3"/>
  <c r="N180" i="3"/>
  <c r="N170" i="3"/>
  <c r="T26" i="30" s="1"/>
  <c r="N163" i="3"/>
  <c r="T24" i="30" s="1"/>
  <c r="N159" i="3"/>
  <c r="N157" i="3"/>
  <c r="L151" i="3"/>
  <c r="L150" i="3" s="1"/>
  <c r="L6" i="12" s="1"/>
  <c r="N6" i="12" s="1"/>
  <c r="N145" i="3"/>
  <c r="N142" i="3" s="1"/>
  <c r="T40" i="30" s="1"/>
  <c r="N141" i="3"/>
  <c r="L43" i="37" s="1"/>
  <c r="L38" i="37"/>
  <c r="N129" i="3"/>
  <c r="N128" i="3" s="1"/>
  <c r="N119" i="3"/>
  <c r="N118" i="3"/>
  <c r="L110" i="3"/>
  <c r="L109" i="3" s="1"/>
  <c r="L108" i="3" s="1"/>
  <c r="L6" i="8" s="1"/>
  <c r="N6" i="8" s="1"/>
  <c r="N105" i="3"/>
  <c r="M38" i="14" s="1"/>
  <c r="N104" i="3"/>
  <c r="L102" i="3"/>
  <c r="L43" i="14"/>
  <c r="L38" i="14"/>
  <c r="L37" i="14"/>
  <c r="L87" i="3"/>
  <c r="N82" i="3"/>
  <c r="N81" i="3" s="1"/>
  <c r="N75" i="3"/>
  <c r="N72" i="3" s="1"/>
  <c r="N67" i="3"/>
  <c r="N61" i="3"/>
  <c r="N60" i="3"/>
  <c r="N59" i="3"/>
  <c r="N50" i="3"/>
  <c r="N47" i="3" s="1"/>
  <c r="N42" i="3"/>
  <c r="L37" i="7" s="1"/>
  <c r="L40" i="3"/>
  <c r="L39" i="3" s="1"/>
  <c r="N34" i="3"/>
  <c r="N31" i="3" s="1"/>
  <c r="N30" i="3"/>
  <c r="L43" i="5" s="1"/>
  <c r="N27" i="3"/>
  <c r="L38" i="5" s="1"/>
  <c r="N26" i="3"/>
  <c r="N13" i="3"/>
  <c r="L43" i="2" s="1"/>
  <c r="R66" i="39"/>
  <c r="R65" i="39"/>
  <c r="R64" i="39"/>
  <c r="R62" i="39"/>
  <c r="R61" i="39"/>
  <c r="R60" i="39"/>
  <c r="R59" i="39"/>
  <c r="R57" i="39"/>
  <c r="R56" i="39"/>
  <c r="R54" i="39"/>
  <c r="R53" i="39"/>
  <c r="R45" i="39"/>
  <c r="R44" i="39"/>
  <c r="R42" i="39"/>
  <c r="R41" i="39"/>
  <c r="R40" i="39"/>
  <c r="R39" i="39"/>
  <c r="R37" i="39"/>
  <c r="R36" i="39"/>
  <c r="R35" i="39"/>
  <c r="R34" i="39"/>
  <c r="R33" i="39"/>
  <c r="R32" i="39"/>
  <c r="R31" i="39"/>
  <c r="R30" i="39"/>
  <c r="R29" i="39"/>
  <c r="R27" i="39"/>
  <c r="R26" i="39"/>
  <c r="R24" i="39"/>
  <c r="R22" i="39"/>
  <c r="R21" i="39"/>
  <c r="R42" i="25" s="1"/>
  <c r="R37" i="25" s="1"/>
  <c r="X15" i="30" s="1"/>
  <c r="R20" i="39"/>
  <c r="R19" i="39"/>
  <c r="R17" i="39"/>
  <c r="R15" i="39"/>
  <c r="R14" i="39"/>
  <c r="Q13" i="39"/>
  <c r="R13" i="39" s="1"/>
  <c r="R12" i="39"/>
  <c r="R11" i="39"/>
  <c r="R11" i="25" s="1"/>
  <c r="R10" i="39"/>
  <c r="R9" i="39"/>
  <c r="R8" i="39"/>
  <c r="R7" i="39"/>
  <c r="R6" i="39"/>
  <c r="R5" i="39"/>
  <c r="O66" i="39"/>
  <c r="P23" i="23" s="1"/>
  <c r="O64" i="39"/>
  <c r="O62" i="39"/>
  <c r="O61" i="39"/>
  <c r="O60" i="39"/>
  <c r="O59" i="39"/>
  <c r="N58" i="39"/>
  <c r="M58" i="39"/>
  <c r="O57" i="39"/>
  <c r="O56" i="39"/>
  <c r="N55" i="39"/>
  <c r="M55" i="39"/>
  <c r="M68" i="39" s="1"/>
  <c r="O54" i="39"/>
  <c r="O53" i="39"/>
  <c r="O44" i="39"/>
  <c r="N43" i="39"/>
  <c r="M43" i="39"/>
  <c r="O42" i="39"/>
  <c r="O41" i="39"/>
  <c r="O40" i="39"/>
  <c r="O39" i="39"/>
  <c r="O37" i="39"/>
  <c r="O36" i="39"/>
  <c r="O35" i="39"/>
  <c r="O34" i="39"/>
  <c r="O33" i="39"/>
  <c r="O32" i="39"/>
  <c r="O31" i="39"/>
  <c r="N30" i="39"/>
  <c r="M30" i="39"/>
  <c r="O29" i="39"/>
  <c r="O28" i="39"/>
  <c r="N27" i="39"/>
  <c r="O27" i="39" s="1"/>
  <c r="N26" i="39"/>
  <c r="O26" i="39" s="1"/>
  <c r="N24" i="39"/>
  <c r="O24" i="39" s="1"/>
  <c r="M23" i="39"/>
  <c r="O22" i="39"/>
  <c r="O21" i="39"/>
  <c r="O42" i="25" s="1"/>
  <c r="O20" i="39"/>
  <c r="O19" i="39"/>
  <c r="O17" i="39"/>
  <c r="N16" i="39"/>
  <c r="O16" i="39" s="1"/>
  <c r="O15" i="39"/>
  <c r="O14" i="39"/>
  <c r="N13" i="39"/>
  <c r="O13" i="39" s="1"/>
  <c r="N12" i="39"/>
  <c r="O12" i="39" s="1"/>
  <c r="O11" i="39"/>
  <c r="O11" i="25" s="1"/>
  <c r="O10" i="39"/>
  <c r="O9" i="39"/>
  <c r="O8" i="39"/>
  <c r="O7" i="39"/>
  <c r="L47" i="25"/>
  <c r="L56" i="25"/>
  <c r="D3" i="29"/>
  <c r="Z16" i="23" l="1"/>
  <c r="O240" i="25"/>
  <c r="Q7" i="23"/>
  <c r="P8" i="23"/>
  <c r="O238" i="25"/>
  <c r="O27" i="24"/>
  <c r="Q29" i="24"/>
  <c r="O239" i="25"/>
  <c r="P9" i="23"/>
  <c r="V37" i="23"/>
  <c r="P40" i="11"/>
  <c r="V25" i="11"/>
  <c r="R38" i="11"/>
  <c r="V32" i="11"/>
  <c r="U35" i="11"/>
  <c r="V39" i="11"/>
  <c r="R42" i="11"/>
  <c r="U15" i="11"/>
  <c r="V36" i="11"/>
  <c r="R28" i="24"/>
  <c r="R33" i="24"/>
  <c r="T26" i="24"/>
  <c r="T25" i="24" s="1"/>
  <c r="S32" i="24"/>
  <c r="V32" i="24" s="1"/>
  <c r="V31" i="24"/>
  <c r="Q27" i="11"/>
  <c r="Q15" i="11"/>
  <c r="Q48" i="11"/>
  <c r="Q47" i="11" s="1"/>
  <c r="V16" i="11"/>
  <c r="T15" i="11"/>
  <c r="V43" i="20"/>
  <c r="R26" i="11"/>
  <c r="R22" i="11"/>
  <c r="V28" i="11"/>
  <c r="R7" i="25"/>
  <c r="X6" i="30" s="1"/>
  <c r="S22" i="23"/>
  <c r="R243" i="25"/>
  <c r="E34" i="29"/>
  <c r="O50" i="25" s="1"/>
  <c r="O31" i="11"/>
  <c r="O35" i="11"/>
  <c r="Q26" i="10"/>
  <c r="S6" i="11"/>
  <c r="U6" i="10"/>
  <c r="V48" i="10"/>
  <c r="V57" i="10"/>
  <c r="S37" i="11"/>
  <c r="V80" i="10"/>
  <c r="Q12" i="11"/>
  <c r="P20" i="11"/>
  <c r="Q44" i="11"/>
  <c r="Q40" i="11" s="1"/>
  <c r="T29" i="11"/>
  <c r="T27" i="11" s="1"/>
  <c r="S43" i="11"/>
  <c r="S55" i="11"/>
  <c r="S48" i="11" s="1"/>
  <c r="S47" i="11" s="1"/>
  <c r="O9" i="11"/>
  <c r="Q43" i="10"/>
  <c r="P6" i="10"/>
  <c r="P5" i="10" s="1"/>
  <c r="P26" i="10"/>
  <c r="O28" i="10"/>
  <c r="R45" i="10"/>
  <c r="R53" i="10"/>
  <c r="R80" i="10"/>
  <c r="R84" i="10"/>
  <c r="R96" i="10"/>
  <c r="U26" i="10"/>
  <c r="T43" i="10"/>
  <c r="U43" i="10"/>
  <c r="T21" i="11"/>
  <c r="T57" i="10"/>
  <c r="S69" i="10"/>
  <c r="T69" i="10"/>
  <c r="U77" i="10"/>
  <c r="U64" i="10" s="1"/>
  <c r="V84" i="10"/>
  <c r="T95" i="10"/>
  <c r="T94" i="10" s="1"/>
  <c r="P6" i="11"/>
  <c r="P9" i="11"/>
  <c r="P14" i="11"/>
  <c r="R17" i="11"/>
  <c r="R19" i="11"/>
  <c r="Q20" i="11"/>
  <c r="Q23" i="11"/>
  <c r="R25" i="11"/>
  <c r="R28" i="11"/>
  <c r="P29" i="11"/>
  <c r="P27" i="11" s="1"/>
  <c r="R41" i="11"/>
  <c r="R50" i="11"/>
  <c r="U6" i="11"/>
  <c r="V8" i="11"/>
  <c r="U9" i="11"/>
  <c r="U12" i="11"/>
  <c r="U14" i="11"/>
  <c r="T20" i="11"/>
  <c r="T18" i="11" s="1"/>
  <c r="V38" i="11"/>
  <c r="U44" i="11"/>
  <c r="U55" i="11"/>
  <c r="U48" i="11" s="1"/>
  <c r="U47" i="11" s="1"/>
  <c r="O55" i="11"/>
  <c r="R55" i="11" s="1"/>
  <c r="R7" i="10"/>
  <c r="R16" i="10"/>
  <c r="O31" i="10"/>
  <c r="R48" i="10"/>
  <c r="P43" i="10"/>
  <c r="R71" i="10"/>
  <c r="O77" i="10"/>
  <c r="P77" i="10"/>
  <c r="P94" i="10"/>
  <c r="S9" i="11"/>
  <c r="V38" i="10"/>
  <c r="V107" i="10"/>
  <c r="Q6" i="11"/>
  <c r="R8" i="11"/>
  <c r="P13" i="11"/>
  <c r="Q14" i="11"/>
  <c r="R16" i="11"/>
  <c r="P21" i="11"/>
  <c r="P18" i="11" s="1"/>
  <c r="R24" i="11"/>
  <c r="R33" i="11"/>
  <c r="R36" i="11"/>
  <c r="O44" i="11"/>
  <c r="R44" i="11" s="1"/>
  <c r="R49" i="11"/>
  <c r="R57" i="11"/>
  <c r="S7" i="11"/>
  <c r="V7" i="11" s="1"/>
  <c r="T13" i="11"/>
  <c r="T10" i="11" s="1"/>
  <c r="U20" i="11"/>
  <c r="V42" i="11"/>
  <c r="U43" i="11"/>
  <c r="V50" i="11"/>
  <c r="R57" i="10"/>
  <c r="O65" i="10"/>
  <c r="P69" i="10"/>
  <c r="P64" i="10" s="1"/>
  <c r="P110" i="10" s="1"/>
  <c r="Q77" i="10"/>
  <c r="Q64" i="10" s="1"/>
  <c r="R107" i="10"/>
  <c r="V31" i="10"/>
  <c r="V45" i="10"/>
  <c r="V53" i="10"/>
  <c r="U95" i="10"/>
  <c r="U94" i="10" s="1"/>
  <c r="O7" i="11"/>
  <c r="R7" i="11" s="1"/>
  <c r="P12" i="11"/>
  <c r="Q13" i="11"/>
  <c r="O15" i="11"/>
  <c r="R15" i="11" s="1"/>
  <c r="Q21" i="11"/>
  <c r="O23" i="11"/>
  <c r="O27" i="11"/>
  <c r="R32" i="11"/>
  <c r="P35" i="11"/>
  <c r="Q37" i="11"/>
  <c r="R37" i="11" s="1"/>
  <c r="R39" i="11"/>
  <c r="O43" i="11"/>
  <c r="R43" i="11" s="1"/>
  <c r="P48" i="11"/>
  <c r="P47" i="11" s="1"/>
  <c r="U13" i="11"/>
  <c r="V17" i="11"/>
  <c r="U21" i="11"/>
  <c r="U23" i="11"/>
  <c r="V34" i="11"/>
  <c r="T37" i="11"/>
  <c r="T35" i="11" s="1"/>
  <c r="T30" i="11" s="1"/>
  <c r="V41" i="11"/>
  <c r="S44" i="11"/>
  <c r="V44" i="11" s="1"/>
  <c r="V49" i="11"/>
  <c r="V57" i="11"/>
  <c r="T42" i="39"/>
  <c r="R49" i="39"/>
  <c r="P18" i="24"/>
  <c r="S24" i="23"/>
  <c r="S18" i="24" s="1"/>
  <c r="T23" i="23"/>
  <c r="N68" i="39"/>
  <c r="R58" i="39"/>
  <c r="O6" i="39"/>
  <c r="O170" i="25" s="1"/>
  <c r="P22" i="23" s="1"/>
  <c r="O38" i="39"/>
  <c r="R38" i="39"/>
  <c r="O45" i="39"/>
  <c r="O55" i="39"/>
  <c r="O58" i="25" s="1"/>
  <c r="O58" i="39"/>
  <c r="R43" i="39"/>
  <c r="T18" i="24"/>
  <c r="O18" i="39"/>
  <c r="R16" i="39"/>
  <c r="P12" i="23"/>
  <c r="T70" i="30"/>
  <c r="O155" i="25"/>
  <c r="T73" i="30" s="1"/>
  <c r="P11" i="23"/>
  <c r="R225" i="25"/>
  <c r="X88" i="30" s="1"/>
  <c r="O225" i="25"/>
  <c r="T88" i="30" s="1"/>
  <c r="V8" i="23"/>
  <c r="R37" i="23"/>
  <c r="V15" i="23"/>
  <c r="T18" i="30"/>
  <c r="R8" i="23"/>
  <c r="Z8" i="23" s="1"/>
  <c r="V11" i="23"/>
  <c r="R148" i="25"/>
  <c r="X70" i="30" s="1"/>
  <c r="T10" i="23"/>
  <c r="T8" i="24"/>
  <c r="X18" i="30"/>
  <c r="O10" i="23"/>
  <c r="T81" i="30"/>
  <c r="R158" i="25"/>
  <c r="X74" i="30" s="1"/>
  <c r="Q9" i="24"/>
  <c r="R27" i="24"/>
  <c r="O26" i="24"/>
  <c r="O25" i="24" s="1"/>
  <c r="O21" i="25"/>
  <c r="T9" i="30" s="1"/>
  <c r="O158" i="25"/>
  <c r="T74" i="30" s="1"/>
  <c r="X81" i="30"/>
  <c r="P10" i="23"/>
  <c r="T92" i="30"/>
  <c r="X92" i="30"/>
  <c r="U30" i="24"/>
  <c r="V30" i="24" s="1"/>
  <c r="T5" i="24"/>
  <c r="Q30" i="24"/>
  <c r="Q26" i="24" s="1"/>
  <c r="Q25" i="24" s="1"/>
  <c r="U29" i="24"/>
  <c r="V29" i="24" s="1"/>
  <c r="O37" i="25"/>
  <c r="T15" i="30" s="1"/>
  <c r="X13" i="30"/>
  <c r="O117" i="25"/>
  <c r="T58" i="30" s="1"/>
  <c r="O11" i="23"/>
  <c r="O29" i="23"/>
  <c r="V9" i="23"/>
  <c r="R9" i="23"/>
  <c r="Z9" i="23" s="1"/>
  <c r="T12" i="23"/>
  <c r="S31" i="11"/>
  <c r="V31" i="11" s="1"/>
  <c r="T64" i="10"/>
  <c r="V77" i="10"/>
  <c r="S27" i="11"/>
  <c r="V37" i="11"/>
  <c r="S35" i="11"/>
  <c r="S21" i="11"/>
  <c r="O21" i="11"/>
  <c r="O20" i="11"/>
  <c r="S13" i="11"/>
  <c r="S12" i="11"/>
  <c r="V12" i="11" s="1"/>
  <c r="V28" i="10"/>
  <c r="V7" i="10"/>
  <c r="S6" i="10"/>
  <c r="O6" i="11"/>
  <c r="T6" i="11"/>
  <c r="T5" i="11" s="1"/>
  <c r="O6" i="10"/>
  <c r="P17" i="24"/>
  <c r="R28" i="39"/>
  <c r="O30" i="39"/>
  <c r="O43" i="39"/>
  <c r="O65" i="39"/>
  <c r="O68" i="39" s="1"/>
  <c r="R55" i="39"/>
  <c r="R58" i="25" s="1"/>
  <c r="O7" i="25"/>
  <c r="T6" i="30" s="1"/>
  <c r="R18" i="39"/>
  <c r="R29" i="24"/>
  <c r="T13" i="30"/>
  <c r="S20" i="11"/>
  <c r="O8" i="12"/>
  <c r="Q8" i="12" s="1"/>
  <c r="N65" i="3"/>
  <c r="L39" i="18"/>
  <c r="O85" i="39"/>
  <c r="O87" i="39" s="1"/>
  <c r="L42" i="12"/>
  <c r="N42" i="12" s="1"/>
  <c r="T41" i="30"/>
  <c r="X41" i="30"/>
  <c r="Q39" i="18"/>
  <c r="U5" i="30"/>
  <c r="U4" i="30" s="1"/>
  <c r="S15" i="11"/>
  <c r="V46" i="20"/>
  <c r="R46" i="20"/>
  <c r="O73" i="39" s="1"/>
  <c r="V31" i="21"/>
  <c r="P40" i="20"/>
  <c r="P39" i="20" s="1"/>
  <c r="V21" i="21"/>
  <c r="P41" i="20"/>
  <c r="R41" i="20" s="1"/>
  <c r="R26" i="21"/>
  <c r="O5" i="20"/>
  <c r="R5" i="20" s="1"/>
  <c r="Q42" i="20"/>
  <c r="Q7" i="24" s="1"/>
  <c r="Q45" i="20"/>
  <c r="S5" i="20"/>
  <c r="V5" i="20" s="1"/>
  <c r="Q5" i="30"/>
  <c r="Q4" i="30" s="1"/>
  <c r="Q39" i="20"/>
  <c r="Q49" i="20" s="1"/>
  <c r="R43" i="20"/>
  <c r="R6" i="21"/>
  <c r="R5" i="21" s="1"/>
  <c r="T42" i="20"/>
  <c r="V40" i="20"/>
  <c r="S39" i="20"/>
  <c r="P45" i="20"/>
  <c r="X91" i="30"/>
  <c r="X89" i="30" s="1"/>
  <c r="Q17" i="24"/>
  <c r="Q15" i="24" s="1"/>
  <c r="X76" i="30"/>
  <c r="O40" i="20"/>
  <c r="R44" i="20"/>
  <c r="R47" i="20"/>
  <c r="T41" i="20"/>
  <c r="V41" i="20" s="1"/>
  <c r="U42" i="20"/>
  <c r="U7" i="24" s="1"/>
  <c r="V44" i="20"/>
  <c r="U45" i="20"/>
  <c r="V47" i="20"/>
  <c r="Q5" i="24"/>
  <c r="U5" i="24"/>
  <c r="U15" i="24"/>
  <c r="S8" i="24"/>
  <c r="R31" i="21"/>
  <c r="V6" i="21"/>
  <c r="O45" i="20"/>
  <c r="R45" i="20" s="1"/>
  <c r="R48" i="20"/>
  <c r="S45" i="20"/>
  <c r="V48" i="20"/>
  <c r="T20" i="30"/>
  <c r="L38" i="18"/>
  <c r="N38" i="18" s="1"/>
  <c r="Q43" i="18"/>
  <c r="R77" i="39" s="1"/>
  <c r="L42" i="37"/>
  <c r="N42" i="37" s="1"/>
  <c r="Q39" i="2"/>
  <c r="Q8" i="3"/>
  <c r="Q7" i="3" s="1"/>
  <c r="Q6" i="3" s="1"/>
  <c r="Q43" i="7"/>
  <c r="R76" i="39" s="1"/>
  <c r="Q38" i="5"/>
  <c r="O39" i="37"/>
  <c r="Q39" i="37" s="1"/>
  <c r="N41" i="18"/>
  <c r="Q39" i="5"/>
  <c r="N44" i="3"/>
  <c r="N41" i="3" s="1"/>
  <c r="L39" i="8"/>
  <c r="N39" i="8" s="1"/>
  <c r="L39" i="37"/>
  <c r="N39" i="37" s="1"/>
  <c r="O39" i="12"/>
  <c r="Q39" i="12" s="1"/>
  <c r="L39" i="12"/>
  <c r="N39" i="12" s="1"/>
  <c r="Q39" i="7"/>
  <c r="N43" i="2"/>
  <c r="O74" i="39" s="1"/>
  <c r="O39" i="8"/>
  <c r="Q39" i="8" s="1"/>
  <c r="N9" i="18"/>
  <c r="L39" i="5"/>
  <c r="N39" i="5" s="1"/>
  <c r="L42" i="14"/>
  <c r="N42" i="14" s="1"/>
  <c r="Q38" i="37"/>
  <c r="S23" i="11"/>
  <c r="V23" i="11" s="1"/>
  <c r="V26" i="11"/>
  <c r="S24" i="11"/>
  <c r="V24" i="11" s="1"/>
  <c r="S22" i="11"/>
  <c r="V22" i="11" s="1"/>
  <c r="Q41" i="5"/>
  <c r="N38" i="5"/>
  <c r="N38" i="14"/>
  <c r="O80" i="39"/>
  <c r="L37" i="8"/>
  <c r="N37" i="8" s="1"/>
  <c r="L42" i="18"/>
  <c r="N42" i="18" s="1"/>
  <c r="P36" i="18"/>
  <c r="P34" i="18" s="1"/>
  <c r="P32" i="18" s="1"/>
  <c r="P31" i="18" s="1"/>
  <c r="P35" i="18" s="1"/>
  <c r="N103" i="3"/>
  <c r="N102" i="3" s="1"/>
  <c r="N116" i="3"/>
  <c r="T37" i="30" s="1"/>
  <c r="N199" i="3"/>
  <c r="T29" i="30" s="1"/>
  <c r="Q38" i="7"/>
  <c r="Q178" i="3"/>
  <c r="X28" i="30" s="1"/>
  <c r="N39" i="14"/>
  <c r="N15" i="3"/>
  <c r="T31" i="30" s="1"/>
  <c r="O37" i="8"/>
  <c r="Q37" i="8" s="1"/>
  <c r="P36" i="8"/>
  <c r="P46" i="8" s="1"/>
  <c r="Q199" i="3"/>
  <c r="X29" i="30" s="1"/>
  <c r="N38" i="2"/>
  <c r="N41" i="2"/>
  <c r="P36" i="2"/>
  <c r="T33" i="30"/>
  <c r="O38" i="18"/>
  <c r="Q38" i="18" s="1"/>
  <c r="Q173" i="3"/>
  <c r="X27" i="30" s="1"/>
  <c r="P36" i="7"/>
  <c r="P46" i="7" s="1"/>
  <c r="P34" i="7" s="1"/>
  <c r="P32" i="7" s="1"/>
  <c r="P31" i="7" s="1"/>
  <c r="P35" i="7" s="1"/>
  <c r="N41" i="5"/>
  <c r="L86" i="3"/>
  <c r="L5" i="3" s="1"/>
  <c r="O86" i="3"/>
  <c r="O5" i="3" s="1"/>
  <c r="M46" i="12"/>
  <c r="N43" i="8"/>
  <c r="O79" i="39" s="1"/>
  <c r="Q43" i="8"/>
  <c r="R79" i="39" s="1"/>
  <c r="M36" i="18"/>
  <c r="M34" i="18" s="1"/>
  <c r="M32" i="18" s="1"/>
  <c r="M31" i="18" s="1"/>
  <c r="M35" i="18" s="1"/>
  <c r="Q41" i="7"/>
  <c r="N152" i="3"/>
  <c r="T22" i="30" s="1"/>
  <c r="N178" i="3"/>
  <c r="T28" i="30" s="1"/>
  <c r="N187" i="3"/>
  <c r="Q38" i="14"/>
  <c r="M37" i="14"/>
  <c r="M36" i="14" s="1"/>
  <c r="M46" i="14" s="1"/>
  <c r="M34" i="14" s="1"/>
  <c r="M32" i="14" s="1"/>
  <c r="M31" i="14" s="1"/>
  <c r="M35" i="14" s="1"/>
  <c r="N41" i="7"/>
  <c r="Q38" i="2"/>
  <c r="Q41" i="2"/>
  <c r="O42" i="7"/>
  <c r="Q42" i="7" s="1"/>
  <c r="L36" i="14"/>
  <c r="Q43" i="12"/>
  <c r="R81" i="39" s="1"/>
  <c r="N43" i="14"/>
  <c r="O78" i="39" s="1"/>
  <c r="O43" i="14"/>
  <c r="Q43" i="14" s="1"/>
  <c r="R78" i="39" s="1"/>
  <c r="Q41" i="3"/>
  <c r="O37" i="7"/>
  <c r="O37" i="14"/>
  <c r="O36" i="14" s="1"/>
  <c r="Q88" i="3"/>
  <c r="Q87" i="3" s="1"/>
  <c r="M36" i="8"/>
  <c r="N38" i="7"/>
  <c r="N43" i="37"/>
  <c r="N215" i="3"/>
  <c r="L38" i="12" s="1"/>
  <c r="N38" i="12" s="1"/>
  <c r="X31" i="30"/>
  <c r="Q103" i="3"/>
  <c r="O6" i="7"/>
  <c r="Q6" i="7" s="1"/>
  <c r="M36" i="2"/>
  <c r="P42" i="2"/>
  <c r="N43" i="5"/>
  <c r="O75" i="39" s="1"/>
  <c r="L42" i="5"/>
  <c r="N42" i="5" s="1"/>
  <c r="N136" i="3"/>
  <c r="N135" i="3" s="1"/>
  <c r="L37" i="37"/>
  <c r="N173" i="3"/>
  <c r="T27" i="30" s="1"/>
  <c r="Q43" i="5"/>
  <c r="R75" i="39" s="1"/>
  <c r="O42" i="5"/>
  <c r="Q42" i="5" s="1"/>
  <c r="X33" i="30"/>
  <c r="Q43" i="37"/>
  <c r="O42" i="37"/>
  <c r="Q42" i="37" s="1"/>
  <c r="R85" i="39"/>
  <c r="R87" i="39" s="1"/>
  <c r="O44" i="12"/>
  <c r="O42" i="12" s="1"/>
  <c r="Q42" i="12" s="1"/>
  <c r="Q41" i="12"/>
  <c r="R80" i="39"/>
  <c r="N88" i="3"/>
  <c r="N95" i="3"/>
  <c r="T35" i="30" s="1"/>
  <c r="N110" i="3"/>
  <c r="N109" i="3" s="1"/>
  <c r="L38" i="8"/>
  <c r="N38" i="8" s="1"/>
  <c r="N38" i="37"/>
  <c r="Q110" i="3"/>
  <c r="Q136" i="3"/>
  <c r="Q135" i="3" s="1"/>
  <c r="O37" i="37"/>
  <c r="Q215" i="3"/>
  <c r="O38" i="12" s="1"/>
  <c r="Q38" i="12" s="1"/>
  <c r="O38" i="8"/>
  <c r="Q38" i="8" s="1"/>
  <c r="Q39" i="14"/>
  <c r="L37" i="18"/>
  <c r="N37" i="18" s="1"/>
  <c r="L6" i="7"/>
  <c r="N6" i="7" s="1"/>
  <c r="N43" i="7"/>
  <c r="O76" i="39" s="1"/>
  <c r="N25" i="3"/>
  <c r="N58" i="3"/>
  <c r="N57" i="3" s="1"/>
  <c r="T23" i="30"/>
  <c r="N194" i="3"/>
  <c r="Q116" i="3"/>
  <c r="X37" i="30" s="1"/>
  <c r="Q152" i="3"/>
  <c r="X22" i="30" s="1"/>
  <c r="Q187" i="3"/>
  <c r="O42" i="18"/>
  <c r="Q42" i="18" s="1"/>
  <c r="M36" i="5"/>
  <c r="M46" i="5" s="1"/>
  <c r="P36" i="5"/>
  <c r="P46" i="5" s="1"/>
  <c r="M42" i="2"/>
  <c r="L42" i="2"/>
  <c r="O42" i="2"/>
  <c r="P36" i="37"/>
  <c r="P34" i="37" s="1"/>
  <c r="P32" i="37" s="1"/>
  <c r="P31" i="37" s="1"/>
  <c r="P35" i="37" s="1"/>
  <c r="Q25" i="3"/>
  <c r="Q58" i="3"/>
  <c r="Q57" i="3" s="1"/>
  <c r="Q157" i="3"/>
  <c r="X23" i="30" s="1"/>
  <c r="Q194" i="3"/>
  <c r="N43" i="18"/>
  <c r="O37" i="18"/>
  <c r="Q37" i="18" s="1"/>
  <c r="N37" i="7"/>
  <c r="L37" i="5"/>
  <c r="O37" i="5"/>
  <c r="M36" i="37"/>
  <c r="M34" i="37" s="1"/>
  <c r="M32" i="37" s="1"/>
  <c r="M31" i="37" s="1"/>
  <c r="M35" i="37" s="1"/>
  <c r="O8" i="2"/>
  <c r="N39" i="2"/>
  <c r="N8" i="3"/>
  <c r="Q43" i="2"/>
  <c r="R74" i="39" s="1"/>
  <c r="Q37" i="2"/>
  <c r="N37" i="2"/>
  <c r="R31" i="11"/>
  <c r="P30" i="11"/>
  <c r="R32" i="24"/>
  <c r="S64" i="10"/>
  <c r="V64" i="10" s="1"/>
  <c r="V65" i="10"/>
  <c r="V102" i="10"/>
  <c r="S95" i="10"/>
  <c r="T6" i="10"/>
  <c r="T5" i="10" s="1"/>
  <c r="T93" i="10" s="1"/>
  <c r="V18" i="10"/>
  <c r="S34" i="10"/>
  <c r="S43" i="10"/>
  <c r="V68" i="10"/>
  <c r="V104" i="10"/>
  <c r="V71" i="10"/>
  <c r="O26" i="10"/>
  <c r="R26" i="10" s="1"/>
  <c r="R28" i="10"/>
  <c r="R102" i="10"/>
  <c r="O95" i="10"/>
  <c r="R65" i="10"/>
  <c r="Q18" i="10"/>
  <c r="R30" i="10"/>
  <c r="R33" i="10"/>
  <c r="O34" i="10"/>
  <c r="O43" i="10"/>
  <c r="R43" i="10" s="1"/>
  <c r="R68" i="10"/>
  <c r="R104" i="10"/>
  <c r="O69" i="10"/>
  <c r="S14" i="20"/>
  <c r="T45" i="20"/>
  <c r="V11" i="20"/>
  <c r="T14" i="20"/>
  <c r="T8" i="20" s="1"/>
  <c r="T33" i="20" s="1"/>
  <c r="S25" i="20"/>
  <c r="Q8" i="20"/>
  <c r="Q33" i="20" s="1"/>
  <c r="O8" i="20"/>
  <c r="R11" i="20"/>
  <c r="P14" i="20"/>
  <c r="P8" i="20" s="1"/>
  <c r="P33" i="20" s="1"/>
  <c r="O25" i="20"/>
  <c r="U30" i="23"/>
  <c r="S12" i="23"/>
  <c r="V18" i="23"/>
  <c r="S33" i="23"/>
  <c r="V41" i="23"/>
  <c r="V19" i="23"/>
  <c r="Q30" i="23"/>
  <c r="R33" i="23"/>
  <c r="O32" i="23"/>
  <c r="O17" i="23"/>
  <c r="R17" i="23" s="1"/>
  <c r="R34" i="23"/>
  <c r="R41" i="23"/>
  <c r="R43" i="25"/>
  <c r="R242" i="25"/>
  <c r="S242" i="25" s="1"/>
  <c r="R120" i="25"/>
  <c r="X59" i="30" s="1"/>
  <c r="R240" i="25"/>
  <c r="S240" i="25" s="1"/>
  <c r="R63" i="25"/>
  <c r="X19" i="30" s="1"/>
  <c r="O120" i="25"/>
  <c r="T59" i="30" s="1"/>
  <c r="O63" i="25"/>
  <c r="T19" i="30" s="1"/>
  <c r="O8" i="37"/>
  <c r="Q8" i="37" s="1"/>
  <c r="L8" i="37"/>
  <c r="N8" i="37" s="1"/>
  <c r="O30" i="2"/>
  <c r="Q8" i="2"/>
  <c r="Q9" i="2"/>
  <c r="L30" i="2"/>
  <c r="N8" i="2"/>
  <c r="N9" i="2"/>
  <c r="N44" i="2"/>
  <c r="P30" i="5"/>
  <c r="Q22" i="5"/>
  <c r="O8" i="5"/>
  <c r="Q8" i="5" s="1"/>
  <c r="N22" i="5"/>
  <c r="L8" i="5"/>
  <c r="N8" i="5" s="1"/>
  <c r="Q22" i="7"/>
  <c r="O8" i="7"/>
  <c r="Q8" i="7" s="1"/>
  <c r="M22" i="7"/>
  <c r="M30" i="7" s="1"/>
  <c r="M36" i="7"/>
  <c r="M42" i="7"/>
  <c r="N42" i="7" s="1"/>
  <c r="L8" i="7"/>
  <c r="N8" i="7" s="1"/>
  <c r="N22" i="7"/>
  <c r="P30" i="18"/>
  <c r="O8" i="18"/>
  <c r="Q8" i="18" s="1"/>
  <c r="Q22" i="18"/>
  <c r="M30" i="18"/>
  <c r="L8" i="18"/>
  <c r="N8" i="18" s="1"/>
  <c r="N22" i="18"/>
  <c r="N44" i="18"/>
  <c r="P30" i="14"/>
  <c r="Q23" i="14"/>
  <c r="P36" i="14"/>
  <c r="P46" i="14" s="1"/>
  <c r="O8" i="14"/>
  <c r="Q8" i="14" s="1"/>
  <c r="Q22" i="14"/>
  <c r="Q44" i="14"/>
  <c r="N22" i="14"/>
  <c r="L30" i="14"/>
  <c r="N30" i="14" s="1"/>
  <c r="L8" i="14"/>
  <c r="N8" i="14" s="1"/>
  <c r="Q42" i="8"/>
  <c r="O8" i="8"/>
  <c r="Q8" i="8" s="1"/>
  <c r="O22" i="8"/>
  <c r="N22" i="8"/>
  <c r="M30" i="8"/>
  <c r="L8" i="8"/>
  <c r="N8" i="8" s="1"/>
  <c r="N23" i="8"/>
  <c r="M42" i="8"/>
  <c r="N42" i="8" s="1"/>
  <c r="O30" i="12"/>
  <c r="Q30" i="12" s="1"/>
  <c r="M22" i="12"/>
  <c r="M30" i="12" s="1"/>
  <c r="L30" i="12"/>
  <c r="N30" i="12" s="1"/>
  <c r="L8" i="12"/>
  <c r="N8" i="12" s="1"/>
  <c r="Q214" i="3"/>
  <c r="N214" i="3"/>
  <c r="R52" i="39"/>
  <c r="O5" i="39"/>
  <c r="N23" i="39"/>
  <c r="O23" i="39" s="1"/>
  <c r="O52" i="39"/>
  <c r="O25" i="39"/>
  <c r="O242" i="25" l="1"/>
  <c r="O5" i="11"/>
  <c r="N151" i="3"/>
  <c r="S27" i="24"/>
  <c r="P7" i="24"/>
  <c r="V10" i="23"/>
  <c r="T9" i="24"/>
  <c r="P8" i="24"/>
  <c r="T17" i="24"/>
  <c r="V24" i="23"/>
  <c r="U40" i="11"/>
  <c r="U30" i="11" s="1"/>
  <c r="Q10" i="11"/>
  <c r="Q35" i="11"/>
  <c r="R35" i="11" s="1"/>
  <c r="U18" i="11"/>
  <c r="R21" i="11"/>
  <c r="V21" i="11"/>
  <c r="R27" i="11"/>
  <c r="V20" i="11"/>
  <c r="V48" i="11"/>
  <c r="V29" i="11"/>
  <c r="V9" i="11"/>
  <c r="Q18" i="11"/>
  <c r="O12" i="11"/>
  <c r="V27" i="11"/>
  <c r="R69" i="10"/>
  <c r="R34" i="10"/>
  <c r="O14" i="11"/>
  <c r="R14" i="11" s="1"/>
  <c r="Q6" i="10"/>
  <c r="Q5" i="10" s="1"/>
  <c r="Q9" i="11"/>
  <c r="Q5" i="11" s="1"/>
  <c r="S14" i="11"/>
  <c r="V14" i="11" s="1"/>
  <c r="O48" i="11"/>
  <c r="O47" i="11" s="1"/>
  <c r="V55" i="11"/>
  <c r="S5" i="11"/>
  <c r="V5" i="11" s="1"/>
  <c r="V13" i="11"/>
  <c r="R23" i="11"/>
  <c r="P10" i="11"/>
  <c r="O40" i="11"/>
  <c r="R40" i="11" s="1"/>
  <c r="U5" i="11"/>
  <c r="P5" i="11"/>
  <c r="P4" i="11" s="1"/>
  <c r="P46" i="11" s="1"/>
  <c r="V69" i="10"/>
  <c r="S40" i="11"/>
  <c r="V40" i="11" s="1"/>
  <c r="R29" i="11"/>
  <c r="U5" i="10"/>
  <c r="U93" i="10" s="1"/>
  <c r="V43" i="10"/>
  <c r="R18" i="10"/>
  <c r="R6" i="11"/>
  <c r="V35" i="11"/>
  <c r="R77" i="10"/>
  <c r="R31" i="10"/>
  <c r="O13" i="11"/>
  <c r="R13" i="11" s="1"/>
  <c r="V43" i="11"/>
  <c r="U10" i="11"/>
  <c r="O30" i="11"/>
  <c r="O43" i="25"/>
  <c r="T16" i="30" s="1"/>
  <c r="O49" i="39"/>
  <c r="T7" i="24"/>
  <c r="R15" i="23"/>
  <c r="R25" i="24"/>
  <c r="O57" i="25"/>
  <c r="O22" i="23" s="1"/>
  <c r="P21" i="23"/>
  <c r="T4" i="11"/>
  <c r="T46" i="11" s="1"/>
  <c r="R68" i="39"/>
  <c r="V18" i="24"/>
  <c r="R11" i="23"/>
  <c r="Z11" i="23" s="1"/>
  <c r="R30" i="24"/>
  <c r="P7" i="23"/>
  <c r="V12" i="23"/>
  <c r="R26" i="24"/>
  <c r="R10" i="23"/>
  <c r="Z10" i="23" s="1"/>
  <c r="V8" i="24"/>
  <c r="T7" i="23"/>
  <c r="S9" i="24"/>
  <c r="O8" i="24"/>
  <c r="R8" i="24" s="1"/>
  <c r="O24" i="23"/>
  <c r="R29" i="23"/>
  <c r="U26" i="24"/>
  <c r="U25" i="24" s="1"/>
  <c r="V27" i="24"/>
  <c r="S26" i="24"/>
  <c r="P9" i="24"/>
  <c r="R20" i="11"/>
  <c r="O18" i="11"/>
  <c r="S26" i="10"/>
  <c r="V6" i="11"/>
  <c r="O92" i="39"/>
  <c r="O74" i="25"/>
  <c r="R92" i="39"/>
  <c r="R74" i="25"/>
  <c r="R71" i="25" s="1"/>
  <c r="X25" i="30" s="1"/>
  <c r="V15" i="11"/>
  <c r="S10" i="11"/>
  <c r="V42" i="20"/>
  <c r="P6" i="24"/>
  <c r="V20" i="21"/>
  <c r="R21" i="21"/>
  <c r="R20" i="21" s="1"/>
  <c r="R4" i="21" s="1"/>
  <c r="T6" i="24"/>
  <c r="R42" i="20"/>
  <c r="Q37" i="20"/>
  <c r="Q4" i="24"/>
  <c r="Q24" i="24" s="1"/>
  <c r="Q35" i="24" s="1"/>
  <c r="T39" i="20"/>
  <c r="T37" i="20" s="1"/>
  <c r="P49" i="20"/>
  <c r="U39" i="20"/>
  <c r="U49" i="20" s="1"/>
  <c r="U4" i="24"/>
  <c r="U24" i="24" s="1"/>
  <c r="R40" i="20"/>
  <c r="O39" i="20"/>
  <c r="S49" i="20"/>
  <c r="P37" i="20"/>
  <c r="P35" i="20" s="1"/>
  <c r="P34" i="20" s="1"/>
  <c r="P38" i="20" s="1"/>
  <c r="X20" i="30"/>
  <c r="N87" i="3"/>
  <c r="Q109" i="3"/>
  <c r="L39" i="7"/>
  <c r="N39" i="7" s="1"/>
  <c r="M34" i="5"/>
  <c r="M32" i="5" s="1"/>
  <c r="M31" i="5" s="1"/>
  <c r="M35" i="5" s="1"/>
  <c r="N40" i="3"/>
  <c r="N39" i="3" s="1"/>
  <c r="Q40" i="3"/>
  <c r="Q39" i="3" s="1"/>
  <c r="L30" i="18"/>
  <c r="N30" i="18" s="1"/>
  <c r="Q24" i="3"/>
  <c r="Q23" i="3" s="1"/>
  <c r="N24" i="3"/>
  <c r="N23" i="3" s="1"/>
  <c r="S18" i="11"/>
  <c r="V18" i="11" s="1"/>
  <c r="O30" i="5"/>
  <c r="Q30" i="5" s="1"/>
  <c r="X30" i="30"/>
  <c r="T80" i="30"/>
  <c r="M46" i="18"/>
  <c r="P46" i="18"/>
  <c r="N7" i="3"/>
  <c r="N6" i="3" s="1"/>
  <c r="O42" i="14"/>
  <c r="Q42" i="14" s="1"/>
  <c r="O36" i="8"/>
  <c r="O46" i="8" s="1"/>
  <c r="Q46" i="8" s="1"/>
  <c r="P46" i="2"/>
  <c r="P34" i="2" s="1"/>
  <c r="P32" i="2" s="1"/>
  <c r="P31" i="2" s="1"/>
  <c r="P35" i="2" s="1"/>
  <c r="P34" i="8"/>
  <c r="P32" i="8" s="1"/>
  <c r="P31" i="8" s="1"/>
  <c r="P35" i="8" s="1"/>
  <c r="N36" i="14"/>
  <c r="M34" i="12"/>
  <c r="M32" i="12" s="1"/>
  <c r="M31" i="12" s="1"/>
  <c r="M35" i="12" s="1"/>
  <c r="Q42" i="2"/>
  <c r="P46" i="37"/>
  <c r="P5" i="24"/>
  <c r="N37" i="14"/>
  <c r="L46" i="14"/>
  <c r="N46" i="14" s="1"/>
  <c r="Q150" i="3"/>
  <c r="L36" i="18"/>
  <c r="L46" i="18" s="1"/>
  <c r="O36" i="18"/>
  <c r="M46" i="37"/>
  <c r="O36" i="2"/>
  <c r="Q36" i="2" s="1"/>
  <c r="R82" i="39"/>
  <c r="M46" i="2"/>
  <c r="M34" i="2" s="1"/>
  <c r="M32" i="2" s="1"/>
  <c r="M31" i="2" s="1"/>
  <c r="M35" i="2" s="1"/>
  <c r="Q37" i="14"/>
  <c r="L36" i="2"/>
  <c r="L46" i="2" s="1"/>
  <c r="S7" i="24"/>
  <c r="T30" i="30"/>
  <c r="N42" i="2"/>
  <c r="L36" i="7"/>
  <c r="L46" i="7" s="1"/>
  <c r="N134" i="3"/>
  <c r="T39" i="30"/>
  <c r="N150" i="3"/>
  <c r="N56" i="3"/>
  <c r="T32" i="30"/>
  <c r="Q134" i="3"/>
  <c r="X39" i="30"/>
  <c r="N108" i="3"/>
  <c r="T36" i="30"/>
  <c r="Q37" i="7"/>
  <c r="O36" i="7"/>
  <c r="M46" i="8"/>
  <c r="P34" i="5"/>
  <c r="P32" i="5" s="1"/>
  <c r="P31" i="5" s="1"/>
  <c r="P35" i="5" s="1"/>
  <c r="O7" i="24"/>
  <c r="S6" i="24"/>
  <c r="Q56" i="3"/>
  <c r="X32" i="30"/>
  <c r="Q108" i="3"/>
  <c r="X36" i="30"/>
  <c r="N44" i="12"/>
  <c r="N220" i="3"/>
  <c r="L37" i="12"/>
  <c r="N37" i="5"/>
  <c r="L36" i="5"/>
  <c r="L34" i="5" s="1"/>
  <c r="X16" i="30"/>
  <c r="Q37" i="37"/>
  <c r="O36" i="37"/>
  <c r="O6" i="24"/>
  <c r="Q220" i="3"/>
  <c r="O37" i="12"/>
  <c r="L36" i="8"/>
  <c r="N36" i="8" s="1"/>
  <c r="M34" i="8"/>
  <c r="M32" i="8" s="1"/>
  <c r="M31" i="8" s="1"/>
  <c r="M35" i="8" s="1"/>
  <c r="N39" i="18"/>
  <c r="Q37" i="5"/>
  <c r="O36" i="5"/>
  <c r="N86" i="3"/>
  <c r="T34" i="30"/>
  <c r="Q44" i="12"/>
  <c r="N37" i="37"/>
  <c r="L36" i="37"/>
  <c r="Q102" i="3"/>
  <c r="X80" i="30"/>
  <c r="X34" i="30"/>
  <c r="V47" i="11"/>
  <c r="T110" i="10"/>
  <c r="V34" i="10"/>
  <c r="S94" i="10"/>
  <c r="V95" i="10"/>
  <c r="V6" i="10"/>
  <c r="O94" i="10"/>
  <c r="R95" i="10"/>
  <c r="P93" i="10"/>
  <c r="O64" i="10"/>
  <c r="R64" i="10" s="1"/>
  <c r="R6" i="10"/>
  <c r="O5" i="10"/>
  <c r="V25" i="20"/>
  <c r="V14" i="20"/>
  <c r="S8" i="20"/>
  <c r="V8" i="20" s="1"/>
  <c r="V45" i="20"/>
  <c r="Q35" i="20"/>
  <c r="Q34" i="20" s="1"/>
  <c r="Q38" i="20" s="1"/>
  <c r="R8" i="20"/>
  <c r="R14" i="20"/>
  <c r="O33" i="20"/>
  <c r="R25" i="20"/>
  <c r="V33" i="23"/>
  <c r="S32" i="23"/>
  <c r="S7" i="23"/>
  <c r="O31" i="23"/>
  <c r="O12" i="23"/>
  <c r="O30" i="37"/>
  <c r="L30" i="37"/>
  <c r="Q30" i="2"/>
  <c r="N30" i="2"/>
  <c r="L30" i="5"/>
  <c r="N30" i="5" s="1"/>
  <c r="O30" i="7"/>
  <c r="Q30" i="7" s="1"/>
  <c r="M46" i="7"/>
  <c r="M34" i="7" s="1"/>
  <c r="M32" i="7" s="1"/>
  <c r="M31" i="7" s="1"/>
  <c r="M35" i="7" s="1"/>
  <c r="L30" i="7"/>
  <c r="N30" i="7" s="1"/>
  <c r="O30" i="18"/>
  <c r="Q30" i="18" s="1"/>
  <c r="P34" i="14"/>
  <c r="P32" i="14" s="1"/>
  <c r="P31" i="14" s="1"/>
  <c r="P35" i="14" s="1"/>
  <c r="Q36" i="14"/>
  <c r="O30" i="14"/>
  <c r="Q22" i="8"/>
  <c r="O30" i="8"/>
  <c r="Q30" i="8" s="1"/>
  <c r="L30" i="8"/>
  <c r="N30" i="8" s="1"/>
  <c r="N22" i="12"/>
  <c r="R23" i="39"/>
  <c r="T49" i="39" s="1"/>
  <c r="K11" i="10"/>
  <c r="K10" i="10"/>
  <c r="K9" i="10"/>
  <c r="D21" i="29"/>
  <c r="V9" i="24" l="1"/>
  <c r="R7" i="24"/>
  <c r="O9" i="24"/>
  <c r="R9" i="24" s="1"/>
  <c r="R9" i="11"/>
  <c r="S30" i="11"/>
  <c r="V30" i="11" s="1"/>
  <c r="Q30" i="11"/>
  <c r="R30" i="11" s="1"/>
  <c r="U35" i="24"/>
  <c r="V10" i="11"/>
  <c r="P61" i="11"/>
  <c r="U4" i="11"/>
  <c r="U46" i="11" s="1"/>
  <c r="R48" i="11"/>
  <c r="R18" i="11"/>
  <c r="O46" i="14"/>
  <c r="Q46" i="14" s="1"/>
  <c r="R244" i="25"/>
  <c r="S244" i="25" s="1"/>
  <c r="O53" i="25"/>
  <c r="T17" i="30" s="1"/>
  <c r="O243" i="25"/>
  <c r="V7" i="24"/>
  <c r="Q4" i="11"/>
  <c r="Q46" i="11" s="1"/>
  <c r="R5" i="11"/>
  <c r="R12" i="11"/>
  <c r="O10" i="11"/>
  <c r="T61" i="11"/>
  <c r="Q93" i="10"/>
  <c r="Q110" i="10"/>
  <c r="U110" i="10"/>
  <c r="U61" i="11"/>
  <c r="T4" i="24"/>
  <c r="O166" i="25"/>
  <c r="T75" i="30" s="1"/>
  <c r="P30" i="23"/>
  <c r="P44" i="23" s="1"/>
  <c r="R166" i="25"/>
  <c r="X75" i="30" s="1"/>
  <c r="X42" i="30" s="1"/>
  <c r="P16" i="24"/>
  <c r="P15" i="24" s="1"/>
  <c r="V7" i="23"/>
  <c r="R6" i="24"/>
  <c r="S25" i="24"/>
  <c r="V25" i="24" s="1"/>
  <c r="V26" i="24"/>
  <c r="R24" i="23"/>
  <c r="Z24" i="23" s="1"/>
  <c r="O18" i="24"/>
  <c r="R18" i="24" s="1"/>
  <c r="O71" i="25"/>
  <c r="T25" i="30" s="1"/>
  <c r="O23" i="23"/>
  <c r="O244" i="25"/>
  <c r="S23" i="23"/>
  <c r="T16" i="24"/>
  <c r="T15" i="24" s="1"/>
  <c r="T21" i="23"/>
  <c r="T30" i="23" s="1"/>
  <c r="T44" i="23" s="1"/>
  <c r="R70" i="39"/>
  <c r="R89" i="39" s="1"/>
  <c r="U37" i="20"/>
  <c r="U35" i="20" s="1"/>
  <c r="U34" i="20" s="1"/>
  <c r="U38" i="20" s="1"/>
  <c r="P4" i="24"/>
  <c r="T76" i="30"/>
  <c r="V4" i="21"/>
  <c r="T49" i="20"/>
  <c r="V49" i="20" s="1"/>
  <c r="V6" i="24"/>
  <c r="V39" i="20"/>
  <c r="O49" i="20"/>
  <c r="R49" i="20" s="1"/>
  <c r="R39" i="20"/>
  <c r="S4" i="11"/>
  <c r="S61" i="11" s="1"/>
  <c r="N36" i="2"/>
  <c r="N36" i="7"/>
  <c r="O46" i="2"/>
  <c r="Q46" i="2" s="1"/>
  <c r="L46" i="8"/>
  <c r="N46" i="8" s="1"/>
  <c r="Q47" i="8" s="1"/>
  <c r="N46" i="18"/>
  <c r="Q36" i="8"/>
  <c r="L34" i="14"/>
  <c r="L32" i="14" s="1"/>
  <c r="N5" i="3"/>
  <c r="N36" i="18"/>
  <c r="L34" i="18"/>
  <c r="O46" i="18"/>
  <c r="Q46" i="18" s="1"/>
  <c r="Q36" i="18"/>
  <c r="Q47" i="14"/>
  <c r="L46" i="5"/>
  <c r="N46" i="5" s="1"/>
  <c r="N36" i="5"/>
  <c r="Q36" i="7"/>
  <c r="O46" i="7"/>
  <c r="Q46" i="7" s="1"/>
  <c r="Q36" i="5"/>
  <c r="O46" i="5"/>
  <c r="Q46" i="5" s="1"/>
  <c r="N36" i="37"/>
  <c r="L46" i="37"/>
  <c r="N46" i="37" s="1"/>
  <c r="Q36" i="37"/>
  <c r="O46" i="37"/>
  <c r="Q46" i="37" s="1"/>
  <c r="Q86" i="3"/>
  <c r="Q5" i="3" s="1"/>
  <c r="Q37" i="12"/>
  <c r="O36" i="12"/>
  <c r="S5" i="24"/>
  <c r="N37" i="12"/>
  <c r="L36" i="12"/>
  <c r="O5" i="24"/>
  <c r="R47" i="11"/>
  <c r="Y47" i="11" s="1"/>
  <c r="V26" i="10"/>
  <c r="S5" i="10"/>
  <c r="S110" i="10" s="1"/>
  <c r="V94" i="10"/>
  <c r="O93" i="10"/>
  <c r="R93" i="10" s="1"/>
  <c r="R5" i="10"/>
  <c r="O110" i="10"/>
  <c r="R110" i="10" s="1"/>
  <c r="R94" i="10"/>
  <c r="S33" i="20"/>
  <c r="T35" i="20"/>
  <c r="T34" i="20" s="1"/>
  <c r="T38" i="20" s="1"/>
  <c r="O37" i="20"/>
  <c r="R33" i="20"/>
  <c r="S31" i="23"/>
  <c r="R12" i="23"/>
  <c r="Z12" i="23" s="1"/>
  <c r="O7" i="23"/>
  <c r="Q30" i="37"/>
  <c r="N30" i="37"/>
  <c r="L34" i="37"/>
  <c r="Q34" i="2"/>
  <c r="O32" i="2"/>
  <c r="N46" i="2"/>
  <c r="L34" i="2"/>
  <c r="L32" i="5"/>
  <c r="N34" i="5"/>
  <c r="L34" i="7"/>
  <c r="N46" i="7"/>
  <c r="Q34" i="18"/>
  <c r="O32" i="18"/>
  <c r="Q30" i="14"/>
  <c r="L34" i="8"/>
  <c r="O70" i="39"/>
  <c r="L228" i="25"/>
  <c r="O75" i="25" l="1"/>
  <c r="T42" i="30"/>
  <c r="Q61" i="11"/>
  <c r="O6" i="25"/>
  <c r="T24" i="24"/>
  <c r="T35" i="24" s="1"/>
  <c r="R10" i="11"/>
  <c r="O4" i="11"/>
  <c r="V110" i="10"/>
  <c r="V111" i="10" s="1"/>
  <c r="V61" i="11"/>
  <c r="S243" i="25"/>
  <c r="R75" i="25"/>
  <c r="P24" i="24"/>
  <c r="P35" i="24" s="1"/>
  <c r="O21" i="23"/>
  <c r="R21" i="23" s="1"/>
  <c r="R22" i="23"/>
  <c r="Z22" i="23" s="1"/>
  <c r="O16" i="24"/>
  <c r="R16" i="24" s="1"/>
  <c r="R23" i="23"/>
  <c r="Z23" i="23" s="1"/>
  <c r="O17" i="24"/>
  <c r="R17" i="24" s="1"/>
  <c r="V23" i="23"/>
  <c r="S17" i="24"/>
  <c r="V17" i="24" s="1"/>
  <c r="R91" i="39"/>
  <c r="R53" i="25"/>
  <c r="V4" i="11"/>
  <c r="S46" i="11"/>
  <c r="V46" i="11" s="1"/>
  <c r="V50" i="20"/>
  <c r="Q47" i="18"/>
  <c r="Q49" i="18" s="1"/>
  <c r="N34" i="14"/>
  <c r="O32" i="7"/>
  <c r="Q47" i="5"/>
  <c r="L32" i="18"/>
  <c r="N34" i="18"/>
  <c r="N36" i="12"/>
  <c r="L46" i="12"/>
  <c r="V5" i="24"/>
  <c r="S4" i="24"/>
  <c r="Q47" i="37"/>
  <c r="O32" i="5"/>
  <c r="Q34" i="5"/>
  <c r="Q47" i="7"/>
  <c r="R5" i="24"/>
  <c r="O4" i="24"/>
  <c r="Q36" i="12"/>
  <c r="O46" i="12"/>
  <c r="Q47" i="2"/>
  <c r="S93" i="10"/>
  <c r="V93" i="10" s="1"/>
  <c r="V5" i="10"/>
  <c r="V33" i="20"/>
  <c r="R37" i="20"/>
  <c r="O35" i="20"/>
  <c r="R7" i="23"/>
  <c r="O32" i="37"/>
  <c r="Q34" i="37"/>
  <c r="L32" i="37"/>
  <c r="N34" i="37"/>
  <c r="Q32" i="2"/>
  <c r="O31" i="2"/>
  <c r="N34" i="2"/>
  <c r="L32" i="2"/>
  <c r="L31" i="5"/>
  <c r="N32" i="5"/>
  <c r="N34" i="7"/>
  <c r="L32" i="7"/>
  <c r="Q32" i="18"/>
  <c r="O31" i="18"/>
  <c r="O32" i="14"/>
  <c r="Q34" i="14"/>
  <c r="L31" i="14"/>
  <c r="N32" i="14"/>
  <c r="O32" i="8"/>
  <c r="Q34" i="8"/>
  <c r="L32" i="8"/>
  <c r="N34" i="8"/>
  <c r="O94" i="39" l="1"/>
  <c r="O61" i="11"/>
  <c r="R61" i="11" s="1"/>
  <c r="O46" i="11"/>
  <c r="R46" i="11" s="1"/>
  <c r="R4" i="11"/>
  <c r="O30" i="23"/>
  <c r="O44" i="23" s="1"/>
  <c r="O15" i="24"/>
  <c r="R15" i="24" s="1"/>
  <c r="V22" i="23"/>
  <c r="S21" i="23"/>
  <c r="S16" i="24"/>
  <c r="X17" i="30"/>
  <c r="X5" i="30" s="1"/>
  <c r="X4" i="30" s="1"/>
  <c r="R6" i="25"/>
  <c r="Q34" i="7"/>
  <c r="N32" i="18"/>
  <c r="L31" i="18"/>
  <c r="Q46" i="12"/>
  <c r="L34" i="12"/>
  <c r="N46" i="12"/>
  <c r="R4" i="24"/>
  <c r="V4" i="24"/>
  <c r="O31" i="5"/>
  <c r="Q32" i="5"/>
  <c r="V37" i="20"/>
  <c r="S35" i="20"/>
  <c r="O34" i="20"/>
  <c r="R35" i="20"/>
  <c r="O31" i="37"/>
  <c r="Q32" i="37"/>
  <c r="L31" i="37"/>
  <c r="N32" i="37"/>
  <c r="Q31" i="2"/>
  <c r="O35" i="2"/>
  <c r="Q35" i="2" s="1"/>
  <c r="N32" i="2"/>
  <c r="L31" i="2"/>
  <c r="L35" i="5"/>
  <c r="N35" i="5" s="1"/>
  <c r="N31" i="5"/>
  <c r="O31" i="7"/>
  <c r="Q32" i="7"/>
  <c r="L31" i="7"/>
  <c r="N32" i="7"/>
  <c r="O35" i="18"/>
  <c r="Q35" i="18" s="1"/>
  <c r="Q31" i="18"/>
  <c r="O31" i="14"/>
  <c r="Q32" i="14"/>
  <c r="L35" i="14"/>
  <c r="N35" i="14" s="1"/>
  <c r="N31" i="14"/>
  <c r="Q32" i="8"/>
  <c r="O31" i="8"/>
  <c r="L31" i="8"/>
  <c r="N32" i="8"/>
  <c r="Y30" i="11" l="1"/>
  <c r="V62" i="11"/>
  <c r="R30" i="23"/>
  <c r="Z30" i="23" s="1"/>
  <c r="O24" i="24"/>
  <c r="R24" i="24" s="1"/>
  <c r="V16" i="24"/>
  <c r="S15" i="24"/>
  <c r="V21" i="23"/>
  <c r="S30" i="23"/>
  <c r="N31" i="18"/>
  <c r="L35" i="18"/>
  <c r="N35" i="18" s="1"/>
  <c r="L32" i="12"/>
  <c r="N34" i="12"/>
  <c r="O233" i="25" s="1"/>
  <c r="Q31" i="5"/>
  <c r="O35" i="5"/>
  <c r="Q35" i="5" s="1"/>
  <c r="Q47" i="12"/>
  <c r="O32" i="12"/>
  <c r="Q34" i="12"/>
  <c r="R233" i="25" s="1"/>
  <c r="S34" i="20"/>
  <c r="V35" i="20"/>
  <c r="O38" i="20"/>
  <c r="R38" i="20" s="1"/>
  <c r="R34" i="20"/>
  <c r="O35" i="37"/>
  <c r="Q35" i="37" s="1"/>
  <c r="Q31" i="37"/>
  <c r="L35" i="37"/>
  <c r="N35" i="37" s="1"/>
  <c r="N31" i="37"/>
  <c r="N31" i="2"/>
  <c r="L35" i="2"/>
  <c r="N35" i="2" s="1"/>
  <c r="O35" i="7"/>
  <c r="Q35" i="7" s="1"/>
  <c r="Q31" i="7"/>
  <c r="L35" i="7"/>
  <c r="N35" i="7" s="1"/>
  <c r="N31" i="7"/>
  <c r="O35" i="14"/>
  <c r="Q35" i="14" s="1"/>
  <c r="Q31" i="14"/>
  <c r="O35" i="8"/>
  <c r="Q35" i="8" s="1"/>
  <c r="Q31" i="8"/>
  <c r="L35" i="8"/>
  <c r="N35" i="8" s="1"/>
  <c r="N31" i="8"/>
  <c r="O35" i="24" l="1"/>
  <c r="R35" i="24" s="1"/>
  <c r="V30" i="23"/>
  <c r="S44" i="23"/>
  <c r="V15" i="24"/>
  <c r="S24" i="24"/>
  <c r="Q32" i="12"/>
  <c r="O31" i="12"/>
  <c r="L31" i="12"/>
  <c r="N32" i="12"/>
  <c r="U38" i="23"/>
  <c r="R232" i="25"/>
  <c r="O232" i="25"/>
  <c r="O246" i="25" s="1"/>
  <c r="Q38" i="23"/>
  <c r="S38" i="20"/>
  <c r="V38" i="20" s="1"/>
  <c r="V34" i="20"/>
  <c r="L26" i="11"/>
  <c r="L25" i="11"/>
  <c r="L24" i="11"/>
  <c r="L22" i="11"/>
  <c r="K24" i="11"/>
  <c r="K22" i="11"/>
  <c r="K25" i="11"/>
  <c r="K26" i="11"/>
  <c r="L19" i="11"/>
  <c r="K19" i="11"/>
  <c r="N94" i="30"/>
  <c r="N93" i="30"/>
  <c r="K18" i="23"/>
  <c r="K13" i="23"/>
  <c r="K9" i="23"/>
  <c r="K34" i="23"/>
  <c r="H61" i="3"/>
  <c r="K16" i="10"/>
  <c r="L7" i="10"/>
  <c r="K7" i="10"/>
  <c r="N15" i="10"/>
  <c r="W15" i="10" s="1"/>
  <c r="K105" i="10"/>
  <c r="K8" i="10"/>
  <c r="L234" i="25"/>
  <c r="L192" i="25"/>
  <c r="L185" i="25"/>
  <c r="L181" i="25"/>
  <c r="L160" i="25"/>
  <c r="L9" i="23" s="1"/>
  <c r="L159" i="25"/>
  <c r="L157" i="25"/>
  <c r="L11" i="23" s="1"/>
  <c r="L154" i="25"/>
  <c r="L149" i="25"/>
  <c r="L146" i="25"/>
  <c r="L141" i="25"/>
  <c r="L138" i="25"/>
  <c r="L123" i="25"/>
  <c r="L121" i="25" s="1"/>
  <c r="L119" i="25"/>
  <c r="L113" i="25"/>
  <c r="L109" i="25"/>
  <c r="L103" i="25"/>
  <c r="L101" i="25"/>
  <c r="L95" i="25"/>
  <c r="L85" i="25"/>
  <c r="L77" i="25"/>
  <c r="L72" i="25"/>
  <c r="L65" i="25"/>
  <c r="K11" i="23" s="1"/>
  <c r="K65" i="39"/>
  <c r="J65" i="39"/>
  <c r="K55" i="39"/>
  <c r="J55" i="39"/>
  <c r="K52" i="39"/>
  <c r="J52" i="39"/>
  <c r="K45" i="39"/>
  <c r="J45" i="39"/>
  <c r="K38" i="39"/>
  <c r="J38" i="39"/>
  <c r="K30" i="39"/>
  <c r="J30" i="39"/>
  <c r="K28" i="39"/>
  <c r="J28" i="39"/>
  <c r="K27" i="39"/>
  <c r="K26" i="39"/>
  <c r="J25" i="39"/>
  <c r="K25" i="39" s="1"/>
  <c r="K24" i="39"/>
  <c r="J23" i="39"/>
  <c r="K23" i="39" s="1"/>
  <c r="J18" i="39"/>
  <c r="K18" i="39" s="1"/>
  <c r="K16" i="39"/>
  <c r="K13" i="39"/>
  <c r="K12" i="39"/>
  <c r="K9" i="39"/>
  <c r="J9" i="39"/>
  <c r="K6" i="39"/>
  <c r="J6" i="39"/>
  <c r="L52" i="25"/>
  <c r="L51" i="25"/>
  <c r="L44" i="25"/>
  <c r="L40" i="25"/>
  <c r="L32" i="25"/>
  <c r="L31" i="25"/>
  <c r="K11" i="39"/>
  <c r="J11" i="39"/>
  <c r="L14" i="25"/>
  <c r="L12" i="25"/>
  <c r="K29" i="23" s="1"/>
  <c r="L10" i="25"/>
  <c r="L22" i="25"/>
  <c r="S22" i="25" s="1"/>
  <c r="L24" i="25"/>
  <c r="L19" i="25"/>
  <c r="L161" i="25"/>
  <c r="D16" i="29"/>
  <c r="D15" i="29"/>
  <c r="L46" i="25"/>
  <c r="L66" i="39"/>
  <c r="L171" i="25" s="1"/>
  <c r="L23" i="23" s="1"/>
  <c r="K43" i="39"/>
  <c r="J43" i="39"/>
  <c r="K22" i="39"/>
  <c r="J22" i="39"/>
  <c r="K58" i="39"/>
  <c r="J58" i="39"/>
  <c r="K5" i="39"/>
  <c r="K49" i="39" s="1"/>
  <c r="J5" i="39"/>
  <c r="D7" i="29"/>
  <c r="D6" i="29"/>
  <c r="L169" i="25"/>
  <c r="N37" i="21"/>
  <c r="N29" i="21"/>
  <c r="N28" i="21"/>
  <c r="N27" i="21"/>
  <c r="N22" i="21"/>
  <c r="N23" i="21" s="1"/>
  <c r="N11" i="21"/>
  <c r="N9" i="21"/>
  <c r="N8" i="21"/>
  <c r="N7" i="21"/>
  <c r="K13" i="3"/>
  <c r="K11" i="3"/>
  <c r="K10" i="3"/>
  <c r="K9" i="3"/>
  <c r="K18" i="3"/>
  <c r="K30" i="3"/>
  <c r="K28" i="3"/>
  <c r="K27" i="3"/>
  <c r="K26" i="3"/>
  <c r="K34" i="3"/>
  <c r="K44" i="3"/>
  <c r="K46" i="3"/>
  <c r="K50" i="3"/>
  <c r="K43" i="3"/>
  <c r="K42" i="3"/>
  <c r="K61" i="3"/>
  <c r="K62" i="3"/>
  <c r="K75" i="3"/>
  <c r="K68" i="3"/>
  <c r="K67" i="3"/>
  <c r="K66" i="3"/>
  <c r="K60" i="3"/>
  <c r="K59" i="3"/>
  <c r="K106" i="3"/>
  <c r="K105" i="3"/>
  <c r="K104" i="3"/>
  <c r="K99" i="3"/>
  <c r="K91" i="3"/>
  <c r="K90" i="3"/>
  <c r="K89" i="3"/>
  <c r="K113" i="3"/>
  <c r="K124" i="3"/>
  <c r="K119" i="3"/>
  <c r="K118" i="3"/>
  <c r="K117" i="3"/>
  <c r="K112" i="3"/>
  <c r="K111" i="3"/>
  <c r="K145" i="3"/>
  <c r="K141" i="3"/>
  <c r="K139" i="3"/>
  <c r="K138" i="3"/>
  <c r="K137" i="3"/>
  <c r="K197" i="3"/>
  <c r="K196" i="3"/>
  <c r="K195" i="3"/>
  <c r="K191" i="3"/>
  <c r="K189" i="3"/>
  <c r="K188" i="3"/>
  <c r="K184" i="3"/>
  <c r="K181" i="3"/>
  <c r="K180" i="3"/>
  <c r="K179" i="3"/>
  <c r="K176" i="3"/>
  <c r="K175" i="3"/>
  <c r="K174" i="3"/>
  <c r="K171" i="3"/>
  <c r="K167" i="3"/>
  <c r="K164" i="3"/>
  <c r="K160" i="3"/>
  <c r="K159" i="3"/>
  <c r="K158" i="3"/>
  <c r="K155" i="3"/>
  <c r="K154" i="3"/>
  <c r="K153" i="3"/>
  <c r="K190" i="3"/>
  <c r="K193" i="3"/>
  <c r="K192" i="3"/>
  <c r="K202" i="3"/>
  <c r="K201" i="3"/>
  <c r="K200" i="3"/>
  <c r="L15" i="23" l="1"/>
  <c r="N95" i="30"/>
  <c r="X234" i="25"/>
  <c r="R63" i="11"/>
  <c r="O247" i="25"/>
  <c r="K10" i="23"/>
  <c r="L16" i="23"/>
  <c r="N16" i="23" s="1"/>
  <c r="Y16" i="23" s="1"/>
  <c r="J49" i="39"/>
  <c r="K8" i="23"/>
  <c r="L8" i="23"/>
  <c r="L10" i="23"/>
  <c r="M37" i="23"/>
  <c r="S35" i="24"/>
  <c r="V35" i="24" s="1"/>
  <c r="V24" i="24"/>
  <c r="L35" i="12"/>
  <c r="N35" i="12" s="1"/>
  <c r="N31" i="12"/>
  <c r="R38" i="23"/>
  <c r="Q32" i="23"/>
  <c r="R5" i="25"/>
  <c r="R246" i="25"/>
  <c r="R247" i="25" s="1"/>
  <c r="S247" i="25" s="1"/>
  <c r="Q31" i="12"/>
  <c r="O35" i="12"/>
  <c r="Q35" i="12" s="1"/>
  <c r="O5" i="25"/>
  <c r="U32" i="23"/>
  <c r="V38" i="23"/>
  <c r="P95" i="30"/>
  <c r="P94" i="30"/>
  <c r="P93" i="30"/>
  <c r="P88" i="30"/>
  <c r="P87" i="30"/>
  <c r="P83" i="30"/>
  <c r="P82" i="30"/>
  <c r="P79" i="30"/>
  <c r="P74" i="30"/>
  <c r="P70" i="30"/>
  <c r="P66" i="30"/>
  <c r="P65" i="30"/>
  <c r="P62" i="30"/>
  <c r="P58" i="30"/>
  <c r="P54" i="30"/>
  <c r="P50" i="30"/>
  <c r="P49" i="30"/>
  <c r="P46" i="30"/>
  <c r="P37" i="30"/>
  <c r="P34" i="30"/>
  <c r="P33" i="30"/>
  <c r="P27" i="30"/>
  <c r="P24" i="30"/>
  <c r="P20" i="30"/>
  <c r="P8" i="30"/>
  <c r="P7" i="30"/>
  <c r="P85" i="30"/>
  <c r="P81" i="30"/>
  <c r="P86" i="30"/>
  <c r="P77" i="30"/>
  <c r="P78" i="30"/>
  <c r="P75" i="30"/>
  <c r="P73" i="30"/>
  <c r="P72" i="30"/>
  <c r="P71" i="30"/>
  <c r="P69" i="30"/>
  <c r="P68" i="30"/>
  <c r="P67" i="30"/>
  <c r="P64" i="30"/>
  <c r="P63" i="30"/>
  <c r="P61" i="30"/>
  <c r="P60" i="30"/>
  <c r="P59" i="30"/>
  <c r="P57" i="30"/>
  <c r="P56" i="30"/>
  <c r="P55" i="30"/>
  <c r="P53" i="30"/>
  <c r="P52" i="30"/>
  <c r="P51" i="30"/>
  <c r="P48" i="30"/>
  <c r="P47" i="30"/>
  <c r="P45" i="30"/>
  <c r="P44" i="30"/>
  <c r="P21" i="30"/>
  <c r="P19" i="30"/>
  <c r="P16" i="30"/>
  <c r="P15" i="30"/>
  <c r="P14" i="30"/>
  <c r="P11" i="30"/>
  <c r="P10" i="30"/>
  <c r="P9" i="30"/>
  <c r="P6" i="30"/>
  <c r="P91" i="30"/>
  <c r="P89" i="30" s="1"/>
  <c r="P12" i="30"/>
  <c r="P29" i="30"/>
  <c r="P13" i="30"/>
  <c r="P28" i="30"/>
  <c r="P26" i="30"/>
  <c r="P23" i="30"/>
  <c r="P22" i="30"/>
  <c r="P40" i="30"/>
  <c r="P38" i="30"/>
  <c r="P36" i="30"/>
  <c r="P35" i="30"/>
  <c r="P18" i="30"/>
  <c r="P31" i="30"/>
  <c r="N60" i="11"/>
  <c r="N59" i="11"/>
  <c r="M58" i="11"/>
  <c r="L58" i="11"/>
  <c r="K58" i="11"/>
  <c r="N58" i="11" s="1"/>
  <c r="M57" i="11"/>
  <c r="L57" i="11"/>
  <c r="K57" i="11"/>
  <c r="N56" i="11"/>
  <c r="N53" i="11"/>
  <c r="N52" i="11"/>
  <c r="N51" i="11"/>
  <c r="M50" i="11"/>
  <c r="M49" i="11" s="1"/>
  <c r="L50" i="11"/>
  <c r="L49" i="11" s="1"/>
  <c r="K50" i="11"/>
  <c r="K49" i="11" s="1"/>
  <c r="L44" i="11"/>
  <c r="M42" i="11"/>
  <c r="L42" i="11"/>
  <c r="K42" i="11"/>
  <c r="M41" i="11"/>
  <c r="L41" i="11"/>
  <c r="K41" i="11"/>
  <c r="M39" i="11"/>
  <c r="L39" i="11"/>
  <c r="K39" i="11"/>
  <c r="M38" i="11"/>
  <c r="L38" i="11"/>
  <c r="K38" i="11"/>
  <c r="K37" i="11"/>
  <c r="M36" i="11"/>
  <c r="L36" i="11"/>
  <c r="K36" i="11"/>
  <c r="M34" i="11"/>
  <c r="L34" i="11"/>
  <c r="M33" i="11"/>
  <c r="L33" i="11"/>
  <c r="K33" i="11"/>
  <c r="M32" i="11"/>
  <c r="L32" i="11"/>
  <c r="K32" i="11"/>
  <c r="M29" i="11"/>
  <c r="M28" i="11"/>
  <c r="L28" i="11"/>
  <c r="K28" i="11"/>
  <c r="M17" i="11"/>
  <c r="L17" i="11"/>
  <c r="K17" i="11"/>
  <c r="M16" i="11"/>
  <c r="L16" i="11"/>
  <c r="K16" i="11"/>
  <c r="M8" i="11"/>
  <c r="L8" i="11"/>
  <c r="K8" i="11"/>
  <c r="M7" i="11"/>
  <c r="L7" i="11"/>
  <c r="M34" i="24"/>
  <c r="M32" i="24" s="1"/>
  <c r="L34" i="24"/>
  <c r="K34" i="24"/>
  <c r="M33" i="24"/>
  <c r="L33" i="24"/>
  <c r="K33" i="24"/>
  <c r="K32" i="24" s="1"/>
  <c r="M31" i="24"/>
  <c r="L31" i="24"/>
  <c r="K31" i="24"/>
  <c r="L30" i="24"/>
  <c r="K30" i="24"/>
  <c r="L29" i="24"/>
  <c r="K29" i="24"/>
  <c r="M28" i="24"/>
  <c r="L28" i="24"/>
  <c r="K28" i="24"/>
  <c r="M27" i="24"/>
  <c r="L27" i="24"/>
  <c r="N23" i="24"/>
  <c r="N22" i="24"/>
  <c r="N21" i="24"/>
  <c r="N20" i="24"/>
  <c r="N19" i="24"/>
  <c r="N14" i="24"/>
  <c r="N13" i="24"/>
  <c r="N12" i="24"/>
  <c r="N11" i="24"/>
  <c r="N10" i="24"/>
  <c r="N92" i="30"/>
  <c r="K42" i="30"/>
  <c r="K27" i="30"/>
  <c r="N109" i="10"/>
  <c r="N108" i="10"/>
  <c r="M107" i="10"/>
  <c r="L107" i="10"/>
  <c r="K107" i="10"/>
  <c r="N105" i="10"/>
  <c r="W105" i="10" s="1"/>
  <c r="K104" i="10"/>
  <c r="K102" i="10" s="1"/>
  <c r="N103" i="10"/>
  <c r="W103" i="10" s="1"/>
  <c r="M102" i="10"/>
  <c r="L102" i="10"/>
  <c r="N101" i="10"/>
  <c r="N100" i="10"/>
  <c r="N99" i="10"/>
  <c r="N98" i="10"/>
  <c r="N97" i="10"/>
  <c r="M96" i="10"/>
  <c r="M95" i="10" s="1"/>
  <c r="L96" i="10"/>
  <c r="K96" i="10"/>
  <c r="N90" i="10"/>
  <c r="N89" i="10"/>
  <c r="N88" i="10"/>
  <c r="N87" i="10"/>
  <c r="N86" i="10"/>
  <c r="N85" i="10"/>
  <c r="M84" i="10"/>
  <c r="K84" i="10"/>
  <c r="N83" i="10"/>
  <c r="N82" i="10"/>
  <c r="N81" i="10"/>
  <c r="M80" i="10"/>
  <c r="L80" i="10"/>
  <c r="K80" i="10"/>
  <c r="N79" i="10"/>
  <c r="N78" i="10"/>
  <c r="N76" i="10"/>
  <c r="N75" i="10"/>
  <c r="N74" i="10"/>
  <c r="N73" i="10"/>
  <c r="N72" i="10"/>
  <c r="M71" i="10"/>
  <c r="L71" i="10"/>
  <c r="K71" i="10"/>
  <c r="N70" i="10"/>
  <c r="M69" i="10"/>
  <c r="K68" i="10"/>
  <c r="N67" i="10"/>
  <c r="N66" i="10"/>
  <c r="M65" i="10"/>
  <c r="L65" i="10"/>
  <c r="N62" i="10"/>
  <c r="N61" i="10"/>
  <c r="N60" i="10"/>
  <c r="N59" i="10" s="1"/>
  <c r="L59" i="10"/>
  <c r="N58" i="10"/>
  <c r="M57" i="10"/>
  <c r="K57" i="10"/>
  <c r="N56" i="10"/>
  <c r="N55" i="10"/>
  <c r="N54" i="10"/>
  <c r="M53" i="10"/>
  <c r="L53" i="10"/>
  <c r="K53" i="10"/>
  <c r="N52" i="10"/>
  <c r="N51" i="10"/>
  <c r="N50" i="10"/>
  <c r="N49" i="10"/>
  <c r="M48" i="10"/>
  <c r="L48" i="10"/>
  <c r="K48" i="10"/>
  <c r="K47" i="10"/>
  <c r="N47" i="10" s="1"/>
  <c r="N46" i="10"/>
  <c r="M45" i="10"/>
  <c r="L45" i="10"/>
  <c r="K45" i="10"/>
  <c r="N44" i="10"/>
  <c r="L43" i="10"/>
  <c r="N42" i="10"/>
  <c r="N41" i="10"/>
  <c r="N40" i="10"/>
  <c r="N39" i="10"/>
  <c r="M38" i="10"/>
  <c r="L38" i="10"/>
  <c r="K38" i="10"/>
  <c r="N38" i="10" s="1"/>
  <c r="N37" i="10"/>
  <c r="K36" i="10"/>
  <c r="N36" i="10" s="1"/>
  <c r="N35" i="10"/>
  <c r="M34" i="10"/>
  <c r="L34" i="10"/>
  <c r="L26" i="10" s="1"/>
  <c r="K33" i="10"/>
  <c r="K32" i="10"/>
  <c r="N32" i="10" s="1"/>
  <c r="M31" i="10"/>
  <c r="L31" i="10"/>
  <c r="K30" i="10"/>
  <c r="N30" i="10" s="1"/>
  <c r="K29" i="10"/>
  <c r="N29" i="10" s="1"/>
  <c r="M28" i="10"/>
  <c r="L28" i="10"/>
  <c r="N25" i="10"/>
  <c r="N23" i="10"/>
  <c r="N22" i="10"/>
  <c r="N21" i="10"/>
  <c r="N20" i="10"/>
  <c r="M20" i="10"/>
  <c r="N19" i="10"/>
  <c r="M18" i="10"/>
  <c r="L18" i="10"/>
  <c r="K18" i="10"/>
  <c r="N17" i="10"/>
  <c r="K7" i="11"/>
  <c r="N14" i="10"/>
  <c r="W14" i="10" s="1"/>
  <c r="N13" i="10"/>
  <c r="W13" i="10" s="1"/>
  <c r="N12" i="10"/>
  <c r="W12" i="10" s="1"/>
  <c r="N11" i="10"/>
  <c r="W11" i="10" s="1"/>
  <c r="N10" i="10"/>
  <c r="W10" i="10" s="1"/>
  <c r="N9" i="10"/>
  <c r="W9" i="10" s="1"/>
  <c r="M7" i="10"/>
  <c r="L6" i="11"/>
  <c r="N43" i="23"/>
  <c r="N42" i="23"/>
  <c r="M41" i="23"/>
  <c r="L41" i="23"/>
  <c r="K41" i="23"/>
  <c r="N40" i="23"/>
  <c r="M39" i="23"/>
  <c r="N39" i="23" s="1"/>
  <c r="N36" i="23"/>
  <c r="N35" i="23"/>
  <c r="N34" i="23"/>
  <c r="L32" i="23"/>
  <c r="N29" i="23"/>
  <c r="N28" i="23"/>
  <c r="N27" i="23"/>
  <c r="N26" i="23"/>
  <c r="N25" i="23"/>
  <c r="M24" i="23"/>
  <c r="L24" i="23"/>
  <c r="M21" i="23"/>
  <c r="M20" i="23"/>
  <c r="L20" i="23"/>
  <c r="L17" i="23" s="1"/>
  <c r="M19" i="23"/>
  <c r="N18" i="23"/>
  <c r="K15" i="23"/>
  <c r="N14" i="23"/>
  <c r="N6" i="23"/>
  <c r="N5" i="23"/>
  <c r="L223" i="25"/>
  <c r="N85" i="30" s="1"/>
  <c r="L220" i="25"/>
  <c r="L216" i="25"/>
  <c r="L212" i="25"/>
  <c r="L210" i="25"/>
  <c r="L206" i="25"/>
  <c r="L202" i="25"/>
  <c r="L198" i="25"/>
  <c r="N86" i="30" s="1"/>
  <c r="L194" i="25"/>
  <c r="N87" i="30" s="1"/>
  <c r="L190" i="25"/>
  <c r="N82" i="30" s="1"/>
  <c r="L186" i="25"/>
  <c r="N77" i="30" s="1"/>
  <c r="L184" i="25"/>
  <c r="N83" i="30" s="1"/>
  <c r="L180" i="25"/>
  <c r="N79" i="30" s="1"/>
  <c r="L173" i="25"/>
  <c r="N78" i="30" s="1"/>
  <c r="L239" i="25"/>
  <c r="L158" i="25"/>
  <c r="N74" i="30" s="1"/>
  <c r="L155" i="25"/>
  <c r="N73" i="30" s="1"/>
  <c r="L153" i="25"/>
  <c r="N72" i="30" s="1"/>
  <c r="L151" i="25"/>
  <c r="N71" i="30" s="1"/>
  <c r="L148" i="25"/>
  <c r="N70" i="30" s="1"/>
  <c r="L145" i="25"/>
  <c r="N69" i="30" s="1"/>
  <c r="L143" i="25"/>
  <c r="N68" i="30" s="1"/>
  <c r="L140" i="25"/>
  <c r="N67" i="30" s="1"/>
  <c r="L137" i="25"/>
  <c r="N66" i="30" s="1"/>
  <c r="L134" i="25"/>
  <c r="N65" i="30" s="1"/>
  <c r="L132" i="25"/>
  <c r="N64" i="30" s="1"/>
  <c r="L130" i="25"/>
  <c r="N63" i="30" s="1"/>
  <c r="L128" i="25"/>
  <c r="N62" i="30" s="1"/>
  <c r="L126" i="25"/>
  <c r="N61" i="30" s="1"/>
  <c r="L124" i="25"/>
  <c r="N60" i="30" s="1"/>
  <c r="L117" i="25"/>
  <c r="N58" i="30" s="1"/>
  <c r="L115" i="25"/>
  <c r="N57" i="30" s="1"/>
  <c r="L110" i="25"/>
  <c r="N56" i="30" s="1"/>
  <c r="L106" i="25"/>
  <c r="N55" i="30" s="1"/>
  <c r="L104" i="25"/>
  <c r="N54" i="30" s="1"/>
  <c r="L102" i="25"/>
  <c r="N53" i="30" s="1"/>
  <c r="L100" i="25"/>
  <c r="N52" i="30" s="1"/>
  <c r="L98" i="25"/>
  <c r="N51" i="30" s="1"/>
  <c r="L96" i="25"/>
  <c r="N50" i="30" s="1"/>
  <c r="L94" i="25"/>
  <c r="N49" i="30" s="1"/>
  <c r="L92" i="25"/>
  <c r="N48" i="30" s="1"/>
  <c r="L90" i="25"/>
  <c r="N47" i="30" s="1"/>
  <c r="L86" i="25"/>
  <c r="N46" i="30" s="1"/>
  <c r="L82" i="25"/>
  <c r="N45" i="30" s="1"/>
  <c r="L79" i="25"/>
  <c r="N44" i="30" s="1"/>
  <c r="L76" i="25"/>
  <c r="N43" i="30" s="1"/>
  <c r="L67" i="25"/>
  <c r="N21" i="30" s="1"/>
  <c r="L241" i="25"/>
  <c r="L59" i="25"/>
  <c r="L34" i="25"/>
  <c r="N14" i="30" s="1"/>
  <c r="L30" i="25"/>
  <c r="L28" i="25"/>
  <c r="N11" i="30" s="1"/>
  <c r="L26" i="25"/>
  <c r="N10" i="30" s="1"/>
  <c r="L21" i="25"/>
  <c r="N9" i="30" s="1"/>
  <c r="L16" i="25"/>
  <c r="N8" i="30" s="1"/>
  <c r="L13" i="25"/>
  <c r="N7" i="30" s="1"/>
  <c r="L245" i="25"/>
  <c r="D26" i="29"/>
  <c r="K20" i="23" s="1"/>
  <c r="D12" i="29"/>
  <c r="D4" i="29"/>
  <c r="M48" i="20"/>
  <c r="L48" i="20"/>
  <c r="K48" i="20"/>
  <c r="M47" i="20"/>
  <c r="M17" i="24" s="1"/>
  <c r="L47" i="20"/>
  <c r="K47" i="20"/>
  <c r="M46" i="20"/>
  <c r="M16" i="24" s="1"/>
  <c r="L46" i="20"/>
  <c r="K46" i="20"/>
  <c r="M44" i="20"/>
  <c r="L44" i="20"/>
  <c r="K44" i="20"/>
  <c r="M43" i="20"/>
  <c r="M8" i="24" s="1"/>
  <c r="L43" i="20"/>
  <c r="K43" i="20"/>
  <c r="K8" i="24" s="1"/>
  <c r="M42" i="20"/>
  <c r="M7" i="24" s="1"/>
  <c r="L42" i="20"/>
  <c r="K42" i="20"/>
  <c r="M41" i="20"/>
  <c r="M6" i="24" s="1"/>
  <c r="L41" i="20"/>
  <c r="K41" i="20"/>
  <c r="M40" i="20"/>
  <c r="M5" i="24" s="1"/>
  <c r="L40" i="20"/>
  <c r="K40" i="20"/>
  <c r="N36" i="20"/>
  <c r="N32" i="20"/>
  <c r="M31" i="20"/>
  <c r="N31" i="20" s="1"/>
  <c r="L31" i="20"/>
  <c r="K31" i="20"/>
  <c r="N30" i="20"/>
  <c r="N29" i="20"/>
  <c r="M28" i="20"/>
  <c r="L28" i="20"/>
  <c r="K28" i="20"/>
  <c r="N27" i="20"/>
  <c r="M26" i="20"/>
  <c r="L26" i="20"/>
  <c r="K26" i="20"/>
  <c r="M25" i="20"/>
  <c r="N24" i="20"/>
  <c r="M23" i="20"/>
  <c r="L23" i="20"/>
  <c r="K23" i="20"/>
  <c r="M22" i="20"/>
  <c r="L22" i="20"/>
  <c r="M21" i="20"/>
  <c r="M25" i="11" s="1"/>
  <c r="L21" i="20"/>
  <c r="K21" i="20"/>
  <c r="M20" i="20"/>
  <c r="M24" i="11" s="1"/>
  <c r="L20" i="20"/>
  <c r="L14" i="20" s="1"/>
  <c r="K20" i="20"/>
  <c r="N19" i="20"/>
  <c r="M18" i="20"/>
  <c r="M22" i="11" s="1"/>
  <c r="L18" i="20"/>
  <c r="K18" i="20"/>
  <c r="M17" i="20"/>
  <c r="N17" i="20" s="1"/>
  <c r="L17" i="20"/>
  <c r="K17" i="20"/>
  <c r="N16" i="20"/>
  <c r="M15" i="20"/>
  <c r="M19" i="11" s="1"/>
  <c r="L15" i="20"/>
  <c r="K15" i="20"/>
  <c r="K14" i="20" s="1"/>
  <c r="N13" i="20"/>
  <c r="N12" i="20"/>
  <c r="M11" i="20"/>
  <c r="L11" i="20"/>
  <c r="K11" i="20"/>
  <c r="N10" i="20"/>
  <c r="M9" i="20"/>
  <c r="L9" i="20"/>
  <c r="K9" i="20"/>
  <c r="N7" i="20"/>
  <c r="N6" i="20"/>
  <c r="N34" i="21"/>
  <c r="N91" i="30" s="1"/>
  <c r="N89" i="30" s="1"/>
  <c r="N32" i="21"/>
  <c r="N26" i="21"/>
  <c r="N21" i="21"/>
  <c r="N12" i="21"/>
  <c r="N12" i="30" s="1"/>
  <c r="N6" i="21"/>
  <c r="K6" i="21"/>
  <c r="K45" i="2"/>
  <c r="I44" i="2"/>
  <c r="K44" i="2" s="1"/>
  <c r="J43" i="2"/>
  <c r="J42" i="2" s="1"/>
  <c r="I43" i="2"/>
  <c r="J41" i="2"/>
  <c r="I41" i="2"/>
  <c r="K40" i="2"/>
  <c r="J39" i="2"/>
  <c r="I39" i="2"/>
  <c r="J38" i="2"/>
  <c r="I38" i="2"/>
  <c r="J37" i="2"/>
  <c r="I37" i="2"/>
  <c r="K33" i="2"/>
  <c r="K29" i="2"/>
  <c r="J28" i="2"/>
  <c r="I28" i="2"/>
  <c r="K28" i="2" s="1"/>
  <c r="K27" i="2"/>
  <c r="K26" i="2"/>
  <c r="J25" i="2"/>
  <c r="I25" i="2"/>
  <c r="K24" i="2"/>
  <c r="J23" i="2"/>
  <c r="J22" i="2" s="1"/>
  <c r="I23" i="2"/>
  <c r="K21" i="2"/>
  <c r="J20" i="2"/>
  <c r="I20" i="2"/>
  <c r="K20" i="2" s="1"/>
  <c r="K19" i="2"/>
  <c r="K18" i="2"/>
  <c r="K17" i="2"/>
  <c r="K16" i="2"/>
  <c r="K15" i="2"/>
  <c r="K14" i="2"/>
  <c r="K13" i="2"/>
  <c r="K12" i="2"/>
  <c r="J11" i="2"/>
  <c r="I11" i="2"/>
  <c r="K11" i="2" s="1"/>
  <c r="K10" i="2"/>
  <c r="J9" i="2"/>
  <c r="I9" i="2"/>
  <c r="K7" i="2"/>
  <c r="K6" i="2"/>
  <c r="K45" i="5"/>
  <c r="K44" i="5"/>
  <c r="J43" i="5"/>
  <c r="J42" i="5" s="1"/>
  <c r="I43" i="5"/>
  <c r="I42" i="5" s="1"/>
  <c r="J41" i="5"/>
  <c r="I41" i="5"/>
  <c r="K40" i="5"/>
  <c r="J39" i="5"/>
  <c r="I39" i="5"/>
  <c r="J38" i="5"/>
  <c r="I38" i="5"/>
  <c r="J37" i="5"/>
  <c r="I37" i="5"/>
  <c r="K33" i="5"/>
  <c r="K29" i="5"/>
  <c r="J28" i="5"/>
  <c r="I28" i="5"/>
  <c r="K28" i="5" s="1"/>
  <c r="K27" i="5"/>
  <c r="K26" i="5"/>
  <c r="J25" i="5"/>
  <c r="I25" i="5"/>
  <c r="K25" i="5" s="1"/>
  <c r="K24" i="5"/>
  <c r="J23" i="5"/>
  <c r="I23" i="5"/>
  <c r="K23" i="5" s="1"/>
  <c r="K21" i="5"/>
  <c r="J20" i="5"/>
  <c r="I20" i="5"/>
  <c r="K20" i="5" s="1"/>
  <c r="K19" i="5"/>
  <c r="K18" i="5"/>
  <c r="K17" i="5"/>
  <c r="K16" i="5"/>
  <c r="K15" i="5"/>
  <c r="K14" i="5"/>
  <c r="K13" i="5"/>
  <c r="K12" i="5"/>
  <c r="K11" i="5"/>
  <c r="J11" i="5"/>
  <c r="I11" i="5"/>
  <c r="K10" i="5"/>
  <c r="K9" i="5"/>
  <c r="J9" i="5"/>
  <c r="I9" i="5"/>
  <c r="J8" i="5"/>
  <c r="K7" i="5"/>
  <c r="K6" i="5"/>
  <c r="K45" i="7"/>
  <c r="K44" i="7"/>
  <c r="J43" i="7"/>
  <c r="J42" i="7" s="1"/>
  <c r="I43" i="7"/>
  <c r="J41" i="7"/>
  <c r="I41" i="7"/>
  <c r="K40" i="7"/>
  <c r="J39" i="7"/>
  <c r="I39" i="7"/>
  <c r="J38" i="7"/>
  <c r="I38" i="7"/>
  <c r="J37" i="7"/>
  <c r="I37" i="7"/>
  <c r="K33" i="7"/>
  <c r="K29" i="7"/>
  <c r="J28" i="7"/>
  <c r="I28" i="7"/>
  <c r="K28" i="7" s="1"/>
  <c r="K27" i="7"/>
  <c r="K26" i="7"/>
  <c r="J25" i="7"/>
  <c r="I25" i="7"/>
  <c r="K25" i="7" s="1"/>
  <c r="K24" i="7"/>
  <c r="J23" i="7"/>
  <c r="J22" i="7" s="1"/>
  <c r="I23" i="7"/>
  <c r="I22" i="7"/>
  <c r="K21" i="7"/>
  <c r="J20" i="7"/>
  <c r="I20" i="7"/>
  <c r="K19" i="7"/>
  <c r="K18" i="7"/>
  <c r="K17" i="7"/>
  <c r="K16" i="7"/>
  <c r="K15" i="7"/>
  <c r="K14" i="7"/>
  <c r="K13" i="7"/>
  <c r="K12" i="7"/>
  <c r="J11" i="7"/>
  <c r="I11" i="7"/>
  <c r="K11" i="7" s="1"/>
  <c r="K10" i="7"/>
  <c r="J9" i="7"/>
  <c r="I9" i="7"/>
  <c r="K9" i="7" s="1"/>
  <c r="K7" i="7"/>
  <c r="K45" i="18"/>
  <c r="I44" i="18"/>
  <c r="J43" i="18"/>
  <c r="J42" i="18" s="1"/>
  <c r="I43" i="18"/>
  <c r="I41" i="18"/>
  <c r="K41" i="18" s="1"/>
  <c r="K40" i="18"/>
  <c r="J39" i="18"/>
  <c r="I39" i="18"/>
  <c r="J38" i="18"/>
  <c r="I38" i="18"/>
  <c r="J37" i="18"/>
  <c r="I37" i="18"/>
  <c r="K33" i="18"/>
  <c r="K29" i="18"/>
  <c r="J28" i="18"/>
  <c r="K28" i="18" s="1"/>
  <c r="I28" i="18"/>
  <c r="K27" i="18"/>
  <c r="K26" i="18"/>
  <c r="J25" i="18"/>
  <c r="I25" i="18"/>
  <c r="K24" i="18"/>
  <c r="J23" i="18"/>
  <c r="I23" i="18"/>
  <c r="I22" i="18" s="1"/>
  <c r="K21" i="18"/>
  <c r="J20" i="18"/>
  <c r="I20" i="18"/>
  <c r="K19" i="18"/>
  <c r="K18" i="18"/>
  <c r="K17" i="18"/>
  <c r="K16" i="18"/>
  <c r="K15" i="18"/>
  <c r="K14" i="18"/>
  <c r="K13" i="18"/>
  <c r="K12" i="18"/>
  <c r="J11" i="18"/>
  <c r="I11" i="18"/>
  <c r="K11" i="18" s="1"/>
  <c r="K10" i="18"/>
  <c r="J9" i="18"/>
  <c r="I9" i="18"/>
  <c r="K7" i="18"/>
  <c r="I6" i="18"/>
  <c r="K6" i="18" s="1"/>
  <c r="K45" i="14"/>
  <c r="I44" i="14"/>
  <c r="K44" i="14" s="1"/>
  <c r="J43" i="14"/>
  <c r="J42" i="14" s="1"/>
  <c r="I43" i="14"/>
  <c r="I41" i="14"/>
  <c r="K41" i="14" s="1"/>
  <c r="K40" i="14"/>
  <c r="J39" i="14"/>
  <c r="I39" i="14"/>
  <c r="J38" i="14"/>
  <c r="I38" i="14"/>
  <c r="J37" i="14"/>
  <c r="I37" i="14"/>
  <c r="K33" i="14"/>
  <c r="K29" i="14"/>
  <c r="J28" i="14"/>
  <c r="I28" i="14"/>
  <c r="K27" i="14"/>
  <c r="K26" i="14"/>
  <c r="J25" i="14"/>
  <c r="I25" i="14"/>
  <c r="K24" i="14"/>
  <c r="J23" i="14"/>
  <c r="J22" i="14" s="1"/>
  <c r="I23" i="14"/>
  <c r="I22" i="14" s="1"/>
  <c r="K21" i="14"/>
  <c r="J20" i="14"/>
  <c r="J8" i="14" s="1"/>
  <c r="I20" i="14"/>
  <c r="K19" i="14"/>
  <c r="K18" i="14"/>
  <c r="K17" i="14"/>
  <c r="K16" i="14"/>
  <c r="K15" i="14"/>
  <c r="K14" i="14"/>
  <c r="K13" i="14"/>
  <c r="K12" i="14"/>
  <c r="J11" i="14"/>
  <c r="I11" i="14"/>
  <c r="K11" i="14" s="1"/>
  <c r="K10" i="14"/>
  <c r="J9" i="14"/>
  <c r="I9" i="14"/>
  <c r="K9" i="14" s="1"/>
  <c r="K7" i="14"/>
  <c r="K6" i="14"/>
  <c r="K45" i="8"/>
  <c r="K44" i="8"/>
  <c r="J43" i="8"/>
  <c r="J42" i="8" s="1"/>
  <c r="I43" i="8"/>
  <c r="I41" i="8"/>
  <c r="K41" i="8" s="1"/>
  <c r="K40" i="8"/>
  <c r="J39" i="8"/>
  <c r="I39" i="8"/>
  <c r="J38" i="8"/>
  <c r="I38" i="8"/>
  <c r="J37" i="8"/>
  <c r="I37" i="8"/>
  <c r="K33" i="8"/>
  <c r="K29" i="8"/>
  <c r="J28" i="8"/>
  <c r="I28" i="8"/>
  <c r="K28" i="8" s="1"/>
  <c r="K27" i="8"/>
  <c r="K26" i="8"/>
  <c r="J25" i="8"/>
  <c r="I25" i="8"/>
  <c r="K25" i="8" s="1"/>
  <c r="K24" i="8"/>
  <c r="J23" i="8"/>
  <c r="I23" i="8"/>
  <c r="K23" i="8" s="1"/>
  <c r="J22" i="8"/>
  <c r="J30" i="8" s="1"/>
  <c r="K21" i="8"/>
  <c r="J20" i="8"/>
  <c r="I20" i="8"/>
  <c r="K20" i="8" s="1"/>
  <c r="K19" i="8"/>
  <c r="K18" i="8"/>
  <c r="K17" i="8"/>
  <c r="I16" i="8"/>
  <c r="K16" i="8" s="1"/>
  <c r="K15" i="8"/>
  <c r="I15" i="8"/>
  <c r="K14" i="8"/>
  <c r="K13" i="8"/>
  <c r="K12" i="8"/>
  <c r="J11" i="8"/>
  <c r="K10" i="8"/>
  <c r="J9" i="8"/>
  <c r="I9" i="8"/>
  <c r="J8" i="8"/>
  <c r="K7" i="8"/>
  <c r="I45" i="37"/>
  <c r="K45" i="37" s="1"/>
  <c r="K44" i="37"/>
  <c r="J43" i="37"/>
  <c r="J42" i="37" s="1"/>
  <c r="I43" i="37"/>
  <c r="I41" i="37"/>
  <c r="K41" i="37" s="1"/>
  <c r="K40" i="37"/>
  <c r="J39" i="37"/>
  <c r="I39" i="37"/>
  <c r="J38" i="37"/>
  <c r="I38" i="37"/>
  <c r="J37" i="37"/>
  <c r="I37" i="37"/>
  <c r="K33" i="37"/>
  <c r="K29" i="37"/>
  <c r="J28" i="37"/>
  <c r="I28" i="37"/>
  <c r="K27" i="37"/>
  <c r="K26" i="37"/>
  <c r="J25" i="37"/>
  <c r="I25" i="37"/>
  <c r="K24" i="37"/>
  <c r="J23" i="37"/>
  <c r="J22" i="37" s="1"/>
  <c r="I23" i="37"/>
  <c r="I22" i="37" s="1"/>
  <c r="K22" i="37" s="1"/>
  <c r="K21" i="37"/>
  <c r="J20" i="37"/>
  <c r="I20" i="37"/>
  <c r="K19" i="37"/>
  <c r="K18" i="37"/>
  <c r="K17" i="37"/>
  <c r="K16" i="37"/>
  <c r="K15" i="37"/>
  <c r="K14" i="37"/>
  <c r="K13" i="37"/>
  <c r="K12" i="37"/>
  <c r="J11" i="37"/>
  <c r="I11" i="37"/>
  <c r="K10" i="37"/>
  <c r="J9" i="37"/>
  <c r="K9" i="37" s="1"/>
  <c r="I9" i="37"/>
  <c r="K7" i="37"/>
  <c r="K6" i="37"/>
  <c r="K45" i="12"/>
  <c r="J42" i="12"/>
  <c r="K40" i="12"/>
  <c r="J36" i="12"/>
  <c r="K33" i="12"/>
  <c r="K29" i="12"/>
  <c r="J28" i="12"/>
  <c r="I28" i="12"/>
  <c r="K28" i="12" s="1"/>
  <c r="K27" i="12"/>
  <c r="K26" i="12"/>
  <c r="J25" i="12"/>
  <c r="I25" i="12"/>
  <c r="K25" i="12" s="1"/>
  <c r="K24" i="12"/>
  <c r="J23" i="12"/>
  <c r="I23" i="12"/>
  <c r="K23" i="12" s="1"/>
  <c r="I22" i="12"/>
  <c r="K21" i="12"/>
  <c r="J20" i="12"/>
  <c r="I20" i="12"/>
  <c r="K20" i="12" s="1"/>
  <c r="K19" i="12"/>
  <c r="K18" i="12"/>
  <c r="K17" i="12"/>
  <c r="K16" i="12"/>
  <c r="K15" i="12"/>
  <c r="K14" i="12"/>
  <c r="K13" i="12"/>
  <c r="K12" i="12"/>
  <c r="J11" i="12"/>
  <c r="I11" i="12"/>
  <c r="K10" i="12"/>
  <c r="J9" i="12"/>
  <c r="J8" i="12" s="1"/>
  <c r="I9" i="12"/>
  <c r="K9" i="12" s="1"/>
  <c r="K7" i="12"/>
  <c r="K219" i="3"/>
  <c r="K199" i="3"/>
  <c r="N29" i="30" s="1"/>
  <c r="K194" i="3"/>
  <c r="K218" i="3"/>
  <c r="I43" i="12" s="1"/>
  <c r="K43" i="12" s="1"/>
  <c r="L81" i="39" s="1"/>
  <c r="K217" i="3"/>
  <c r="I41" i="12" s="1"/>
  <c r="K41" i="12" s="1"/>
  <c r="K187" i="3"/>
  <c r="K183" i="3"/>
  <c r="K178" i="3"/>
  <c r="N28" i="30" s="1"/>
  <c r="K173" i="3"/>
  <c r="N27" i="30" s="1"/>
  <c r="K170" i="3"/>
  <c r="N26" i="30" s="1"/>
  <c r="K166" i="3"/>
  <c r="K163" i="3"/>
  <c r="N24" i="30" s="1"/>
  <c r="K157" i="3"/>
  <c r="N23" i="30" s="1"/>
  <c r="K216" i="3"/>
  <c r="I39" i="12" s="1"/>
  <c r="K39" i="12" s="1"/>
  <c r="K215" i="3"/>
  <c r="I38" i="12" s="1"/>
  <c r="K38" i="12" s="1"/>
  <c r="K152" i="3"/>
  <c r="N22" i="30" s="1"/>
  <c r="I151" i="3"/>
  <c r="I150" i="3" s="1"/>
  <c r="I6" i="12" s="1"/>
  <c r="K6" i="12" s="1"/>
  <c r="K142" i="3"/>
  <c r="N40" i="30" s="1"/>
  <c r="K136" i="3"/>
  <c r="N39" i="30" s="1"/>
  <c r="K129" i="3"/>
  <c r="K128" i="3" s="1"/>
  <c r="K121" i="3"/>
  <c r="N38" i="30" s="1"/>
  <c r="K116" i="3"/>
  <c r="N37" i="30" s="1"/>
  <c r="K110" i="3"/>
  <c r="N36" i="30" s="1"/>
  <c r="I110" i="3"/>
  <c r="I109" i="3" s="1"/>
  <c r="I108" i="3" s="1"/>
  <c r="I6" i="8" s="1"/>
  <c r="K6" i="8" s="1"/>
  <c r="K103" i="3"/>
  <c r="I102" i="3"/>
  <c r="K95" i="3"/>
  <c r="N35" i="30" s="1"/>
  <c r="K88" i="3"/>
  <c r="N34" i="30" s="1"/>
  <c r="I87" i="3"/>
  <c r="K81" i="3"/>
  <c r="K80" i="3" s="1"/>
  <c r="K72" i="3"/>
  <c r="K65" i="3"/>
  <c r="N33" i="30" s="1"/>
  <c r="K58" i="3"/>
  <c r="N32" i="30" s="1"/>
  <c r="K47" i="3"/>
  <c r="K41" i="3"/>
  <c r="I40" i="3"/>
  <c r="I39" i="3" s="1"/>
  <c r="I6" i="7" s="1"/>
  <c r="K6" i="7" s="1"/>
  <c r="K31" i="3"/>
  <c r="K25" i="3"/>
  <c r="K15" i="3"/>
  <c r="K8" i="3"/>
  <c r="L65" i="39"/>
  <c r="L64" i="39"/>
  <c r="L62" i="39"/>
  <c r="L61" i="39"/>
  <c r="L60" i="39"/>
  <c r="L59" i="39"/>
  <c r="L58" i="39"/>
  <c r="L57" i="39"/>
  <c r="L56" i="39"/>
  <c r="L55" i="39"/>
  <c r="L54" i="39"/>
  <c r="L53" i="39"/>
  <c r="L52" i="39"/>
  <c r="L74" i="25" s="1"/>
  <c r="L71" i="25" s="1"/>
  <c r="K68" i="39"/>
  <c r="J68" i="39"/>
  <c r="L45" i="39"/>
  <c r="L44" i="39"/>
  <c r="L43" i="39"/>
  <c r="L42" i="39"/>
  <c r="L230" i="25" s="1"/>
  <c r="L225" i="25" s="1"/>
  <c r="N88" i="30" s="1"/>
  <c r="L41" i="39"/>
  <c r="L40" i="39"/>
  <c r="L39" i="39"/>
  <c r="L38" i="39"/>
  <c r="L37" i="39"/>
  <c r="L36" i="39"/>
  <c r="L35" i="39"/>
  <c r="L34" i="39"/>
  <c r="L33" i="39"/>
  <c r="L32" i="39"/>
  <c r="L31" i="39"/>
  <c r="L30" i="39"/>
  <c r="L29" i="39"/>
  <c r="L28" i="39"/>
  <c r="L27" i="39"/>
  <c r="L26" i="39"/>
  <c r="L25" i="39"/>
  <c r="L24" i="39"/>
  <c r="L23" i="39"/>
  <c r="L22" i="39"/>
  <c r="L21" i="39"/>
  <c r="L42" i="25" s="1"/>
  <c r="L37" i="25" s="1"/>
  <c r="N15" i="30" s="1"/>
  <c r="L20" i="39"/>
  <c r="L19" i="39"/>
  <c r="L17" i="39"/>
  <c r="L16" i="39"/>
  <c r="L15" i="39"/>
  <c r="L14" i="39"/>
  <c r="L13" i="39"/>
  <c r="L12" i="39"/>
  <c r="L11" i="39"/>
  <c r="L11" i="25" s="1"/>
  <c r="L10" i="39"/>
  <c r="L9" i="39"/>
  <c r="L8" i="39"/>
  <c r="L7" i="39"/>
  <c r="N37" i="23" l="1"/>
  <c r="Y37" i="23" s="1"/>
  <c r="N16" i="11"/>
  <c r="L32" i="24"/>
  <c r="L77" i="10"/>
  <c r="K55" i="11"/>
  <c r="L15" i="11"/>
  <c r="L48" i="11"/>
  <c r="L47" i="11" s="1"/>
  <c r="L14" i="11"/>
  <c r="N7" i="11"/>
  <c r="W7" i="11" s="1"/>
  <c r="M14" i="11"/>
  <c r="M27" i="11"/>
  <c r="M6" i="11"/>
  <c r="L12" i="11"/>
  <c r="L10" i="11" s="1"/>
  <c r="K20" i="11"/>
  <c r="K23" i="11"/>
  <c r="M77" i="10"/>
  <c r="K44" i="11"/>
  <c r="L95" i="10"/>
  <c r="N32" i="11"/>
  <c r="K43" i="11"/>
  <c r="M13" i="11"/>
  <c r="L21" i="11"/>
  <c r="M23" i="11"/>
  <c r="M37" i="11"/>
  <c r="M12" i="11"/>
  <c r="L13" i="11"/>
  <c r="K31" i="10"/>
  <c r="L20" i="11"/>
  <c r="K21" i="11"/>
  <c r="L23" i="11"/>
  <c r="K65" i="10"/>
  <c r="N65" i="10" s="1"/>
  <c r="L69" i="10"/>
  <c r="M44" i="11"/>
  <c r="N44" i="11" s="1"/>
  <c r="M55" i="11"/>
  <c r="M48" i="11" s="1"/>
  <c r="M47" i="11" s="1"/>
  <c r="S246" i="25"/>
  <c r="O248" i="25"/>
  <c r="O249" i="25" s="1"/>
  <c r="R46" i="23"/>
  <c r="R248" i="25"/>
  <c r="V46" i="23"/>
  <c r="N18" i="30"/>
  <c r="V63" i="11"/>
  <c r="V36" i="24"/>
  <c r="V38" i="24" s="1"/>
  <c r="N81" i="30"/>
  <c r="N13" i="30"/>
  <c r="N5" i="21"/>
  <c r="L39" i="20"/>
  <c r="N46" i="20"/>
  <c r="L73" i="39" s="1"/>
  <c r="L45" i="20"/>
  <c r="L49" i="20" s="1"/>
  <c r="P92" i="30"/>
  <c r="J46" i="12"/>
  <c r="L6" i="24"/>
  <c r="N25" i="30"/>
  <c r="K38" i="14"/>
  <c r="K39" i="7"/>
  <c r="K39" i="37"/>
  <c r="K41" i="7"/>
  <c r="K38" i="5"/>
  <c r="I44" i="12"/>
  <c r="K44" i="12" s="1"/>
  <c r="L85" i="39"/>
  <c r="L87" i="39" s="1"/>
  <c r="L5" i="24"/>
  <c r="L7" i="24"/>
  <c r="J36" i="8"/>
  <c r="J46" i="8" s="1"/>
  <c r="J36" i="2"/>
  <c r="J46" i="2" s="1"/>
  <c r="J34" i="2" s="1"/>
  <c r="J32" i="2" s="1"/>
  <c r="J31" i="2" s="1"/>
  <c r="J35" i="2" s="1"/>
  <c r="R32" i="23"/>
  <c r="Q31" i="23"/>
  <c r="I86" i="3"/>
  <c r="I5" i="3" s="1"/>
  <c r="K102" i="3"/>
  <c r="N80" i="30"/>
  <c r="N30" i="30"/>
  <c r="N31" i="30"/>
  <c r="K6" i="24"/>
  <c r="K39" i="8"/>
  <c r="K37" i="5"/>
  <c r="K38" i="2"/>
  <c r="K43" i="2"/>
  <c r="L74" i="39" s="1"/>
  <c r="U31" i="23"/>
  <c r="V32" i="23"/>
  <c r="K38" i="7"/>
  <c r="N28" i="20"/>
  <c r="K11" i="37"/>
  <c r="K25" i="37"/>
  <c r="K28" i="37"/>
  <c r="K37" i="37"/>
  <c r="K7" i="24"/>
  <c r="K25" i="18"/>
  <c r="K20" i="18"/>
  <c r="L7" i="25"/>
  <c r="N6" i="30" s="1"/>
  <c r="D34" i="29"/>
  <c r="K19" i="23"/>
  <c r="K17" i="23" s="1"/>
  <c r="J30" i="14"/>
  <c r="K23" i="2"/>
  <c r="I22" i="2"/>
  <c r="K22" i="2" s="1"/>
  <c r="L6" i="10"/>
  <c r="L9" i="11"/>
  <c r="J8" i="7"/>
  <c r="J30" i="7" s="1"/>
  <c r="J8" i="2"/>
  <c r="J30" i="2" s="1"/>
  <c r="L31" i="23"/>
  <c r="L5" i="11"/>
  <c r="N16" i="10"/>
  <c r="W16" i="10" s="1"/>
  <c r="M6" i="10"/>
  <c r="M9" i="11"/>
  <c r="M5" i="11" s="1"/>
  <c r="N31" i="10"/>
  <c r="K13" i="11"/>
  <c r="N13" i="11" s="1"/>
  <c r="N45" i="10"/>
  <c r="J22" i="12"/>
  <c r="J30" i="12" s="1"/>
  <c r="J8" i="37"/>
  <c r="J30" i="37" s="1"/>
  <c r="K20" i="37"/>
  <c r="K23" i="37"/>
  <c r="K43" i="37"/>
  <c r="L80" i="39" s="1"/>
  <c r="K9" i="8"/>
  <c r="K25" i="14"/>
  <c r="K28" i="14"/>
  <c r="J8" i="18"/>
  <c r="J22" i="18"/>
  <c r="K39" i="18"/>
  <c r="R39" i="18" s="1"/>
  <c r="K43" i="18"/>
  <c r="R43" i="18" s="1"/>
  <c r="J22" i="5"/>
  <c r="J30" i="5" s="1"/>
  <c r="K5" i="21"/>
  <c r="K20" i="30"/>
  <c r="K5" i="30" s="1"/>
  <c r="K4" i="30" s="1"/>
  <c r="N18" i="20"/>
  <c r="N23" i="20"/>
  <c r="N26" i="20"/>
  <c r="L25" i="20"/>
  <c r="M26" i="10"/>
  <c r="N33" i="10"/>
  <c r="N48" i="10"/>
  <c r="I22" i="5"/>
  <c r="L58" i="25"/>
  <c r="I11" i="8"/>
  <c r="K11" i="8" s="1"/>
  <c r="K11" i="12"/>
  <c r="K29" i="11"/>
  <c r="K27" i="11" s="1"/>
  <c r="K38" i="37"/>
  <c r="K20" i="14"/>
  <c r="K23" i="14"/>
  <c r="K43" i="14"/>
  <c r="L78" i="39" s="1"/>
  <c r="K23" i="18"/>
  <c r="J36" i="18"/>
  <c r="J46" i="18" s="1"/>
  <c r="K25" i="2"/>
  <c r="N31" i="21"/>
  <c r="N9" i="20"/>
  <c r="M43" i="10"/>
  <c r="M20" i="11"/>
  <c r="K43" i="8"/>
  <c r="L79" i="39" s="1"/>
  <c r="K9" i="18"/>
  <c r="K20" i="7"/>
  <c r="K23" i="7"/>
  <c r="J36" i="7"/>
  <c r="J46" i="7" s="1"/>
  <c r="K43" i="7"/>
  <c r="L76" i="39" s="1"/>
  <c r="K9" i="2"/>
  <c r="K37" i="2"/>
  <c r="N21" i="20"/>
  <c r="N42" i="20"/>
  <c r="K6" i="11"/>
  <c r="N18" i="10"/>
  <c r="K28" i="10"/>
  <c r="N53" i="10"/>
  <c r="L64" i="10"/>
  <c r="P30" i="30"/>
  <c r="L57" i="10"/>
  <c r="N57" i="10" s="1"/>
  <c r="L94" i="10"/>
  <c r="K9" i="11"/>
  <c r="K54" i="11"/>
  <c r="P80" i="30"/>
  <c r="P76" i="30"/>
  <c r="N80" i="10"/>
  <c r="N84" i="10"/>
  <c r="N96" i="10"/>
  <c r="L26" i="24"/>
  <c r="N8" i="11"/>
  <c r="W8" i="11" s="1"/>
  <c r="M15" i="11"/>
  <c r="N36" i="11"/>
  <c r="L37" i="11"/>
  <c r="L35" i="11" s="1"/>
  <c r="L43" i="11"/>
  <c r="N43" i="11" s="1"/>
  <c r="P32" i="30"/>
  <c r="N71" i="10"/>
  <c r="K77" i="10"/>
  <c r="M94" i="10"/>
  <c r="N107" i="10"/>
  <c r="N31" i="24"/>
  <c r="M31" i="11"/>
  <c r="K34" i="11"/>
  <c r="N34" i="11" s="1"/>
  <c r="M43" i="11"/>
  <c r="N57" i="11"/>
  <c r="P39" i="30"/>
  <c r="P43" i="30"/>
  <c r="N17" i="11"/>
  <c r="N33" i="11"/>
  <c r="L31" i="11"/>
  <c r="M35" i="11"/>
  <c r="P25" i="30"/>
  <c r="N20" i="21"/>
  <c r="N76" i="30"/>
  <c r="N20" i="30"/>
  <c r="K39" i="20"/>
  <c r="K41" i="5"/>
  <c r="K39" i="5"/>
  <c r="I42" i="37"/>
  <c r="K42" i="37" s="1"/>
  <c r="N49" i="11"/>
  <c r="K8" i="20"/>
  <c r="N8" i="20" s="1"/>
  <c r="N22" i="11"/>
  <c r="I42" i="8"/>
  <c r="K42" i="8" s="1"/>
  <c r="J36" i="14"/>
  <c r="J46" i="14" s="1"/>
  <c r="J34" i="14" s="1"/>
  <c r="J32" i="14" s="1"/>
  <c r="J31" i="14" s="1"/>
  <c r="J35" i="14" s="1"/>
  <c r="K39" i="14"/>
  <c r="I36" i="18"/>
  <c r="K37" i="7"/>
  <c r="I42" i="7"/>
  <c r="K42" i="7" s="1"/>
  <c r="J36" i="5"/>
  <c r="J46" i="5" s="1"/>
  <c r="K43" i="5"/>
  <c r="L75" i="39" s="1"/>
  <c r="I42" i="2"/>
  <c r="K42" i="2" s="1"/>
  <c r="L8" i="20"/>
  <c r="M14" i="20"/>
  <c r="M8" i="20" s="1"/>
  <c r="N20" i="20"/>
  <c r="N43" i="20"/>
  <c r="M45" i="20"/>
  <c r="N47" i="20"/>
  <c r="M17" i="23"/>
  <c r="M12" i="23" s="1"/>
  <c r="N33" i="24"/>
  <c r="N28" i="11"/>
  <c r="N41" i="11"/>
  <c r="I42" i="14"/>
  <c r="K42" i="14" s="1"/>
  <c r="K37" i="14"/>
  <c r="K38" i="18"/>
  <c r="R38" i="18" s="1"/>
  <c r="I42" i="18"/>
  <c r="K42" i="18" s="1"/>
  <c r="R42" i="18" s="1"/>
  <c r="I36" i="7"/>
  <c r="I36" i="2"/>
  <c r="N40" i="20"/>
  <c r="N44" i="20"/>
  <c r="N48" i="20"/>
  <c r="L8" i="24"/>
  <c r="N20" i="23"/>
  <c r="M18" i="24"/>
  <c r="M15" i="24" s="1"/>
  <c r="N28" i="24"/>
  <c r="N34" i="24"/>
  <c r="K15" i="11"/>
  <c r="N38" i="11"/>
  <c r="N42" i="11"/>
  <c r="N50" i="11"/>
  <c r="I36" i="37"/>
  <c r="K38" i="8"/>
  <c r="J36" i="37"/>
  <c r="J46" i="37" s="1"/>
  <c r="K37" i="8"/>
  <c r="I36" i="14"/>
  <c r="K37" i="18"/>
  <c r="R37" i="18" s="1"/>
  <c r="I36" i="5"/>
  <c r="K41" i="2"/>
  <c r="N15" i="20"/>
  <c r="N22" i="20"/>
  <c r="M39" i="20"/>
  <c r="N41" i="20"/>
  <c r="K45" i="20"/>
  <c r="N19" i="11"/>
  <c r="M21" i="11"/>
  <c r="N39" i="11"/>
  <c r="P17" i="30"/>
  <c r="L25" i="24"/>
  <c r="N32" i="24"/>
  <c r="M26" i="11"/>
  <c r="L12" i="23"/>
  <c r="K24" i="23"/>
  <c r="M30" i="24"/>
  <c r="N30" i="24" s="1"/>
  <c r="L18" i="24"/>
  <c r="M29" i="24"/>
  <c r="K35" i="11"/>
  <c r="N28" i="10"/>
  <c r="M64" i="10"/>
  <c r="N102" i="10"/>
  <c r="K95" i="10"/>
  <c r="N77" i="10"/>
  <c r="N8" i="10"/>
  <c r="W8" i="10" s="1"/>
  <c r="K34" i="10"/>
  <c r="K43" i="10"/>
  <c r="N43" i="10" s="1"/>
  <c r="N68" i="10"/>
  <c r="N104" i="10"/>
  <c r="W104" i="10" s="1"/>
  <c r="K69" i="10"/>
  <c r="N69" i="10" s="1"/>
  <c r="N19" i="23"/>
  <c r="N15" i="23"/>
  <c r="Y15" i="23" s="1"/>
  <c r="K33" i="23"/>
  <c r="N41" i="23"/>
  <c r="L120" i="25"/>
  <c r="N59" i="30" s="1"/>
  <c r="L240" i="25"/>
  <c r="L238" i="25"/>
  <c r="L63" i="25"/>
  <c r="N19" i="30" s="1"/>
  <c r="L33" i="20"/>
  <c r="M33" i="20"/>
  <c r="N11" i="20"/>
  <c r="K25" i="20"/>
  <c r="I8" i="2"/>
  <c r="K39" i="2"/>
  <c r="K42" i="5"/>
  <c r="I8" i="5"/>
  <c r="K8" i="5" s="1"/>
  <c r="K22" i="7"/>
  <c r="I8" i="7"/>
  <c r="K22" i="18"/>
  <c r="I8" i="18"/>
  <c r="K44" i="18"/>
  <c r="R44" i="18" s="1"/>
  <c r="K22" i="14"/>
  <c r="I8" i="14"/>
  <c r="K8" i="14" s="1"/>
  <c r="I8" i="8"/>
  <c r="K8" i="8" s="1"/>
  <c r="I22" i="8"/>
  <c r="I36" i="8"/>
  <c r="I8" i="37"/>
  <c r="I8" i="12"/>
  <c r="K8" i="12" s="1"/>
  <c r="K151" i="3"/>
  <c r="K150" i="3" s="1"/>
  <c r="K135" i="3"/>
  <c r="K134" i="3" s="1"/>
  <c r="K87" i="3"/>
  <c r="K57" i="3"/>
  <c r="K56" i="3" s="1"/>
  <c r="K40" i="3"/>
  <c r="K39" i="3" s="1"/>
  <c r="K7" i="3"/>
  <c r="K6" i="3" s="1"/>
  <c r="K24" i="3"/>
  <c r="K23" i="3" s="1"/>
  <c r="K109" i="3"/>
  <c r="K108" i="3" s="1"/>
  <c r="K214" i="3"/>
  <c r="L68" i="39"/>
  <c r="L6" i="39"/>
  <c r="L18" i="39"/>
  <c r="L5" i="39"/>
  <c r="K27" i="24" l="1"/>
  <c r="M7" i="23"/>
  <c r="M30" i="23" s="1"/>
  <c r="K40" i="11"/>
  <c r="N37" i="11"/>
  <c r="K48" i="11"/>
  <c r="N55" i="11"/>
  <c r="W55" i="11" s="1"/>
  <c r="K18" i="11"/>
  <c r="N21" i="11"/>
  <c r="N23" i="11"/>
  <c r="K36" i="5"/>
  <c r="I42" i="12"/>
  <c r="K42" i="12" s="1"/>
  <c r="M40" i="11"/>
  <c r="M30" i="11" s="1"/>
  <c r="N9" i="11"/>
  <c r="W9" i="11" s="1"/>
  <c r="K12" i="11"/>
  <c r="N12" i="11" s="1"/>
  <c r="L40" i="11"/>
  <c r="L30" i="11" s="1"/>
  <c r="M10" i="11"/>
  <c r="K5" i="11"/>
  <c r="M5" i="10"/>
  <c r="M93" i="10" s="1"/>
  <c r="R249" i="25"/>
  <c r="L57" i="25"/>
  <c r="L53" i="25" s="1"/>
  <c r="L49" i="39"/>
  <c r="M26" i="24"/>
  <c r="M25" i="24" s="1"/>
  <c r="L170" i="25"/>
  <c r="L22" i="23" s="1"/>
  <c r="L37" i="20"/>
  <c r="L35" i="20" s="1"/>
  <c r="L34" i="20" s="1"/>
  <c r="L38" i="20" s="1"/>
  <c r="N45" i="20"/>
  <c r="M37" i="20"/>
  <c r="M49" i="20"/>
  <c r="J34" i="8"/>
  <c r="J32" i="8" s="1"/>
  <c r="J31" i="8" s="1"/>
  <c r="J35" i="8" s="1"/>
  <c r="I46" i="37"/>
  <c r="K36" i="7"/>
  <c r="J34" i="12"/>
  <c r="J32" i="12" s="1"/>
  <c r="J31" i="12" s="1"/>
  <c r="J35" i="12" s="1"/>
  <c r="K36" i="14"/>
  <c r="K86" i="3"/>
  <c r="K5" i="3" s="1"/>
  <c r="K36" i="2"/>
  <c r="J34" i="18"/>
  <c r="J32" i="18" s="1"/>
  <c r="J31" i="18" s="1"/>
  <c r="J35" i="18" s="1"/>
  <c r="R31" i="23"/>
  <c r="Q44" i="23"/>
  <c r="R44" i="23" s="1"/>
  <c r="U44" i="23"/>
  <c r="V44" i="23" s="1"/>
  <c r="V31" i="23"/>
  <c r="I34" i="18"/>
  <c r="I32" i="18" s="1"/>
  <c r="P42" i="30"/>
  <c r="J34" i="7"/>
  <c r="J32" i="7" s="1"/>
  <c r="J31" i="7" s="1"/>
  <c r="J35" i="7" s="1"/>
  <c r="N17" i="23"/>
  <c r="J34" i="37"/>
  <c r="J32" i="37" s="1"/>
  <c r="J31" i="37" s="1"/>
  <c r="J35" i="37" s="1"/>
  <c r="K8" i="37"/>
  <c r="L77" i="39"/>
  <c r="L82" i="39" s="1"/>
  <c r="O77" i="39"/>
  <c r="O82" i="39" s="1"/>
  <c r="L17" i="24"/>
  <c r="I46" i="18"/>
  <c r="K46" i="18" s="1"/>
  <c r="L244" i="25"/>
  <c r="K23" i="23"/>
  <c r="L50" i="25"/>
  <c r="L242" i="25"/>
  <c r="N54" i="11"/>
  <c r="K22" i="5"/>
  <c r="N39" i="20"/>
  <c r="I46" i="2"/>
  <c r="K46" i="2" s="1"/>
  <c r="N47" i="2" s="1"/>
  <c r="K6" i="10"/>
  <c r="N6" i="10" s="1"/>
  <c r="W6" i="10" s="1"/>
  <c r="K31" i="11"/>
  <c r="K30" i="11" s="1"/>
  <c r="M9" i="24"/>
  <c r="M4" i="24" s="1"/>
  <c r="M24" i="24" s="1"/>
  <c r="N15" i="11"/>
  <c r="I30" i="14"/>
  <c r="K30" i="14" s="1"/>
  <c r="P5" i="30"/>
  <c r="N4" i="21"/>
  <c r="I46" i="14"/>
  <c r="K46" i="14" s="1"/>
  <c r="N47" i="14" s="1"/>
  <c r="K36" i="18"/>
  <c r="R36" i="18" s="1"/>
  <c r="K22" i="12"/>
  <c r="I30" i="37"/>
  <c r="K30" i="37" s="1"/>
  <c r="K8" i="18"/>
  <c r="K8" i="7"/>
  <c r="I46" i="5"/>
  <c r="K46" i="5" s="1"/>
  <c r="N47" i="5" s="1"/>
  <c r="J34" i="5"/>
  <c r="J32" i="5" s="1"/>
  <c r="J31" i="5" s="1"/>
  <c r="J35" i="5" s="1"/>
  <c r="N34" i="10"/>
  <c r="K14" i="11"/>
  <c r="N14" i="11" s="1"/>
  <c r="N7" i="10"/>
  <c r="W7" i="10" s="1"/>
  <c r="L9" i="24"/>
  <c r="N25" i="11"/>
  <c r="N24" i="11"/>
  <c r="N6" i="11"/>
  <c r="W6" i="11" s="1"/>
  <c r="K4" i="21"/>
  <c r="K5" i="20"/>
  <c r="N5" i="20" s="1"/>
  <c r="J30" i="18"/>
  <c r="L5" i="10"/>
  <c r="L93" i="10" s="1"/>
  <c r="I46" i="7"/>
  <c r="I34" i="7" s="1"/>
  <c r="K220" i="3"/>
  <c r="I37" i="12"/>
  <c r="K5" i="24" s="1"/>
  <c r="M18" i="11"/>
  <c r="M4" i="11" s="1"/>
  <c r="N14" i="20"/>
  <c r="N5" i="11"/>
  <c r="W5" i="11" s="1"/>
  <c r="K46" i="37"/>
  <c r="N47" i="37" s="1"/>
  <c r="K36" i="37"/>
  <c r="K49" i="20"/>
  <c r="N35" i="11"/>
  <c r="M35" i="20"/>
  <c r="M34" i="20" s="1"/>
  <c r="M38" i="20" s="1"/>
  <c r="N29" i="24"/>
  <c r="N27" i="24"/>
  <c r="K26" i="24"/>
  <c r="N24" i="23"/>
  <c r="Y24" i="23" s="1"/>
  <c r="K18" i="24"/>
  <c r="N31" i="11"/>
  <c r="N48" i="11"/>
  <c r="W48" i="11" s="1"/>
  <c r="K47" i="11"/>
  <c r="K94" i="10"/>
  <c r="N95" i="10"/>
  <c r="W95" i="10" s="1"/>
  <c r="K26" i="10"/>
  <c r="N26" i="10" s="1"/>
  <c r="K64" i="10"/>
  <c r="N64" i="10" s="1"/>
  <c r="N33" i="23"/>
  <c r="K32" i="23"/>
  <c r="K33" i="20"/>
  <c r="N25" i="20"/>
  <c r="I30" i="2"/>
  <c r="K8" i="2"/>
  <c r="I30" i="5"/>
  <c r="K30" i="5" s="1"/>
  <c r="I34" i="5"/>
  <c r="I30" i="7"/>
  <c r="K30" i="7" s="1"/>
  <c r="I30" i="18"/>
  <c r="K30" i="18" s="1"/>
  <c r="K36" i="8"/>
  <c r="I46" i="8"/>
  <c r="K46" i="8" s="1"/>
  <c r="N47" i="8" s="1"/>
  <c r="K22" i="8"/>
  <c r="I30" i="8"/>
  <c r="K30" i="8" s="1"/>
  <c r="I34" i="37"/>
  <c r="I30" i="12"/>
  <c r="K30" i="12" s="1"/>
  <c r="L92" i="39"/>
  <c r="I46" i="25"/>
  <c r="I47" i="25"/>
  <c r="I40" i="25"/>
  <c r="I161" i="25"/>
  <c r="I181" i="25"/>
  <c r="L43" i="25" l="1"/>
  <c r="N16" i="30" s="1"/>
  <c r="S50" i="25"/>
  <c r="M35" i="24"/>
  <c r="W29" i="24"/>
  <c r="W27" i="24"/>
  <c r="N49" i="20"/>
  <c r="R50" i="20" s="1"/>
  <c r="N47" i="18"/>
  <c r="N49" i="18" s="1"/>
  <c r="R46" i="18"/>
  <c r="N30" i="11"/>
  <c r="W30" i="11" s="1"/>
  <c r="K10" i="11"/>
  <c r="K4" i="11" s="1"/>
  <c r="K61" i="11" s="1"/>
  <c r="W35" i="11"/>
  <c r="W54" i="11"/>
  <c r="W31" i="11"/>
  <c r="M110" i="10"/>
  <c r="N40" i="11"/>
  <c r="N17" i="30"/>
  <c r="L6" i="25"/>
  <c r="K22" i="23"/>
  <c r="L243" i="25"/>
  <c r="L166" i="25"/>
  <c r="K34" i="18"/>
  <c r="P4" i="30"/>
  <c r="R47" i="23"/>
  <c r="R112" i="10"/>
  <c r="V112" i="10"/>
  <c r="V47" i="23"/>
  <c r="V45" i="23"/>
  <c r="K46" i="7"/>
  <c r="N47" i="7" s="1"/>
  <c r="L91" i="39"/>
  <c r="O91" i="39"/>
  <c r="O89" i="39"/>
  <c r="I34" i="14"/>
  <c r="I32" i="14" s="1"/>
  <c r="K5" i="10"/>
  <c r="K110" i="10" s="1"/>
  <c r="L110" i="10"/>
  <c r="L70" i="39"/>
  <c r="L89" i="39" s="1"/>
  <c r="K37" i="12"/>
  <c r="I36" i="12"/>
  <c r="N10" i="11"/>
  <c r="M46" i="11"/>
  <c r="M61" i="11"/>
  <c r="K25" i="24"/>
  <c r="N25" i="24" s="1"/>
  <c r="W25" i="24" s="1"/>
  <c r="N26" i="24"/>
  <c r="W26" i="24" s="1"/>
  <c r="N18" i="24"/>
  <c r="N47" i="11"/>
  <c r="W47" i="11" s="1"/>
  <c r="N94" i="10"/>
  <c r="K31" i="23"/>
  <c r="K37" i="20"/>
  <c r="N33" i="20"/>
  <c r="K30" i="2"/>
  <c r="I34" i="2"/>
  <c r="I32" i="5"/>
  <c r="K34" i="5"/>
  <c r="I32" i="7"/>
  <c r="K34" i="7"/>
  <c r="K32" i="18"/>
  <c r="I31" i="18"/>
  <c r="I34" i="8"/>
  <c r="I32" i="37"/>
  <c r="K34" i="37"/>
  <c r="C3" i="29"/>
  <c r="W18" i="24" l="1"/>
  <c r="W10" i="11"/>
  <c r="W40" i="11"/>
  <c r="N75" i="30"/>
  <c r="L75" i="25"/>
  <c r="N110" i="10"/>
  <c r="K93" i="10"/>
  <c r="N93" i="10" s="1"/>
  <c r="N5" i="10"/>
  <c r="K34" i="14"/>
  <c r="K36" i="12"/>
  <c r="I46" i="12"/>
  <c r="K46" i="11"/>
  <c r="N37" i="20"/>
  <c r="K35" i="20"/>
  <c r="K34" i="2"/>
  <c r="I32" i="2"/>
  <c r="I31" i="5"/>
  <c r="K32" i="5"/>
  <c r="I31" i="7"/>
  <c r="K32" i="7"/>
  <c r="I35" i="18"/>
  <c r="K35" i="18" s="1"/>
  <c r="K31" i="18"/>
  <c r="I31" i="14"/>
  <c r="K32" i="14"/>
  <c r="I32" i="8"/>
  <c r="K34" i="8"/>
  <c r="R34" i="8" s="1"/>
  <c r="I31" i="37"/>
  <c r="K32" i="37"/>
  <c r="I72" i="25"/>
  <c r="H52" i="39"/>
  <c r="G52" i="39"/>
  <c r="W110" i="10" l="1"/>
  <c r="R111" i="10"/>
  <c r="K46" i="12"/>
  <c r="N47" i="12" s="1"/>
  <c r="I34" i="12"/>
  <c r="K34" i="20"/>
  <c r="N35" i="20"/>
  <c r="K32" i="2"/>
  <c r="I31" i="2"/>
  <c r="I35" i="5"/>
  <c r="K35" i="5" s="1"/>
  <c r="K31" i="5"/>
  <c r="I35" i="7"/>
  <c r="K35" i="7" s="1"/>
  <c r="K31" i="7"/>
  <c r="I35" i="14"/>
  <c r="K35" i="14" s="1"/>
  <c r="K31" i="14"/>
  <c r="K32" i="8"/>
  <c r="I31" i="8"/>
  <c r="I35" i="37"/>
  <c r="K35" i="37" s="1"/>
  <c r="K31" i="37"/>
  <c r="I149" i="25"/>
  <c r="I146" i="25"/>
  <c r="I141" i="25"/>
  <c r="K34" i="12" l="1"/>
  <c r="I32" i="12"/>
  <c r="K38" i="20"/>
  <c r="N38" i="20" s="1"/>
  <c r="N34" i="20"/>
  <c r="K31" i="2"/>
  <c r="I35" i="2"/>
  <c r="K35" i="2" s="1"/>
  <c r="I35" i="8"/>
  <c r="K35" i="8" s="1"/>
  <c r="K31" i="8"/>
  <c r="G36" i="10"/>
  <c r="G33" i="10"/>
  <c r="L233" i="25" l="1"/>
  <c r="M38" i="23" s="1"/>
  <c r="K32" i="12"/>
  <c r="I31" i="12"/>
  <c r="H30" i="3"/>
  <c r="H28" i="3"/>
  <c r="H192" i="3"/>
  <c r="H190" i="3"/>
  <c r="L232" i="25" l="1"/>
  <c r="I35" i="12"/>
  <c r="K35" i="12" s="1"/>
  <c r="K31" i="12"/>
  <c r="J8" i="21"/>
  <c r="J7" i="21"/>
  <c r="L246" i="25" l="1"/>
  <c r="L247" i="25" s="1"/>
  <c r="L5" i="25"/>
  <c r="L248" i="25" s="1"/>
  <c r="I228" i="25"/>
  <c r="H28" i="39"/>
  <c r="G28" i="39"/>
  <c r="H30" i="39"/>
  <c r="G30" i="39"/>
  <c r="I19" i="25"/>
  <c r="H6" i="39"/>
  <c r="G6" i="39"/>
  <c r="L249" i="25" l="1"/>
  <c r="C12" i="29"/>
  <c r="C7" i="29"/>
  <c r="C6" i="29"/>
  <c r="F32" i="31" l="1"/>
  <c r="F31" i="31" s="1"/>
  <c r="E14" i="31"/>
  <c r="E13" i="31" s="1"/>
  <c r="E12" i="31" s="1"/>
  <c r="F28" i="31"/>
  <c r="F21" i="31"/>
  <c r="F18" i="31"/>
  <c r="F17" i="31"/>
  <c r="E7" i="31"/>
  <c r="E6" i="31"/>
  <c r="E5" i="31" s="1"/>
  <c r="E11" i="31" s="1"/>
  <c r="D32" i="31"/>
  <c r="C14" i="31"/>
  <c r="H55" i="39"/>
  <c r="G55" i="39"/>
  <c r="G16" i="10"/>
  <c r="I138" i="25"/>
  <c r="I169" i="25"/>
  <c r="F20" i="31" l="1"/>
  <c r="F33" i="31" s="1"/>
  <c r="F3" i="31" s="1"/>
  <c r="E3" i="31"/>
  <c r="G65" i="39" l="1"/>
  <c r="G68" i="39" s="1"/>
  <c r="G10" i="10"/>
  <c r="I12" i="25"/>
  <c r="I171" i="25"/>
  <c r="H65" i="39"/>
  <c r="I64" i="39"/>
  <c r="I52" i="25"/>
  <c r="H38" i="39"/>
  <c r="G38" i="39"/>
  <c r="H5" i="39"/>
  <c r="G5" i="39"/>
  <c r="H45" i="39"/>
  <c r="G45" i="39"/>
  <c r="I51" i="25"/>
  <c r="I42" i="25"/>
  <c r="I32" i="25"/>
  <c r="H11" i="39"/>
  <c r="G11" i="39"/>
  <c r="I10" i="25"/>
  <c r="I157" i="25"/>
  <c r="I192" i="25"/>
  <c r="I113" i="25"/>
  <c r="I56" i="25"/>
  <c r="I154" i="25"/>
  <c r="I31" i="25"/>
  <c r="I14" i="25"/>
  <c r="I159" i="25"/>
  <c r="H62" i="3"/>
  <c r="H68" i="3"/>
  <c r="H191" i="3"/>
  <c r="H167" i="3"/>
  <c r="J9" i="21" l="1"/>
  <c r="H44" i="3" l="1"/>
  <c r="H91" i="3"/>
  <c r="H113" i="3"/>
  <c r="H139" i="3"/>
  <c r="H153" i="3"/>
  <c r="H202" i="3"/>
  <c r="H164" i="3"/>
  <c r="G20" i="20" l="1"/>
  <c r="G18" i="20"/>
  <c r="G17" i="20"/>
  <c r="G32" i="10"/>
  <c r="G30" i="10"/>
  <c r="G29" i="10"/>
  <c r="I160" i="25"/>
  <c r="I85" i="25"/>
  <c r="I44" i="25"/>
  <c r="I24" i="25"/>
  <c r="I22" i="25"/>
  <c r="I65" i="39"/>
  <c r="H68" i="39"/>
  <c r="I15" i="39"/>
  <c r="I14" i="39"/>
  <c r="I11" i="39"/>
  <c r="I10" i="39"/>
  <c r="I45" i="39"/>
  <c r="I44" i="39"/>
  <c r="I43" i="39"/>
  <c r="I42" i="39"/>
  <c r="I41" i="39"/>
  <c r="I40" i="39"/>
  <c r="I39" i="39"/>
  <c r="H27" i="39"/>
  <c r="H26" i="39"/>
  <c r="G25" i="39"/>
  <c r="H25" i="39" s="1"/>
  <c r="H24" i="39"/>
  <c r="G23" i="39"/>
  <c r="H23" i="39" s="1"/>
  <c r="G22" i="39"/>
  <c r="H22" i="39" s="1"/>
  <c r="G18" i="39"/>
  <c r="H18" i="39" s="1"/>
  <c r="H16" i="39"/>
  <c r="H13" i="39"/>
  <c r="I13" i="39" s="1"/>
  <c r="H12" i="39"/>
  <c r="I12" i="39" s="1"/>
  <c r="H9" i="39"/>
  <c r="G9" i="39"/>
  <c r="J28" i="21"/>
  <c r="J27" i="21"/>
  <c r="J22" i="21"/>
  <c r="J23" i="21" s="1"/>
  <c r="H201" i="3"/>
  <c r="H200" i="3"/>
  <c r="H196" i="3"/>
  <c r="H195" i="3"/>
  <c r="H189" i="3"/>
  <c r="H188" i="3"/>
  <c r="H180" i="3"/>
  <c r="H179" i="3"/>
  <c r="H175" i="3"/>
  <c r="H174" i="3"/>
  <c r="H159" i="3"/>
  <c r="H158" i="3"/>
  <c r="H154" i="3"/>
  <c r="H145" i="3"/>
  <c r="H141" i="3"/>
  <c r="H138" i="3"/>
  <c r="H137" i="3"/>
  <c r="H118" i="3"/>
  <c r="H117" i="3"/>
  <c r="H112" i="3"/>
  <c r="H111" i="3"/>
  <c r="H106" i="3"/>
  <c r="H105" i="3"/>
  <c r="H104" i="3"/>
  <c r="H99" i="3"/>
  <c r="H90" i="3"/>
  <c r="H89" i="3"/>
  <c r="H75" i="3"/>
  <c r="H67" i="3"/>
  <c r="H66" i="3"/>
  <c r="H60" i="3"/>
  <c r="H59" i="3"/>
  <c r="H50" i="3"/>
  <c r="H43" i="3"/>
  <c r="H42" i="3"/>
  <c r="H34" i="3"/>
  <c r="H27" i="3"/>
  <c r="H26" i="3"/>
  <c r="H18" i="3"/>
  <c r="H13" i="3"/>
  <c r="H11" i="3"/>
  <c r="H10" i="3"/>
  <c r="H9" i="3"/>
  <c r="G49" i="39" l="1"/>
  <c r="I9" i="39"/>
  <c r="H49" i="39"/>
  <c r="I230" i="25"/>
  <c r="J11" i="21" l="1"/>
  <c r="I65" i="25" l="1"/>
  <c r="I61" i="39" l="1"/>
  <c r="C4" i="29" l="1"/>
  <c r="G68" i="10" l="1"/>
  <c r="G11" i="10" l="1"/>
  <c r="G8" i="10"/>
  <c r="I234" i="25"/>
  <c r="G105" i="10"/>
  <c r="G54" i="11" l="1"/>
  <c r="I38" i="39"/>
  <c r="I37" i="39"/>
  <c r="I36" i="39"/>
  <c r="I35" i="39"/>
  <c r="I34" i="39"/>
  <c r="I33" i="39"/>
  <c r="I32" i="39"/>
  <c r="I31" i="39"/>
  <c r="I148" i="25"/>
  <c r="J70" i="30" s="1"/>
  <c r="H16" i="23"/>
  <c r="O70" i="30" l="1"/>
  <c r="G44" i="20"/>
  <c r="H217" i="3"/>
  <c r="F41" i="12" s="1"/>
  <c r="H41" i="12" s="1"/>
  <c r="I30" i="39"/>
  <c r="F30" i="39"/>
  <c r="O95" i="30"/>
  <c r="O94" i="30"/>
  <c r="O93" i="30"/>
  <c r="O54" i="30"/>
  <c r="O20" i="30"/>
  <c r="O28" i="30"/>
  <c r="O26" i="30"/>
  <c r="O38" i="30"/>
  <c r="F86" i="39"/>
  <c r="F85" i="39"/>
  <c r="G27" i="30"/>
  <c r="H219" i="3"/>
  <c r="I85" i="39" s="1"/>
  <c r="H197" i="3"/>
  <c r="H194" i="3" s="1"/>
  <c r="H181" i="3"/>
  <c r="H176" i="3"/>
  <c r="H173" i="3" s="1"/>
  <c r="H160" i="3"/>
  <c r="H157" i="3" s="1"/>
  <c r="J23" i="30" s="1"/>
  <c r="H155" i="3"/>
  <c r="G31" i="10"/>
  <c r="G11" i="23"/>
  <c r="H41" i="20"/>
  <c r="F16" i="8"/>
  <c r="F15" i="8"/>
  <c r="I241" i="25"/>
  <c r="I63" i="25"/>
  <c r="J19" i="30" s="1"/>
  <c r="I225" i="25"/>
  <c r="J88" i="30" s="1"/>
  <c r="J16" i="23"/>
  <c r="F11" i="18"/>
  <c r="F11" i="2"/>
  <c r="J16" i="20"/>
  <c r="J30" i="10"/>
  <c r="J36" i="10"/>
  <c r="J33" i="10"/>
  <c r="G18" i="23"/>
  <c r="J18" i="23" s="1"/>
  <c r="J60" i="11"/>
  <c r="J59" i="11"/>
  <c r="I58" i="11"/>
  <c r="H58" i="11"/>
  <c r="G58" i="11"/>
  <c r="I57" i="11"/>
  <c r="H57" i="11"/>
  <c r="G57" i="11"/>
  <c r="J56" i="11"/>
  <c r="J54" i="11"/>
  <c r="J53" i="11"/>
  <c r="J52" i="11"/>
  <c r="J51" i="11"/>
  <c r="I50" i="11"/>
  <c r="H50" i="11"/>
  <c r="H49" i="11" s="1"/>
  <c r="H48" i="11" s="1"/>
  <c r="H47" i="11" s="1"/>
  <c r="G50" i="11"/>
  <c r="G49" i="11" s="1"/>
  <c r="I42" i="11"/>
  <c r="H42" i="11"/>
  <c r="G42" i="11"/>
  <c r="I41" i="11"/>
  <c r="H41" i="11"/>
  <c r="G41" i="11"/>
  <c r="I39" i="11"/>
  <c r="H39" i="11"/>
  <c r="G39" i="11"/>
  <c r="I38" i="11"/>
  <c r="H38" i="11"/>
  <c r="G38" i="11"/>
  <c r="I36" i="11"/>
  <c r="H36" i="11"/>
  <c r="G36" i="11"/>
  <c r="I34" i="11"/>
  <c r="H34" i="11"/>
  <c r="G34" i="11"/>
  <c r="I33" i="11"/>
  <c r="H33" i="11"/>
  <c r="G33" i="11"/>
  <c r="I32" i="11"/>
  <c r="H32" i="11"/>
  <c r="G32" i="11"/>
  <c r="I29" i="11"/>
  <c r="G29" i="11"/>
  <c r="I28" i="11"/>
  <c r="H28" i="11"/>
  <c r="G28" i="11"/>
  <c r="G26" i="11"/>
  <c r="G22" i="11"/>
  <c r="I17" i="11"/>
  <c r="H17" i="11"/>
  <c r="G17" i="11"/>
  <c r="I16" i="11"/>
  <c r="I15" i="11" s="1"/>
  <c r="H16" i="11"/>
  <c r="G16" i="11"/>
  <c r="I8" i="11"/>
  <c r="H8" i="11"/>
  <c r="J8" i="11" s="1"/>
  <c r="G8" i="11"/>
  <c r="I7" i="11"/>
  <c r="H7" i="11"/>
  <c r="G7" i="11"/>
  <c r="I34" i="24"/>
  <c r="H34" i="24"/>
  <c r="H32" i="24" s="1"/>
  <c r="G34" i="24"/>
  <c r="I33" i="24"/>
  <c r="H33" i="24"/>
  <c r="G33" i="24"/>
  <c r="J33" i="24" s="1"/>
  <c r="I31" i="24"/>
  <c r="H31" i="24"/>
  <c r="G31" i="24"/>
  <c r="H30" i="24"/>
  <c r="G30" i="24"/>
  <c r="H29" i="24"/>
  <c r="G29" i="24"/>
  <c r="I28" i="24"/>
  <c r="H28" i="24"/>
  <c r="G28" i="24"/>
  <c r="I27" i="24"/>
  <c r="H27" i="24"/>
  <c r="J23" i="24"/>
  <c r="J22" i="24"/>
  <c r="J21" i="24"/>
  <c r="J20" i="24"/>
  <c r="J19" i="24"/>
  <c r="J14" i="24"/>
  <c r="J13" i="24"/>
  <c r="J12" i="24"/>
  <c r="J11" i="24"/>
  <c r="J10" i="24"/>
  <c r="J95" i="30"/>
  <c r="J94" i="30"/>
  <c r="J93" i="30"/>
  <c r="G42" i="30"/>
  <c r="J109" i="10"/>
  <c r="J108" i="10"/>
  <c r="I107" i="10"/>
  <c r="H107" i="10"/>
  <c r="G107" i="10"/>
  <c r="J105" i="10"/>
  <c r="G104" i="10"/>
  <c r="J104" i="10" s="1"/>
  <c r="J103" i="10"/>
  <c r="I102" i="10"/>
  <c r="H102" i="10"/>
  <c r="J101" i="10"/>
  <c r="J100" i="10"/>
  <c r="J99" i="10"/>
  <c r="J98" i="10"/>
  <c r="J97" i="10"/>
  <c r="I96" i="10"/>
  <c r="I95" i="10" s="1"/>
  <c r="I94" i="10" s="1"/>
  <c r="H96" i="10"/>
  <c r="H95" i="10" s="1"/>
  <c r="G96" i="10"/>
  <c r="J90" i="10"/>
  <c r="J89" i="10"/>
  <c r="J88" i="10"/>
  <c r="J87" i="10"/>
  <c r="J86" i="10"/>
  <c r="J85" i="10"/>
  <c r="I84" i="10"/>
  <c r="H77" i="10"/>
  <c r="G84" i="10"/>
  <c r="J83" i="10"/>
  <c r="J82" i="10"/>
  <c r="J81" i="10"/>
  <c r="I80" i="10"/>
  <c r="H80" i="10"/>
  <c r="G80" i="10"/>
  <c r="J79" i="10"/>
  <c r="J78" i="10"/>
  <c r="J76" i="10"/>
  <c r="J75" i="10"/>
  <c r="J74" i="10"/>
  <c r="J73" i="10"/>
  <c r="J72" i="10"/>
  <c r="I71" i="10"/>
  <c r="H71" i="10"/>
  <c r="G71" i="10"/>
  <c r="J70" i="10"/>
  <c r="J68" i="10"/>
  <c r="J67" i="10"/>
  <c r="J66" i="10"/>
  <c r="I65" i="10"/>
  <c r="H65" i="10"/>
  <c r="G65" i="10"/>
  <c r="J65" i="10" s="1"/>
  <c r="J62" i="10"/>
  <c r="J61" i="10"/>
  <c r="J60" i="10"/>
  <c r="H59" i="10"/>
  <c r="J58" i="10"/>
  <c r="I57" i="10"/>
  <c r="G57" i="10"/>
  <c r="J56" i="10"/>
  <c r="J55" i="10"/>
  <c r="J54" i="10"/>
  <c r="I53" i="10"/>
  <c r="H53" i="10"/>
  <c r="G53" i="10"/>
  <c r="J52" i="10"/>
  <c r="J51" i="10"/>
  <c r="J50" i="10"/>
  <c r="J49" i="10"/>
  <c r="I48" i="10"/>
  <c r="H48" i="10"/>
  <c r="G48" i="10"/>
  <c r="G47" i="10"/>
  <c r="J46" i="10"/>
  <c r="I45" i="10"/>
  <c r="H45" i="10"/>
  <c r="J44" i="10"/>
  <c r="J42" i="10"/>
  <c r="J41" i="10"/>
  <c r="J40" i="10"/>
  <c r="J39" i="10"/>
  <c r="I38" i="10"/>
  <c r="H38" i="10"/>
  <c r="G38" i="10"/>
  <c r="J37" i="10"/>
  <c r="J35" i="10"/>
  <c r="I34" i="10"/>
  <c r="H34" i="10"/>
  <c r="G34" i="10"/>
  <c r="J32" i="10"/>
  <c r="I31" i="10"/>
  <c r="H31" i="10"/>
  <c r="J29" i="10"/>
  <c r="I28" i="10"/>
  <c r="H28" i="10"/>
  <c r="J25" i="10"/>
  <c r="J23" i="10"/>
  <c r="J22" i="10"/>
  <c r="J21" i="10"/>
  <c r="I20" i="10"/>
  <c r="I18" i="10" s="1"/>
  <c r="J19" i="10"/>
  <c r="H18" i="10"/>
  <c r="G18" i="10"/>
  <c r="J17" i="10"/>
  <c r="J16" i="10"/>
  <c r="J14" i="10"/>
  <c r="J13" i="10"/>
  <c r="J12" i="10"/>
  <c r="J11" i="10"/>
  <c r="J10" i="10"/>
  <c r="G9" i="10"/>
  <c r="J9" i="10" s="1"/>
  <c r="J8" i="10"/>
  <c r="I7" i="10"/>
  <c r="H7" i="10"/>
  <c r="J43" i="23"/>
  <c r="J42" i="23"/>
  <c r="I41" i="23"/>
  <c r="H41" i="23"/>
  <c r="G41" i="23"/>
  <c r="J40" i="23"/>
  <c r="I39" i="23"/>
  <c r="I37" i="23"/>
  <c r="J36" i="23"/>
  <c r="J35" i="23"/>
  <c r="G34" i="23"/>
  <c r="J34" i="23" s="1"/>
  <c r="H32" i="23"/>
  <c r="H31" i="23"/>
  <c r="G29" i="23"/>
  <c r="J29" i="23" s="1"/>
  <c r="J28" i="23"/>
  <c r="J27" i="23"/>
  <c r="J26" i="23"/>
  <c r="J25" i="23"/>
  <c r="I24" i="23"/>
  <c r="H24" i="23"/>
  <c r="H23" i="23"/>
  <c r="I20" i="23"/>
  <c r="I17" i="23" s="1"/>
  <c r="I12" i="23" s="1"/>
  <c r="H20" i="23"/>
  <c r="H17" i="23" s="1"/>
  <c r="I19" i="23"/>
  <c r="G15" i="23"/>
  <c r="J14" i="23"/>
  <c r="H11" i="23"/>
  <c r="G9" i="23"/>
  <c r="H8" i="23"/>
  <c r="J6" i="23"/>
  <c r="J5" i="23"/>
  <c r="I245" i="25"/>
  <c r="I223" i="25"/>
  <c r="J85" i="30" s="1"/>
  <c r="I220" i="25"/>
  <c r="I216" i="25"/>
  <c r="I212" i="25"/>
  <c r="I210" i="25"/>
  <c r="I206" i="25"/>
  <c r="I202" i="25"/>
  <c r="I198" i="25"/>
  <c r="J86" i="30" s="1"/>
  <c r="I194" i="25"/>
  <c r="J87" i="30" s="1"/>
  <c r="I190" i="25"/>
  <c r="J82" i="30" s="1"/>
  <c r="I186" i="25"/>
  <c r="J77" i="30" s="1"/>
  <c r="I185" i="25"/>
  <c r="I184" i="25" s="1"/>
  <c r="J83" i="30" s="1"/>
  <c r="I180" i="25"/>
  <c r="J79" i="30" s="1"/>
  <c r="I173" i="25"/>
  <c r="J78" i="30" s="1"/>
  <c r="H9" i="23"/>
  <c r="I239" i="25"/>
  <c r="I155" i="25"/>
  <c r="J73" i="30" s="1"/>
  <c r="I153" i="25"/>
  <c r="J72" i="30" s="1"/>
  <c r="I151" i="25"/>
  <c r="J71" i="30" s="1"/>
  <c r="I145" i="25"/>
  <c r="I143" i="25"/>
  <c r="J68" i="30" s="1"/>
  <c r="I140" i="25"/>
  <c r="J67" i="30" s="1"/>
  <c r="I137" i="25"/>
  <c r="J66" i="30" s="1"/>
  <c r="I134" i="25"/>
  <c r="J65" i="30" s="1"/>
  <c r="I132" i="25"/>
  <c r="J64" i="30" s="1"/>
  <c r="I130" i="25"/>
  <c r="J63" i="30" s="1"/>
  <c r="I128" i="25"/>
  <c r="J62" i="30" s="1"/>
  <c r="I126" i="25"/>
  <c r="J61" i="30" s="1"/>
  <c r="I124" i="25"/>
  <c r="J60" i="30" s="1"/>
  <c r="I123" i="25"/>
  <c r="I121" i="25" s="1"/>
  <c r="I120" i="25" s="1"/>
  <c r="J59" i="30" s="1"/>
  <c r="I119" i="25"/>
  <c r="I117" i="25" s="1"/>
  <c r="J58" i="30" s="1"/>
  <c r="I115" i="25"/>
  <c r="J57" i="30" s="1"/>
  <c r="I110" i="25"/>
  <c r="J56" i="30" s="1"/>
  <c r="I109" i="25"/>
  <c r="I106" i="25" s="1"/>
  <c r="J55" i="30" s="1"/>
  <c r="I104" i="25"/>
  <c r="J54" i="30" s="1"/>
  <c r="I103" i="25"/>
  <c r="I102" i="25" s="1"/>
  <c r="J53" i="30" s="1"/>
  <c r="I101" i="25"/>
  <c r="I100" i="25" s="1"/>
  <c r="J52" i="30" s="1"/>
  <c r="I98" i="25"/>
  <c r="J51" i="30" s="1"/>
  <c r="I96" i="25"/>
  <c r="J50" i="30" s="1"/>
  <c r="I95" i="25"/>
  <c r="I94" i="25" s="1"/>
  <c r="J49" i="30" s="1"/>
  <c r="I92" i="25"/>
  <c r="J48" i="30" s="1"/>
  <c r="I90" i="25"/>
  <c r="J47" i="30" s="1"/>
  <c r="I86" i="25"/>
  <c r="J46" i="30" s="1"/>
  <c r="I82" i="25"/>
  <c r="J45" i="30" s="1"/>
  <c r="I79" i="25"/>
  <c r="J44" i="30" s="1"/>
  <c r="I77" i="25"/>
  <c r="I76" i="25" s="1"/>
  <c r="J43" i="30" s="1"/>
  <c r="I67" i="25"/>
  <c r="J21" i="30" s="1"/>
  <c r="I59" i="25"/>
  <c r="I37" i="25"/>
  <c r="J15" i="30" s="1"/>
  <c r="I34" i="25"/>
  <c r="J14" i="30" s="1"/>
  <c r="I30" i="25"/>
  <c r="I28" i="25"/>
  <c r="J11" i="30" s="1"/>
  <c r="I26" i="25"/>
  <c r="J10" i="30" s="1"/>
  <c r="I21" i="25"/>
  <c r="J9" i="30" s="1"/>
  <c r="I16" i="25"/>
  <c r="J8" i="30" s="1"/>
  <c r="I13" i="25"/>
  <c r="J7" i="30" s="1"/>
  <c r="I11" i="25"/>
  <c r="C26" i="29"/>
  <c r="G20" i="23" s="1"/>
  <c r="G19" i="23"/>
  <c r="I48" i="20"/>
  <c r="H48" i="20"/>
  <c r="G48" i="20"/>
  <c r="I47" i="20"/>
  <c r="I17" i="24" s="1"/>
  <c r="H47" i="20"/>
  <c r="G47" i="20"/>
  <c r="I46" i="20"/>
  <c r="I16" i="24" s="1"/>
  <c r="H46" i="20"/>
  <c r="G46" i="20"/>
  <c r="I44" i="20"/>
  <c r="H44" i="20"/>
  <c r="I43" i="20"/>
  <c r="H43" i="20"/>
  <c r="G43" i="20"/>
  <c r="G42" i="20"/>
  <c r="I41" i="20"/>
  <c r="I6" i="24" s="1"/>
  <c r="G41" i="20"/>
  <c r="I40" i="20"/>
  <c r="I5" i="24" s="1"/>
  <c r="H40" i="20"/>
  <c r="G40" i="20"/>
  <c r="J36" i="20"/>
  <c r="J32" i="20"/>
  <c r="I31" i="20"/>
  <c r="H31" i="20"/>
  <c r="G31" i="20"/>
  <c r="J30" i="20"/>
  <c r="J29" i="20"/>
  <c r="I28" i="20"/>
  <c r="H28" i="20"/>
  <c r="G28" i="20"/>
  <c r="J27" i="20"/>
  <c r="I26" i="20"/>
  <c r="H26" i="20"/>
  <c r="G26" i="20"/>
  <c r="J26" i="20" s="1"/>
  <c r="J24" i="20"/>
  <c r="I23" i="20"/>
  <c r="H23" i="20"/>
  <c r="G23" i="20"/>
  <c r="J23" i="20" s="1"/>
  <c r="I22" i="20"/>
  <c r="I26" i="11" s="1"/>
  <c r="H22" i="20"/>
  <c r="I21" i="20"/>
  <c r="I25" i="11" s="1"/>
  <c r="H21" i="20"/>
  <c r="G21" i="20"/>
  <c r="I20" i="20"/>
  <c r="I24" i="11" s="1"/>
  <c r="H20" i="20"/>
  <c r="G24" i="11"/>
  <c r="J19" i="20"/>
  <c r="I18" i="20"/>
  <c r="I22" i="11" s="1"/>
  <c r="H18" i="20"/>
  <c r="I17" i="20"/>
  <c r="I21" i="11" s="1"/>
  <c r="H17" i="20"/>
  <c r="J17" i="20" s="1"/>
  <c r="I15" i="20"/>
  <c r="I19" i="11" s="1"/>
  <c r="H15" i="20"/>
  <c r="G15" i="20"/>
  <c r="G19" i="11" s="1"/>
  <c r="J13" i="20"/>
  <c r="J12" i="20"/>
  <c r="I11" i="20"/>
  <c r="H11" i="20"/>
  <c r="G11" i="20"/>
  <c r="J11" i="20" s="1"/>
  <c r="J10" i="20"/>
  <c r="I9" i="20"/>
  <c r="H9" i="20"/>
  <c r="G9" i="20"/>
  <c r="J9" i="20" s="1"/>
  <c r="J7" i="20"/>
  <c r="J6" i="20"/>
  <c r="J37" i="21"/>
  <c r="J32" i="21"/>
  <c r="J29" i="21"/>
  <c r="J26" i="21"/>
  <c r="J24" i="21"/>
  <c r="J12" i="21"/>
  <c r="J12" i="30" s="1"/>
  <c r="J6" i="21"/>
  <c r="J5" i="21" s="1"/>
  <c r="G6" i="21"/>
  <c r="H45" i="2"/>
  <c r="F44" i="2"/>
  <c r="H44" i="2" s="1"/>
  <c r="G43" i="2"/>
  <c r="G42" i="2" s="1"/>
  <c r="F43" i="2"/>
  <c r="G41" i="2"/>
  <c r="F41" i="2"/>
  <c r="H40" i="2"/>
  <c r="G39" i="2"/>
  <c r="F39" i="2"/>
  <c r="G38" i="2"/>
  <c r="F38" i="2"/>
  <c r="G37" i="2"/>
  <c r="F37" i="2"/>
  <c r="H33" i="2"/>
  <c r="H29" i="2"/>
  <c r="G28" i="2"/>
  <c r="F28" i="2"/>
  <c r="H28" i="2"/>
  <c r="H27" i="2"/>
  <c r="H26" i="2"/>
  <c r="G25" i="2"/>
  <c r="F25" i="2"/>
  <c r="H25" i="2" s="1"/>
  <c r="H24" i="2"/>
  <c r="G23" i="2"/>
  <c r="F23" i="2"/>
  <c r="H21" i="2"/>
  <c r="G20" i="2"/>
  <c r="F20" i="2"/>
  <c r="H19" i="2"/>
  <c r="H18" i="2"/>
  <c r="H17" i="2"/>
  <c r="H15" i="2"/>
  <c r="H14" i="2"/>
  <c r="H13" i="2"/>
  <c r="H12" i="2"/>
  <c r="G11" i="2"/>
  <c r="H10" i="2"/>
  <c r="G9" i="2"/>
  <c r="G8" i="2"/>
  <c r="G30" i="2" s="1"/>
  <c r="F9" i="2"/>
  <c r="H7" i="2"/>
  <c r="H6" i="2"/>
  <c r="H45" i="5"/>
  <c r="H44" i="5"/>
  <c r="G43" i="5"/>
  <c r="G42" i="5" s="1"/>
  <c r="F43" i="5"/>
  <c r="F42" i="5" s="1"/>
  <c r="G41" i="5"/>
  <c r="F41" i="5"/>
  <c r="H40" i="5"/>
  <c r="G39" i="5"/>
  <c r="F39" i="5"/>
  <c r="G38" i="5"/>
  <c r="F38" i="5"/>
  <c r="G37" i="5"/>
  <c r="F37" i="5"/>
  <c r="H33" i="5"/>
  <c r="H29" i="5"/>
  <c r="G28" i="5"/>
  <c r="F28" i="5"/>
  <c r="H28" i="5" s="1"/>
  <c r="H27" i="5"/>
  <c r="H26" i="5"/>
  <c r="G25" i="5"/>
  <c r="F25" i="5"/>
  <c r="H25" i="5" s="1"/>
  <c r="H24" i="5"/>
  <c r="G23" i="5"/>
  <c r="F23" i="5"/>
  <c r="H21" i="5"/>
  <c r="G20" i="5"/>
  <c r="F20" i="5"/>
  <c r="H19" i="5"/>
  <c r="H18" i="5"/>
  <c r="H17" i="5"/>
  <c r="H16" i="5"/>
  <c r="H15" i="5"/>
  <c r="H14" i="5"/>
  <c r="H13" i="5"/>
  <c r="H12" i="5"/>
  <c r="G11" i="5"/>
  <c r="H10" i="5"/>
  <c r="G9" i="5"/>
  <c r="F9" i="5"/>
  <c r="H7" i="5"/>
  <c r="H6" i="5"/>
  <c r="H45" i="7"/>
  <c r="H44" i="7"/>
  <c r="G43" i="7"/>
  <c r="G42" i="7" s="1"/>
  <c r="F43" i="7"/>
  <c r="G41" i="7"/>
  <c r="F41" i="7"/>
  <c r="H40" i="7"/>
  <c r="G39" i="7"/>
  <c r="F39" i="7"/>
  <c r="G38" i="7"/>
  <c r="F38" i="7"/>
  <c r="G37" i="7"/>
  <c r="F37" i="7"/>
  <c r="H33" i="7"/>
  <c r="H29" i="7"/>
  <c r="G28" i="7"/>
  <c r="F28" i="7"/>
  <c r="H27" i="7"/>
  <c r="H26" i="7"/>
  <c r="G25" i="7"/>
  <c r="F25" i="7"/>
  <c r="H24" i="7"/>
  <c r="G23" i="7"/>
  <c r="F23" i="7"/>
  <c r="H21" i="7"/>
  <c r="G20" i="7"/>
  <c r="F20" i="7"/>
  <c r="H20" i="7" s="1"/>
  <c r="H19" i="7"/>
  <c r="H18" i="7"/>
  <c r="H17" i="7"/>
  <c r="H16" i="7"/>
  <c r="H15" i="7"/>
  <c r="H14" i="7"/>
  <c r="H13" i="7"/>
  <c r="H12" i="7"/>
  <c r="G11" i="7"/>
  <c r="F11" i="7"/>
  <c r="H10" i="7"/>
  <c r="G9" i="7"/>
  <c r="F9" i="7"/>
  <c r="H7" i="7"/>
  <c r="H45" i="18"/>
  <c r="F44" i="18"/>
  <c r="H44" i="18" s="1"/>
  <c r="G43" i="18"/>
  <c r="G42" i="18" s="1"/>
  <c r="F43" i="18"/>
  <c r="F41" i="18"/>
  <c r="H41" i="18" s="1"/>
  <c r="H40" i="18"/>
  <c r="G39" i="18"/>
  <c r="F39" i="18"/>
  <c r="G38" i="18"/>
  <c r="F38" i="18"/>
  <c r="G37" i="18"/>
  <c r="F37" i="18"/>
  <c r="H33" i="18"/>
  <c r="H29" i="18"/>
  <c r="G28" i="18"/>
  <c r="F28" i="18"/>
  <c r="H28" i="18" s="1"/>
  <c r="H27" i="18"/>
  <c r="H26" i="18"/>
  <c r="G25" i="18"/>
  <c r="F25" i="18"/>
  <c r="H25" i="18"/>
  <c r="H24" i="18"/>
  <c r="G23" i="18"/>
  <c r="F23" i="18"/>
  <c r="H23" i="18"/>
  <c r="G22" i="18"/>
  <c r="H21" i="18"/>
  <c r="G20" i="18"/>
  <c r="H20" i="18"/>
  <c r="F20" i="18"/>
  <c r="H19" i="18"/>
  <c r="H18" i="18"/>
  <c r="H17" i="18"/>
  <c r="H15" i="18"/>
  <c r="H14" i="18"/>
  <c r="H13" i="18"/>
  <c r="H12" i="18"/>
  <c r="G11" i="18"/>
  <c r="H10" i="18"/>
  <c r="G9" i="18"/>
  <c r="F9" i="18"/>
  <c r="F8" i="18" s="1"/>
  <c r="H7" i="18"/>
  <c r="F6" i="18"/>
  <c r="H6" i="18" s="1"/>
  <c r="H45" i="14"/>
  <c r="F44" i="14"/>
  <c r="H44" i="14" s="1"/>
  <c r="G43" i="14"/>
  <c r="F43" i="14"/>
  <c r="F41" i="14"/>
  <c r="H41" i="14" s="1"/>
  <c r="H40" i="14"/>
  <c r="G39" i="14"/>
  <c r="F39" i="14"/>
  <c r="G38" i="14"/>
  <c r="F38" i="14"/>
  <c r="G37" i="14"/>
  <c r="F37" i="14"/>
  <c r="H33" i="14"/>
  <c r="H29" i="14"/>
  <c r="G28" i="14"/>
  <c r="F28" i="14"/>
  <c r="H28" i="14" s="1"/>
  <c r="H27" i="14"/>
  <c r="H26" i="14"/>
  <c r="G25" i="14"/>
  <c r="F25" i="14"/>
  <c r="H25" i="14" s="1"/>
  <c r="H24" i="14"/>
  <c r="G23" i="14"/>
  <c r="F23" i="14"/>
  <c r="H21" i="14"/>
  <c r="G20" i="14"/>
  <c r="F20" i="14"/>
  <c r="H20" i="14" s="1"/>
  <c r="H19" i="14"/>
  <c r="H18" i="14"/>
  <c r="H17" i="14"/>
  <c r="H16" i="14"/>
  <c r="H15" i="14"/>
  <c r="H14" i="14"/>
  <c r="H13" i="14"/>
  <c r="H12" i="14"/>
  <c r="G11" i="14"/>
  <c r="F11" i="14"/>
  <c r="H11" i="14" s="1"/>
  <c r="H10" i="14"/>
  <c r="H9" i="14"/>
  <c r="G9" i="14"/>
  <c r="F9" i="14"/>
  <c r="G8" i="14"/>
  <c r="H7" i="14"/>
  <c r="H6" i="14"/>
  <c r="H45" i="8"/>
  <c r="H44" i="8"/>
  <c r="G43" i="8"/>
  <c r="G42" i="8" s="1"/>
  <c r="F43" i="8"/>
  <c r="F42" i="8" s="1"/>
  <c r="F41" i="8"/>
  <c r="H41" i="8" s="1"/>
  <c r="H40" i="8"/>
  <c r="G39" i="8"/>
  <c r="G38" i="8"/>
  <c r="F38" i="8"/>
  <c r="G37" i="8"/>
  <c r="F37" i="8"/>
  <c r="H33" i="8"/>
  <c r="H29" i="8"/>
  <c r="G28" i="8"/>
  <c r="H28" i="8" s="1"/>
  <c r="F28" i="8"/>
  <c r="H27" i="8"/>
  <c r="H26" i="8"/>
  <c r="G25" i="8"/>
  <c r="F25" i="8"/>
  <c r="H24" i="8"/>
  <c r="G23" i="8"/>
  <c r="F23" i="8"/>
  <c r="H21" i="8"/>
  <c r="G20" i="8"/>
  <c r="F20" i="8"/>
  <c r="H19" i="8"/>
  <c r="H18" i="8"/>
  <c r="H17" i="8"/>
  <c r="H16" i="8"/>
  <c r="H15" i="8"/>
  <c r="H14" i="8"/>
  <c r="H13" i="8"/>
  <c r="H12" i="8"/>
  <c r="G11" i="8"/>
  <c r="F11" i="8"/>
  <c r="H11" i="8" s="1"/>
  <c r="H10" i="8"/>
  <c r="G9" i="8"/>
  <c r="F9" i="8"/>
  <c r="H9" i="8" s="1"/>
  <c r="H7" i="8"/>
  <c r="F45" i="37"/>
  <c r="H45" i="37" s="1"/>
  <c r="H44" i="37"/>
  <c r="G43" i="37"/>
  <c r="G42" i="37" s="1"/>
  <c r="F43" i="37"/>
  <c r="F41" i="37"/>
  <c r="H41" i="37" s="1"/>
  <c r="H40" i="37"/>
  <c r="G39" i="37"/>
  <c r="F39" i="37"/>
  <c r="G38" i="37"/>
  <c r="F38" i="37"/>
  <c r="G37" i="37"/>
  <c r="F37" i="37"/>
  <c r="H33" i="37"/>
  <c r="H29" i="37"/>
  <c r="G28" i="37"/>
  <c r="F28" i="37"/>
  <c r="H28" i="37" s="1"/>
  <c r="H27" i="37"/>
  <c r="H26" i="37"/>
  <c r="G25" i="37"/>
  <c r="F25" i="37"/>
  <c r="H25" i="37" s="1"/>
  <c r="H24" i="37"/>
  <c r="G23" i="37"/>
  <c r="G22" i="37" s="1"/>
  <c r="F23" i="37"/>
  <c r="H23" i="37" s="1"/>
  <c r="H21" i="37"/>
  <c r="G20" i="37"/>
  <c r="F20" i="37"/>
  <c r="H19" i="37"/>
  <c r="H18" i="37"/>
  <c r="H17" i="37"/>
  <c r="H16" i="37"/>
  <c r="H15" i="37"/>
  <c r="H14" i="37"/>
  <c r="H13" i="37"/>
  <c r="H12" i="37"/>
  <c r="G11" i="37"/>
  <c r="F11" i="37"/>
  <c r="H10" i="37"/>
  <c r="G9" i="37"/>
  <c r="F9" i="37"/>
  <c r="H7" i="37"/>
  <c r="H6" i="37"/>
  <c r="H45" i="12"/>
  <c r="G42" i="12"/>
  <c r="H40" i="12"/>
  <c r="G36" i="12"/>
  <c r="H33" i="12"/>
  <c r="H29" i="12"/>
  <c r="G28" i="12"/>
  <c r="F28" i="12"/>
  <c r="H28" i="12" s="1"/>
  <c r="H27" i="12"/>
  <c r="H26" i="12"/>
  <c r="G25" i="12"/>
  <c r="F25" i="12"/>
  <c r="H25" i="12" s="1"/>
  <c r="H24" i="12"/>
  <c r="G23" i="12"/>
  <c r="F23" i="12"/>
  <c r="H21" i="12"/>
  <c r="G20" i="12"/>
  <c r="F20" i="12"/>
  <c r="H20" i="12" s="1"/>
  <c r="H19" i="12"/>
  <c r="H18" i="12"/>
  <c r="H17" i="12"/>
  <c r="H16" i="12"/>
  <c r="H15" i="12"/>
  <c r="H14" i="12"/>
  <c r="H13" i="12"/>
  <c r="H12" i="12"/>
  <c r="G11" i="12"/>
  <c r="F11" i="12"/>
  <c r="H10" i="12"/>
  <c r="G9" i="12"/>
  <c r="G8" i="12"/>
  <c r="F9" i="12"/>
  <c r="H7" i="12"/>
  <c r="H218" i="3"/>
  <c r="F43" i="12" s="1"/>
  <c r="H43" i="12" s="1"/>
  <c r="H199" i="3"/>
  <c r="H184" i="3"/>
  <c r="H178" i="3"/>
  <c r="H171" i="3"/>
  <c r="H170" i="3" s="1"/>
  <c r="J26" i="30" s="1"/>
  <c r="H166" i="3"/>
  <c r="H163" i="3"/>
  <c r="H215" i="3"/>
  <c r="F38" i="12" s="1"/>
  <c r="H38" i="12" s="1"/>
  <c r="H214" i="3"/>
  <c r="F37" i="12" s="1"/>
  <c r="H37" i="12" s="1"/>
  <c r="F151" i="3"/>
  <c r="F150" i="3" s="1"/>
  <c r="F6" i="12" s="1"/>
  <c r="H6" i="12" s="1"/>
  <c r="H142" i="3"/>
  <c r="J40" i="30" s="1"/>
  <c r="H136" i="3"/>
  <c r="J39" i="30" s="1"/>
  <c r="H129" i="3"/>
  <c r="H128" i="3" s="1"/>
  <c r="H124" i="3"/>
  <c r="H119" i="3"/>
  <c r="H110" i="3"/>
  <c r="J36" i="30" s="1"/>
  <c r="F110" i="3"/>
  <c r="F109" i="3" s="1"/>
  <c r="F108" i="3" s="1"/>
  <c r="F6" i="8" s="1"/>
  <c r="H6" i="8" s="1"/>
  <c r="H103" i="3"/>
  <c r="J80" i="30" s="1"/>
  <c r="F102" i="3"/>
  <c r="H95" i="3"/>
  <c r="J35" i="30" s="1"/>
  <c r="H88" i="3"/>
  <c r="J34" i="30" s="1"/>
  <c r="F87" i="3"/>
  <c r="H81" i="3"/>
  <c r="H80" i="3" s="1"/>
  <c r="H72" i="3"/>
  <c r="H65" i="3"/>
  <c r="J33" i="30" s="1"/>
  <c r="H58" i="3"/>
  <c r="J32" i="30" s="1"/>
  <c r="H47" i="3"/>
  <c r="H41" i="3"/>
  <c r="F40" i="3"/>
  <c r="F39" i="3" s="1"/>
  <c r="F6" i="7" s="1"/>
  <c r="H6" i="7" s="1"/>
  <c r="H31" i="3"/>
  <c r="H25" i="3"/>
  <c r="H15" i="3"/>
  <c r="H8" i="3"/>
  <c r="I62" i="39"/>
  <c r="I60" i="39"/>
  <c r="I59" i="39"/>
  <c r="I58" i="39"/>
  <c r="I57" i="39"/>
  <c r="I56" i="39"/>
  <c r="I54" i="39"/>
  <c r="I53" i="39"/>
  <c r="I74" i="25"/>
  <c r="I71" i="25" s="1"/>
  <c r="I29" i="39"/>
  <c r="I28" i="39"/>
  <c r="I27" i="39"/>
  <c r="I26" i="39"/>
  <c r="I24" i="39"/>
  <c r="I22" i="39"/>
  <c r="I21" i="39"/>
  <c r="I20" i="39"/>
  <c r="I19" i="39"/>
  <c r="I17" i="39"/>
  <c r="I16" i="39"/>
  <c r="I8" i="39"/>
  <c r="I7" i="39"/>
  <c r="I6" i="39"/>
  <c r="I5" i="39"/>
  <c r="H16" i="18"/>
  <c r="F11" i="5"/>
  <c r="H11" i="5" s="1"/>
  <c r="H16" i="2"/>
  <c r="G28" i="10"/>
  <c r="G7" i="10"/>
  <c r="G22" i="2"/>
  <c r="H9" i="5"/>
  <c r="F22" i="7"/>
  <c r="F22" i="18"/>
  <c r="F22" i="37"/>
  <c r="H152" i="3"/>
  <c r="J22" i="30" s="1"/>
  <c r="I23" i="39"/>
  <c r="I25" i="39"/>
  <c r="I18" i="39"/>
  <c r="I55" i="39"/>
  <c r="B3" i="29"/>
  <c r="F11" i="21"/>
  <c r="F6" i="21" s="1"/>
  <c r="D80" i="10"/>
  <c r="E123" i="25"/>
  <c r="E121" i="25" s="1"/>
  <c r="E120" i="25" s="1"/>
  <c r="F59" i="30" s="1"/>
  <c r="D18" i="39"/>
  <c r="E18" i="39" s="1"/>
  <c r="E56" i="25"/>
  <c r="D25" i="39"/>
  <c r="E25" i="39" s="1"/>
  <c r="F25" i="39" s="1"/>
  <c r="E27" i="39"/>
  <c r="F27" i="39" s="1"/>
  <c r="E26" i="39"/>
  <c r="F26" i="39" s="1"/>
  <c r="E24" i="39"/>
  <c r="F24" i="39" s="1"/>
  <c r="D23" i="39"/>
  <c r="E23" i="39" s="1"/>
  <c r="F23" i="39" s="1"/>
  <c r="D22" i="39"/>
  <c r="E22" i="39" s="1"/>
  <c r="E52" i="39"/>
  <c r="F52" i="39" s="1"/>
  <c r="E13" i="39"/>
  <c r="F13" i="39" s="1"/>
  <c r="E12" i="39"/>
  <c r="F12" i="39" s="1"/>
  <c r="E16" i="39"/>
  <c r="F16" i="39" s="1"/>
  <c r="F15" i="39"/>
  <c r="F14" i="39"/>
  <c r="F62" i="39"/>
  <c r="F60" i="39"/>
  <c r="F59" i="39"/>
  <c r="F58" i="39"/>
  <c r="F57" i="39"/>
  <c r="F56" i="39"/>
  <c r="F54" i="39"/>
  <c r="F53" i="39"/>
  <c r="F29" i="39"/>
  <c r="F28" i="39"/>
  <c r="F21" i="39"/>
  <c r="F20" i="39"/>
  <c r="F19" i="39"/>
  <c r="F17" i="39"/>
  <c r="F11" i="39"/>
  <c r="F10" i="39"/>
  <c r="F8" i="39"/>
  <c r="F7" i="39"/>
  <c r="F6" i="39"/>
  <c r="F5" i="39"/>
  <c r="E220" i="25"/>
  <c r="E201" i="3"/>
  <c r="E200" i="3"/>
  <c r="E196" i="3"/>
  <c r="E195" i="3"/>
  <c r="E189" i="3"/>
  <c r="E188" i="3"/>
  <c r="E180" i="3"/>
  <c r="E179" i="3"/>
  <c r="E175" i="3"/>
  <c r="E174" i="3"/>
  <c r="E159" i="3"/>
  <c r="E158" i="3"/>
  <c r="E154" i="3"/>
  <c r="E153" i="3"/>
  <c r="E26" i="3"/>
  <c r="C37" i="5" s="1"/>
  <c r="E9" i="3"/>
  <c r="C37" i="2" s="1"/>
  <c r="E212" i="25"/>
  <c r="E210" i="25"/>
  <c r="E72" i="25"/>
  <c r="E206" i="25"/>
  <c r="E202" i="25"/>
  <c r="C11" i="10"/>
  <c r="F11" i="10" s="1"/>
  <c r="E47" i="25"/>
  <c r="C13" i="23" s="1"/>
  <c r="F13" i="23" s="1"/>
  <c r="C10" i="10"/>
  <c r="C9" i="10"/>
  <c r="C110" i="3"/>
  <c r="C109" i="3" s="1"/>
  <c r="C108" i="3" s="1"/>
  <c r="C6" i="8" s="1"/>
  <c r="E6" i="8" s="1"/>
  <c r="D55" i="39"/>
  <c r="E55" i="39" s="1"/>
  <c r="F55" i="39" s="1"/>
  <c r="E234" i="25"/>
  <c r="E37" i="23" s="1"/>
  <c r="E31" i="25"/>
  <c r="E30" i="25" s="1"/>
  <c r="E160" i="25"/>
  <c r="E239" i="25" s="1"/>
  <c r="E159" i="25"/>
  <c r="D8" i="23" s="1"/>
  <c r="E119" i="25"/>
  <c r="E85" i="25"/>
  <c r="E40" i="25"/>
  <c r="E19" i="25"/>
  <c r="E16" i="25" s="1"/>
  <c r="F8" i="30" s="1"/>
  <c r="E44" i="3"/>
  <c r="F29" i="21"/>
  <c r="F26" i="21"/>
  <c r="F24" i="21"/>
  <c r="F21" i="21" s="1"/>
  <c r="F23" i="21"/>
  <c r="D41" i="20" s="1"/>
  <c r="F37" i="21"/>
  <c r="F34" i="21"/>
  <c r="F91" i="30"/>
  <c r="F89" i="30" s="1"/>
  <c r="F9" i="21"/>
  <c r="C42" i="20" s="1"/>
  <c r="E202" i="3"/>
  <c r="E75" i="3"/>
  <c r="E72" i="3" s="1"/>
  <c r="E68" i="3"/>
  <c r="E65" i="3" s="1"/>
  <c r="F33" i="30" s="1"/>
  <c r="F32" i="21"/>
  <c r="E124" i="3"/>
  <c r="E121" i="3" s="1"/>
  <c r="E113" i="3"/>
  <c r="E110" i="3" s="1"/>
  <c r="E106" i="3"/>
  <c r="E103" i="3" s="1"/>
  <c r="E102" i="3" s="1"/>
  <c r="E99" i="3"/>
  <c r="E95" i="3" s="1"/>
  <c r="F35" i="30" s="1"/>
  <c r="E139" i="3"/>
  <c r="E136" i="3" s="1"/>
  <c r="F39" i="30" s="1"/>
  <c r="E11" i="3"/>
  <c r="E217" i="3"/>
  <c r="C41" i="12" s="1"/>
  <c r="E41" i="12" s="1"/>
  <c r="E218" i="3"/>
  <c r="C43" i="12" s="1"/>
  <c r="E219" i="3"/>
  <c r="E241" i="25"/>
  <c r="C102" i="3"/>
  <c r="C87" i="3"/>
  <c r="C44" i="14"/>
  <c r="E44" i="14" s="1"/>
  <c r="E223" i="25"/>
  <c r="F85" i="30" s="1"/>
  <c r="E9" i="39"/>
  <c r="D9" i="39"/>
  <c r="D49" i="39" s="1"/>
  <c r="C104" i="10"/>
  <c r="C33" i="10"/>
  <c r="F33" i="10" s="1"/>
  <c r="C32" i="10"/>
  <c r="F32" i="10" s="1"/>
  <c r="C30" i="10"/>
  <c r="C29" i="10"/>
  <c r="F29" i="10" s="1"/>
  <c r="C6" i="21"/>
  <c r="C20" i="30" s="1"/>
  <c r="E61" i="3"/>
  <c r="E74" i="25"/>
  <c r="E42" i="25"/>
  <c r="E11" i="25"/>
  <c r="E7" i="25" s="1"/>
  <c r="C151" i="3"/>
  <c r="C150" i="3" s="1"/>
  <c r="C6" i="12" s="1"/>
  <c r="E6" i="12" s="1"/>
  <c r="C40" i="3"/>
  <c r="C39" i="3" s="1"/>
  <c r="C6" i="7" s="1"/>
  <c r="E6" i="7" s="1"/>
  <c r="E119" i="3"/>
  <c r="E116" i="3" s="1"/>
  <c r="F37" i="30" s="1"/>
  <c r="E91" i="3"/>
  <c r="E88" i="3" s="1"/>
  <c r="F34" i="30" s="1"/>
  <c r="E28" i="3"/>
  <c r="E145" i="3"/>
  <c r="E142" i="3" s="1"/>
  <c r="F40" i="30" s="1"/>
  <c r="D23" i="23"/>
  <c r="C9" i="23"/>
  <c r="E216" i="25"/>
  <c r="E161" i="25"/>
  <c r="E77" i="25"/>
  <c r="C34" i="23"/>
  <c r="C33" i="23" s="1"/>
  <c r="C47" i="10"/>
  <c r="E46" i="25"/>
  <c r="E24" i="25"/>
  <c r="E44" i="25"/>
  <c r="E22" i="25"/>
  <c r="E14" i="25"/>
  <c r="E50" i="3"/>
  <c r="E47" i="3" s="1"/>
  <c r="C44" i="2"/>
  <c r="E44" i="2" s="1"/>
  <c r="E18" i="3"/>
  <c r="E15" i="3" s="1"/>
  <c r="E34" i="3"/>
  <c r="E31" i="3" s="1"/>
  <c r="E171" i="3"/>
  <c r="E170" i="3" s="1"/>
  <c r="F26" i="30" s="1"/>
  <c r="E181" i="3"/>
  <c r="E176" i="3"/>
  <c r="E197" i="3"/>
  <c r="E190" i="3"/>
  <c r="E184" i="3"/>
  <c r="E183" i="3" s="1"/>
  <c r="E164" i="3"/>
  <c r="E167" i="3"/>
  <c r="E166" i="3" s="1"/>
  <c r="E160" i="3"/>
  <c r="E155" i="3"/>
  <c r="E194" i="25"/>
  <c r="F87" i="30" s="1"/>
  <c r="E192" i="25"/>
  <c r="E190" i="25" s="1"/>
  <c r="F82" i="30" s="1"/>
  <c r="E185" i="25"/>
  <c r="E184" i="25" s="1"/>
  <c r="F83" i="30" s="1"/>
  <c r="C15" i="23"/>
  <c r="E109" i="25"/>
  <c r="E106" i="25" s="1"/>
  <c r="F55" i="30" s="1"/>
  <c r="E103" i="25"/>
  <c r="E102" i="25" s="1"/>
  <c r="F53" i="30" s="1"/>
  <c r="E101" i="25"/>
  <c r="E100" i="25" s="1"/>
  <c r="F52" i="30" s="1"/>
  <c r="E95" i="25"/>
  <c r="E94" i="25" s="1"/>
  <c r="F49" i="30" s="1"/>
  <c r="C11" i="23"/>
  <c r="D24" i="23"/>
  <c r="D43" i="14"/>
  <c r="D42" i="14" s="1"/>
  <c r="F99" i="10"/>
  <c r="F98" i="10"/>
  <c r="F97" i="10"/>
  <c r="F96" i="10" s="1"/>
  <c r="E198" i="25"/>
  <c r="F86" i="30" s="1"/>
  <c r="E186" i="25"/>
  <c r="F77" i="30" s="1"/>
  <c r="E180" i="25"/>
  <c r="F79" i="30" s="1"/>
  <c r="E173" i="25"/>
  <c r="F78" i="30" s="1"/>
  <c r="E155" i="25"/>
  <c r="F73" i="30" s="1"/>
  <c r="E153" i="25"/>
  <c r="F72" i="30" s="1"/>
  <c r="E151" i="25"/>
  <c r="F71" i="30" s="1"/>
  <c r="E145" i="25"/>
  <c r="F69" i="30" s="1"/>
  <c r="E143" i="25"/>
  <c r="F68" i="30" s="1"/>
  <c r="E140" i="25"/>
  <c r="F67" i="30" s="1"/>
  <c r="E137" i="25"/>
  <c r="F66" i="30" s="1"/>
  <c r="E134" i="25"/>
  <c r="F65" i="30" s="1"/>
  <c r="E132" i="25"/>
  <c r="F64" i="30" s="1"/>
  <c r="E130" i="25"/>
  <c r="F63" i="30" s="1"/>
  <c r="E128" i="25"/>
  <c r="F62" i="30" s="1"/>
  <c r="E126" i="25"/>
  <c r="F61" i="30" s="1"/>
  <c r="E124" i="25"/>
  <c r="F60" i="30" s="1"/>
  <c r="E115" i="25"/>
  <c r="F57" i="30" s="1"/>
  <c r="E110" i="25"/>
  <c r="F56" i="30" s="1"/>
  <c r="E104" i="25"/>
  <c r="F54" i="30" s="1"/>
  <c r="E98" i="25"/>
  <c r="F51" i="30" s="1"/>
  <c r="E96" i="25"/>
  <c r="F50" i="30" s="1"/>
  <c r="E92" i="25"/>
  <c r="F48" i="30" s="1"/>
  <c r="E90" i="25"/>
  <c r="F47" i="30" s="1"/>
  <c r="E86" i="25"/>
  <c r="F46" i="30" s="1"/>
  <c r="E82" i="25"/>
  <c r="F45" i="30" s="1"/>
  <c r="E79" i="25"/>
  <c r="F44" i="30" s="1"/>
  <c r="E76" i="25"/>
  <c r="F43" i="30" s="1"/>
  <c r="E67" i="25"/>
  <c r="F21" i="30" s="1"/>
  <c r="E63" i="25"/>
  <c r="F19" i="30" s="1"/>
  <c r="E59" i="25"/>
  <c r="E34" i="25"/>
  <c r="F14" i="30" s="1"/>
  <c r="E28" i="25"/>
  <c r="F11" i="30" s="1"/>
  <c r="E26" i="25"/>
  <c r="F10" i="30" s="1"/>
  <c r="D31" i="31"/>
  <c r="D28" i="31"/>
  <c r="D21" i="31"/>
  <c r="D18" i="31"/>
  <c r="D17" i="31" s="1"/>
  <c r="C13" i="31"/>
  <c r="C12" i="31" s="1"/>
  <c r="C7" i="31"/>
  <c r="C6" i="31" s="1"/>
  <c r="C5" i="31" s="1"/>
  <c r="C11" i="31" s="1"/>
  <c r="F12" i="21"/>
  <c r="F12" i="30"/>
  <c r="E163" i="3"/>
  <c r="F24" i="30" s="1"/>
  <c r="E129" i="3"/>
  <c r="E128" i="3" s="1"/>
  <c r="E81" i="3"/>
  <c r="E80" i="3" s="1"/>
  <c r="E58" i="3"/>
  <c r="F32" i="30" s="1"/>
  <c r="E41" i="3"/>
  <c r="E245" i="25"/>
  <c r="G50" i="38"/>
  <c r="D50" i="38"/>
  <c r="E191" i="19"/>
  <c r="D191" i="19"/>
  <c r="E190" i="19"/>
  <c r="D190" i="19"/>
  <c r="E189" i="19"/>
  <c r="D189" i="19"/>
  <c r="E188" i="19"/>
  <c r="D188" i="19"/>
  <c r="E187" i="19"/>
  <c r="D187" i="19"/>
  <c r="G186" i="19"/>
  <c r="E186" i="19" s="1"/>
  <c r="D186" i="19"/>
  <c r="E185" i="19"/>
  <c r="D185" i="19"/>
  <c r="E184" i="19"/>
  <c r="D184" i="19"/>
  <c r="E183" i="19"/>
  <c r="D183" i="19"/>
  <c r="E182" i="19"/>
  <c r="D182" i="19"/>
  <c r="E181" i="19"/>
  <c r="D181" i="19"/>
  <c r="U180" i="19"/>
  <c r="U192" i="19"/>
  <c r="T180" i="19"/>
  <c r="T192" i="19" s="1"/>
  <c r="S180" i="19"/>
  <c r="R180" i="19"/>
  <c r="Q180" i="19"/>
  <c r="Q192" i="19" s="1"/>
  <c r="P180" i="19"/>
  <c r="P192" i="19" s="1"/>
  <c r="O180" i="19"/>
  <c r="N180" i="19"/>
  <c r="M180" i="19"/>
  <c r="M192" i="19" s="1"/>
  <c r="L180" i="19"/>
  <c r="L192" i="19" s="1"/>
  <c r="K180" i="19"/>
  <c r="J180" i="19"/>
  <c r="I180" i="19"/>
  <c r="I192" i="19" s="1"/>
  <c r="H180" i="19"/>
  <c r="G180" i="19"/>
  <c r="F180" i="19"/>
  <c r="E179" i="19"/>
  <c r="E178" i="19"/>
  <c r="D179" i="19"/>
  <c r="D178" i="19"/>
  <c r="U178" i="19"/>
  <c r="T178" i="19"/>
  <c r="S178" i="19"/>
  <c r="R178" i="19"/>
  <c r="Q178" i="19"/>
  <c r="P178" i="19"/>
  <c r="O178" i="19"/>
  <c r="N178" i="19"/>
  <c r="N192" i="19" s="1"/>
  <c r="M178" i="19"/>
  <c r="L178" i="19"/>
  <c r="K178" i="19"/>
  <c r="J178" i="19"/>
  <c r="I178" i="19"/>
  <c r="H178" i="19"/>
  <c r="G178" i="19"/>
  <c r="F178" i="19"/>
  <c r="F192" i="19" s="1"/>
  <c r="U165" i="19"/>
  <c r="T165" i="19"/>
  <c r="S165" i="19"/>
  <c r="R165" i="19"/>
  <c r="Q165" i="19"/>
  <c r="P165" i="19"/>
  <c r="O165" i="19"/>
  <c r="N165" i="19"/>
  <c r="M165" i="19"/>
  <c r="L165" i="19"/>
  <c r="L166" i="19" s="1"/>
  <c r="K165" i="19"/>
  <c r="J165" i="19"/>
  <c r="I165" i="19"/>
  <c r="H165" i="19"/>
  <c r="F165" i="19"/>
  <c r="F166" i="19" s="1"/>
  <c r="G164" i="19"/>
  <c r="G165" i="19"/>
  <c r="D164" i="19"/>
  <c r="E163" i="19"/>
  <c r="D163" i="19"/>
  <c r="E162" i="19"/>
  <c r="D162" i="19"/>
  <c r="E161" i="19"/>
  <c r="D161" i="19"/>
  <c r="E160" i="19"/>
  <c r="D160" i="19"/>
  <c r="D165" i="19" s="1"/>
  <c r="T159" i="19"/>
  <c r="T166" i="19" s="1"/>
  <c r="S159" i="19"/>
  <c r="R159" i="19"/>
  <c r="R166" i="19" s="1"/>
  <c r="Q159" i="19"/>
  <c r="Q166" i="19" s="1"/>
  <c r="P159" i="19"/>
  <c r="N159" i="19"/>
  <c r="N166" i="19" s="1"/>
  <c r="M159" i="19"/>
  <c r="M166" i="19" s="1"/>
  <c r="L159" i="19"/>
  <c r="K159" i="19"/>
  <c r="J159" i="19"/>
  <c r="I159" i="19"/>
  <c r="I166" i="19" s="1"/>
  <c r="H159" i="19"/>
  <c r="F159" i="19"/>
  <c r="U158" i="19"/>
  <c r="U159" i="19" s="1"/>
  <c r="U166" i="19" s="1"/>
  <c r="O158" i="19"/>
  <c r="O159" i="19"/>
  <c r="D158" i="19"/>
  <c r="E157" i="19"/>
  <c r="D157" i="19"/>
  <c r="E156" i="19"/>
  <c r="D156" i="19"/>
  <c r="E155" i="19"/>
  <c r="D155" i="19"/>
  <c r="G154" i="19"/>
  <c r="G158" i="19" s="1"/>
  <c r="D154" i="19"/>
  <c r="E153" i="19"/>
  <c r="D153" i="19"/>
  <c r="E152" i="19"/>
  <c r="D152" i="19"/>
  <c r="E151" i="19"/>
  <c r="D151" i="19"/>
  <c r="U141" i="19"/>
  <c r="T141" i="19"/>
  <c r="S141" i="19"/>
  <c r="R141" i="19"/>
  <c r="Q141" i="19"/>
  <c r="P141" i="19"/>
  <c r="O141" i="19"/>
  <c r="N141" i="19"/>
  <c r="M141" i="19"/>
  <c r="L141" i="19"/>
  <c r="K141" i="19"/>
  <c r="J141" i="19"/>
  <c r="I141" i="19"/>
  <c r="H141" i="19"/>
  <c r="G141" i="19"/>
  <c r="F141" i="19"/>
  <c r="E140" i="19"/>
  <c r="D140" i="19"/>
  <c r="E139" i="19"/>
  <c r="D139" i="19"/>
  <c r="E138" i="19"/>
  <c r="D138" i="19"/>
  <c r="E137" i="19"/>
  <c r="D137" i="19"/>
  <c r="E136" i="19"/>
  <c r="D136" i="19"/>
  <c r="E135" i="19"/>
  <c r="D135" i="19"/>
  <c r="E134" i="19"/>
  <c r="D134" i="19"/>
  <c r="E133" i="19"/>
  <c r="D133" i="19"/>
  <c r="S131" i="19"/>
  <c r="M131" i="19"/>
  <c r="U126" i="19"/>
  <c r="T126" i="19"/>
  <c r="Q126" i="19"/>
  <c r="P126" i="19"/>
  <c r="O126" i="19"/>
  <c r="N126" i="19"/>
  <c r="G126" i="19"/>
  <c r="E126" i="19" s="1"/>
  <c r="F126" i="19"/>
  <c r="D126" i="19" s="1"/>
  <c r="U123" i="19"/>
  <c r="T123" i="19"/>
  <c r="Q123" i="19"/>
  <c r="P123" i="19"/>
  <c r="G123" i="19"/>
  <c r="F123" i="19"/>
  <c r="U118" i="19"/>
  <c r="T118" i="19"/>
  <c r="Q118" i="19"/>
  <c r="P118" i="19"/>
  <c r="G118" i="19"/>
  <c r="E118" i="19" s="1"/>
  <c r="F118" i="19"/>
  <c r="D118" i="19" s="1"/>
  <c r="U114" i="19"/>
  <c r="T114" i="19"/>
  <c r="Q114" i="19"/>
  <c r="P114" i="19"/>
  <c r="G114" i="19"/>
  <c r="F114" i="19"/>
  <c r="T111" i="19"/>
  <c r="R111" i="19"/>
  <c r="R131" i="19" s="1"/>
  <c r="P111" i="19"/>
  <c r="N111" i="19"/>
  <c r="N131" i="19" s="1"/>
  <c r="L111" i="19"/>
  <c r="L131" i="19" s="1"/>
  <c r="L132" i="19" s="1"/>
  <c r="K111" i="19"/>
  <c r="K131" i="19" s="1"/>
  <c r="J111" i="19"/>
  <c r="J131" i="19"/>
  <c r="I111" i="19"/>
  <c r="I131" i="19" s="1"/>
  <c r="H111" i="19"/>
  <c r="H131" i="19" s="1"/>
  <c r="F111" i="19"/>
  <c r="S110" i="19"/>
  <c r="R110" i="19"/>
  <c r="M110" i="19"/>
  <c r="L110" i="19"/>
  <c r="K110" i="19"/>
  <c r="J110" i="19"/>
  <c r="I110" i="19"/>
  <c r="H110" i="19"/>
  <c r="E109" i="19"/>
  <c r="D109" i="19"/>
  <c r="U106" i="19"/>
  <c r="U110" i="19" s="1"/>
  <c r="T106" i="19"/>
  <c r="T110" i="19" s="1"/>
  <c r="Q106" i="19"/>
  <c r="Q110" i="19"/>
  <c r="P106" i="19"/>
  <c r="P110" i="19" s="1"/>
  <c r="O106" i="19"/>
  <c r="O110" i="19"/>
  <c r="N106" i="19"/>
  <c r="N110" i="19" s="1"/>
  <c r="G106" i="19"/>
  <c r="F106" i="19"/>
  <c r="F110" i="19" s="1"/>
  <c r="S105" i="19"/>
  <c r="R105" i="19"/>
  <c r="M105" i="19"/>
  <c r="L105" i="19"/>
  <c r="K105" i="19"/>
  <c r="J105" i="19"/>
  <c r="I105" i="19"/>
  <c r="H105" i="19"/>
  <c r="U104" i="19"/>
  <c r="U100" i="19"/>
  <c r="T100" i="19"/>
  <c r="Q100" i="19"/>
  <c r="P100" i="19"/>
  <c r="O100" i="19"/>
  <c r="N100" i="19"/>
  <c r="G100" i="19"/>
  <c r="F100" i="19"/>
  <c r="U96" i="19"/>
  <c r="T96" i="19"/>
  <c r="P96" i="19"/>
  <c r="O96" i="19"/>
  <c r="N96" i="19"/>
  <c r="G96" i="19"/>
  <c r="F96" i="19"/>
  <c r="D96" i="19" s="1"/>
  <c r="U93" i="19"/>
  <c r="E93" i="19" s="1"/>
  <c r="T93" i="19"/>
  <c r="P93" i="19"/>
  <c r="O93" i="19"/>
  <c r="O105" i="19" s="1"/>
  <c r="N93" i="19"/>
  <c r="G93" i="19"/>
  <c r="F93" i="19"/>
  <c r="Q92" i="19"/>
  <c r="Q105" i="19" s="1"/>
  <c r="O92" i="19"/>
  <c r="D92" i="19"/>
  <c r="U89" i="19"/>
  <c r="T89" i="19"/>
  <c r="Q89" i="19"/>
  <c r="P89" i="19"/>
  <c r="N89" i="19"/>
  <c r="G89" i="19"/>
  <c r="F89" i="19"/>
  <c r="E88" i="19"/>
  <c r="D88" i="19"/>
  <c r="U84" i="19"/>
  <c r="T84" i="19"/>
  <c r="T105" i="19" s="1"/>
  <c r="Q84" i="19"/>
  <c r="P84" i="19"/>
  <c r="N84" i="19"/>
  <c r="G84" i="19"/>
  <c r="E84" i="19" s="1"/>
  <c r="F84" i="19"/>
  <c r="S83" i="19"/>
  <c r="R83" i="19"/>
  <c r="R132" i="19" s="1"/>
  <c r="O83" i="19"/>
  <c r="M83" i="19"/>
  <c r="L83" i="19"/>
  <c r="K83" i="19"/>
  <c r="J83" i="19"/>
  <c r="I83" i="19"/>
  <c r="H83" i="19"/>
  <c r="U80" i="19"/>
  <c r="T80" i="19"/>
  <c r="Q80" i="19"/>
  <c r="P80" i="19"/>
  <c r="O80" i="19"/>
  <c r="E80" i="19" s="1"/>
  <c r="N80" i="19"/>
  <c r="G80" i="19"/>
  <c r="F80" i="19"/>
  <c r="U73" i="19"/>
  <c r="U83" i="19" s="1"/>
  <c r="T73" i="19"/>
  <c r="Q73" i="19"/>
  <c r="Q83" i="19" s="1"/>
  <c r="P73" i="19"/>
  <c r="P83" i="19"/>
  <c r="N73" i="19"/>
  <c r="G73" i="19"/>
  <c r="F73" i="19"/>
  <c r="S72" i="19"/>
  <c r="S132" i="19" s="1"/>
  <c r="R72" i="19"/>
  <c r="Q72" i="19"/>
  <c r="M72" i="19"/>
  <c r="M132" i="19" s="1"/>
  <c r="L72" i="19"/>
  <c r="K72" i="19"/>
  <c r="J72" i="19"/>
  <c r="I72" i="19"/>
  <c r="H72" i="19"/>
  <c r="H132" i="19" s="1"/>
  <c r="Q69" i="19"/>
  <c r="P69" i="19"/>
  <c r="D69" i="19" s="1"/>
  <c r="G69" i="19"/>
  <c r="F69" i="19"/>
  <c r="U62" i="19"/>
  <c r="T62" i="19"/>
  <c r="Q62" i="19"/>
  <c r="P62" i="19"/>
  <c r="O62" i="19"/>
  <c r="O72" i="19" s="1"/>
  <c r="N62" i="19"/>
  <c r="N72" i="19"/>
  <c r="G62" i="19"/>
  <c r="F62" i="19"/>
  <c r="D62" i="19" s="1"/>
  <c r="U55" i="19"/>
  <c r="T55" i="19"/>
  <c r="T72" i="19"/>
  <c r="P55" i="19"/>
  <c r="G55" i="19"/>
  <c r="F55" i="19"/>
  <c r="T45" i="19"/>
  <c r="S45" i="19"/>
  <c r="R45" i="19"/>
  <c r="P45" i="19"/>
  <c r="N45" i="19"/>
  <c r="L45" i="19"/>
  <c r="J45" i="19"/>
  <c r="H45" i="19"/>
  <c r="F45" i="19"/>
  <c r="U44" i="19"/>
  <c r="Q44" i="19"/>
  <c r="O44" i="19"/>
  <c r="M44" i="19"/>
  <c r="K44" i="19"/>
  <c r="I44" i="19"/>
  <c r="G44" i="19"/>
  <c r="D44" i="19"/>
  <c r="E43" i="19"/>
  <c r="D43" i="19"/>
  <c r="K42" i="19"/>
  <c r="K45" i="19"/>
  <c r="I42" i="19"/>
  <c r="D42" i="19"/>
  <c r="U41" i="19"/>
  <c r="Q41" i="19"/>
  <c r="O41" i="19"/>
  <c r="K41" i="19"/>
  <c r="I41" i="19"/>
  <c r="D41" i="19"/>
  <c r="D45" i="19" s="1"/>
  <c r="T39" i="19"/>
  <c r="S39" i="19"/>
  <c r="R39" i="19"/>
  <c r="Q39" i="19"/>
  <c r="P39" i="19"/>
  <c r="O39" i="19"/>
  <c r="K39" i="19"/>
  <c r="J39" i="19"/>
  <c r="I39" i="19"/>
  <c r="H39" i="19"/>
  <c r="U36" i="19"/>
  <c r="U42" i="19" s="1"/>
  <c r="U39" i="19"/>
  <c r="M36" i="19"/>
  <c r="M42" i="19" s="1"/>
  <c r="L36" i="19"/>
  <c r="G36" i="19"/>
  <c r="F36" i="19"/>
  <c r="D36" i="19" s="1"/>
  <c r="G35" i="19"/>
  <c r="N34" i="19"/>
  <c r="N39" i="19"/>
  <c r="M34" i="19"/>
  <c r="M41" i="19" s="1"/>
  <c r="L34" i="19"/>
  <c r="G34" i="19"/>
  <c r="F34" i="19"/>
  <c r="G31" i="19"/>
  <c r="F31" i="19"/>
  <c r="U30" i="19"/>
  <c r="T30" i="19"/>
  <c r="S30" i="19"/>
  <c r="S40" i="19"/>
  <c r="S46" i="19"/>
  <c r="R30" i="19"/>
  <c r="M30" i="19"/>
  <c r="L30" i="19"/>
  <c r="K30" i="19"/>
  <c r="K40" i="19" s="1"/>
  <c r="I30" i="19"/>
  <c r="I40" i="19" s="1"/>
  <c r="H30" i="19"/>
  <c r="H40" i="19"/>
  <c r="H46" i="19" s="1"/>
  <c r="P28" i="19"/>
  <c r="G28" i="19"/>
  <c r="E28" i="19"/>
  <c r="F28" i="19"/>
  <c r="D28" i="19" s="1"/>
  <c r="G27" i="19"/>
  <c r="G26" i="19" s="1"/>
  <c r="E26" i="19" s="1"/>
  <c r="P26" i="19"/>
  <c r="D26" i="19"/>
  <c r="P24" i="19"/>
  <c r="G24" i="19"/>
  <c r="E24" i="19" s="1"/>
  <c r="F24" i="19"/>
  <c r="D24" i="19"/>
  <c r="Q21" i="19"/>
  <c r="P21" i="19"/>
  <c r="O21" i="19"/>
  <c r="G21" i="19"/>
  <c r="E21" i="19" s="1"/>
  <c r="D21" i="19"/>
  <c r="E20" i="19"/>
  <c r="D20" i="19"/>
  <c r="E19" i="19"/>
  <c r="D19" i="19"/>
  <c r="Q16" i="19"/>
  <c r="Q30" i="19" s="1"/>
  <c r="P16" i="19"/>
  <c r="P30" i="19" s="1"/>
  <c r="O16" i="19"/>
  <c r="N16" i="19"/>
  <c r="N30" i="19" s="1"/>
  <c r="G16" i="19"/>
  <c r="E16" i="19"/>
  <c r="F16" i="19"/>
  <c r="E14" i="19"/>
  <c r="D14" i="19"/>
  <c r="E13" i="19"/>
  <c r="D13" i="19"/>
  <c r="P10" i="19"/>
  <c r="J10" i="19"/>
  <c r="J30" i="19" s="1"/>
  <c r="G10" i="19"/>
  <c r="E9" i="19"/>
  <c r="D9" i="19"/>
  <c r="E8" i="19"/>
  <c r="D8" i="19"/>
  <c r="E6" i="19"/>
  <c r="D6" i="19"/>
  <c r="E227" i="9"/>
  <c r="D227" i="9"/>
  <c r="E226" i="9"/>
  <c r="D226" i="9"/>
  <c r="E225" i="9"/>
  <c r="D225" i="9"/>
  <c r="E224" i="9"/>
  <c r="D224" i="9"/>
  <c r="E223" i="9"/>
  <c r="D223" i="9"/>
  <c r="O222" i="9"/>
  <c r="K222" i="9"/>
  <c r="K216" i="9"/>
  <c r="K228" i="9" s="1"/>
  <c r="I222" i="9"/>
  <c r="I216" i="9" s="1"/>
  <c r="I228" i="9" s="1"/>
  <c r="G222" i="9"/>
  <c r="D222" i="9"/>
  <c r="E221" i="9"/>
  <c r="D221" i="9"/>
  <c r="E220" i="9"/>
  <c r="D220" i="9"/>
  <c r="E219" i="9"/>
  <c r="D219" i="9"/>
  <c r="E218" i="9"/>
  <c r="D218" i="9"/>
  <c r="E217" i="9"/>
  <c r="D217" i="9"/>
  <c r="S216" i="9"/>
  <c r="S228" i="9"/>
  <c r="R216" i="9"/>
  <c r="R228" i="9" s="1"/>
  <c r="Q216" i="9"/>
  <c r="Q228" i="9" s="1"/>
  <c r="P216" i="9"/>
  <c r="P228" i="9"/>
  <c r="O216" i="9"/>
  <c r="O228" i="9" s="1"/>
  <c r="N216" i="9"/>
  <c r="N228" i="9"/>
  <c r="M216" i="9"/>
  <c r="M228" i="9" s="1"/>
  <c r="L216" i="9"/>
  <c r="L228" i="9"/>
  <c r="J216" i="9"/>
  <c r="J228" i="9" s="1"/>
  <c r="H216" i="9"/>
  <c r="H228" i="9" s="1"/>
  <c r="F216" i="9"/>
  <c r="F228" i="9"/>
  <c r="R203" i="9"/>
  <c r="P203" i="9"/>
  <c r="P204" i="9" s="1"/>
  <c r="O203" i="9"/>
  <c r="N203" i="9"/>
  <c r="M203" i="9"/>
  <c r="L203" i="9"/>
  <c r="K203" i="9"/>
  <c r="J203" i="9"/>
  <c r="H203" i="9"/>
  <c r="F203" i="9"/>
  <c r="F204" i="9" s="1"/>
  <c r="I202" i="9"/>
  <c r="I203" i="9"/>
  <c r="G202" i="9"/>
  <c r="G203" i="9" s="1"/>
  <c r="D202" i="9"/>
  <c r="E201" i="9"/>
  <c r="D201" i="9"/>
  <c r="E200" i="9"/>
  <c r="D200" i="9"/>
  <c r="E199" i="9"/>
  <c r="D199" i="9"/>
  <c r="E198" i="9"/>
  <c r="D198" i="9"/>
  <c r="D203" i="9" s="1"/>
  <c r="R197" i="9"/>
  <c r="P197" i="9"/>
  <c r="N197" i="9"/>
  <c r="L197" i="9"/>
  <c r="L204" i="9" s="1"/>
  <c r="K197" i="9"/>
  <c r="K204" i="9" s="1"/>
  <c r="J197" i="9"/>
  <c r="J204" i="9" s="1"/>
  <c r="H197" i="9"/>
  <c r="F197" i="9"/>
  <c r="O196" i="9"/>
  <c r="O197" i="9" s="1"/>
  <c r="O204" i="9" s="1"/>
  <c r="M196" i="9"/>
  <c r="M197" i="9"/>
  <c r="M204" i="9" s="1"/>
  <c r="I196" i="9"/>
  <c r="I197" i="9" s="1"/>
  <c r="I204" i="9" s="1"/>
  <c r="G196" i="9"/>
  <c r="G197" i="9" s="1"/>
  <c r="D196" i="9"/>
  <c r="E195" i="9"/>
  <c r="D195" i="9"/>
  <c r="E194" i="9"/>
  <c r="D194" i="9"/>
  <c r="E193" i="9"/>
  <c r="D193" i="9"/>
  <c r="E192" i="9"/>
  <c r="D192" i="9"/>
  <c r="E191" i="9"/>
  <c r="D191" i="9"/>
  <c r="E190" i="9"/>
  <c r="D190" i="9"/>
  <c r="E189" i="9"/>
  <c r="D189" i="9"/>
  <c r="R173" i="9"/>
  <c r="P173" i="9"/>
  <c r="O173" i="9"/>
  <c r="N173" i="9"/>
  <c r="M173" i="9"/>
  <c r="L173" i="9"/>
  <c r="K173" i="9"/>
  <c r="J173" i="9"/>
  <c r="I173" i="9"/>
  <c r="H173" i="9"/>
  <c r="G173" i="9"/>
  <c r="E173" i="9" s="1"/>
  <c r="F173" i="9"/>
  <c r="D173" i="9" s="1"/>
  <c r="R170" i="9"/>
  <c r="P170" i="9"/>
  <c r="O170" i="9"/>
  <c r="N170" i="9"/>
  <c r="M170" i="9"/>
  <c r="L170" i="9"/>
  <c r="K170" i="9"/>
  <c r="J170" i="9"/>
  <c r="I170" i="9"/>
  <c r="H170" i="9"/>
  <c r="G170" i="9"/>
  <c r="F170" i="9"/>
  <c r="D170" i="9" s="1"/>
  <c r="R165" i="9"/>
  <c r="P165" i="9"/>
  <c r="O165" i="9"/>
  <c r="N165" i="9"/>
  <c r="M165" i="9"/>
  <c r="L165" i="9"/>
  <c r="K165" i="9"/>
  <c r="J165" i="9"/>
  <c r="I165" i="9"/>
  <c r="H165" i="9"/>
  <c r="G165" i="9"/>
  <c r="E165" i="9" s="1"/>
  <c r="F165" i="9"/>
  <c r="R161" i="9"/>
  <c r="P161" i="9"/>
  <c r="O161" i="9"/>
  <c r="N161" i="9"/>
  <c r="M161" i="9"/>
  <c r="M178" i="9" s="1"/>
  <c r="L161" i="9"/>
  <c r="K161" i="9"/>
  <c r="J161" i="9"/>
  <c r="I161" i="9"/>
  <c r="H161" i="9"/>
  <c r="G161" i="9"/>
  <c r="F161" i="9"/>
  <c r="R158" i="9"/>
  <c r="R178" i="9" s="1"/>
  <c r="Q158" i="9"/>
  <c r="Q178" i="9"/>
  <c r="P158" i="9"/>
  <c r="N158" i="9"/>
  <c r="L158" i="9"/>
  <c r="J158" i="9"/>
  <c r="H158" i="9"/>
  <c r="F158" i="9"/>
  <c r="E156" i="9"/>
  <c r="D156" i="9"/>
  <c r="R153" i="9"/>
  <c r="R157" i="9" s="1"/>
  <c r="Q153" i="9"/>
  <c r="Q157" i="9" s="1"/>
  <c r="P153" i="9"/>
  <c r="P157" i="9" s="1"/>
  <c r="O153" i="9"/>
  <c r="O157" i="9"/>
  <c r="N153" i="9"/>
  <c r="N157" i="9" s="1"/>
  <c r="M153" i="9"/>
  <c r="M157" i="9"/>
  <c r="L153" i="9"/>
  <c r="L157" i="9" s="1"/>
  <c r="K153" i="9"/>
  <c r="K157" i="9"/>
  <c r="J153" i="9"/>
  <c r="J157" i="9" s="1"/>
  <c r="I153" i="9"/>
  <c r="I157" i="9" s="1"/>
  <c r="H153" i="9"/>
  <c r="H157" i="9"/>
  <c r="G153" i="9"/>
  <c r="F153" i="9"/>
  <c r="F157" i="9" s="1"/>
  <c r="R147" i="9"/>
  <c r="Q147" i="9"/>
  <c r="P147" i="9"/>
  <c r="O147" i="9"/>
  <c r="N147" i="9"/>
  <c r="M147" i="9"/>
  <c r="L147" i="9"/>
  <c r="K147" i="9"/>
  <c r="J147" i="9"/>
  <c r="I147" i="9"/>
  <c r="H147" i="9"/>
  <c r="G147" i="9"/>
  <c r="E147" i="9" s="1"/>
  <c r="F147" i="9"/>
  <c r="R143" i="9"/>
  <c r="Q143" i="9"/>
  <c r="P143" i="9"/>
  <c r="O143" i="9"/>
  <c r="N143" i="9"/>
  <c r="M143" i="9"/>
  <c r="L143" i="9"/>
  <c r="K143" i="9"/>
  <c r="J143" i="9"/>
  <c r="I143" i="9"/>
  <c r="H143" i="9"/>
  <c r="G143" i="9"/>
  <c r="F143" i="9"/>
  <c r="R140" i="9"/>
  <c r="P140" i="9"/>
  <c r="N140" i="9"/>
  <c r="M140" i="9"/>
  <c r="L140" i="9"/>
  <c r="K140" i="9"/>
  <c r="J140" i="9"/>
  <c r="I140" i="9"/>
  <c r="H140" i="9"/>
  <c r="G140" i="9"/>
  <c r="F140" i="9"/>
  <c r="E139" i="9"/>
  <c r="D139" i="9"/>
  <c r="R136" i="9"/>
  <c r="P136" i="9"/>
  <c r="O136" i="9"/>
  <c r="N136" i="9"/>
  <c r="M136" i="9"/>
  <c r="L136" i="9"/>
  <c r="K136" i="9"/>
  <c r="J136" i="9"/>
  <c r="I136" i="9"/>
  <c r="H136" i="9"/>
  <c r="G136" i="9"/>
  <c r="E136" i="9" s="1"/>
  <c r="F136" i="9"/>
  <c r="R134" i="9"/>
  <c r="P134" i="9"/>
  <c r="O134" i="9"/>
  <c r="N134" i="9"/>
  <c r="L134" i="9"/>
  <c r="K134" i="9"/>
  <c r="J134" i="9"/>
  <c r="D134" i="9" s="1"/>
  <c r="I134" i="9"/>
  <c r="G134" i="9"/>
  <c r="R130" i="9"/>
  <c r="R152" i="9" s="1"/>
  <c r="P130" i="9"/>
  <c r="O130" i="9"/>
  <c r="N130" i="9"/>
  <c r="M130" i="9"/>
  <c r="L130" i="9"/>
  <c r="K130" i="9"/>
  <c r="K152" i="9"/>
  <c r="J130" i="9"/>
  <c r="I130" i="9"/>
  <c r="I152" i="9"/>
  <c r="H130" i="9"/>
  <c r="G130" i="9"/>
  <c r="F130" i="9"/>
  <c r="Q129" i="9"/>
  <c r="R126" i="9"/>
  <c r="R129" i="9" s="1"/>
  <c r="R179" i="9" s="1"/>
  <c r="P126" i="9"/>
  <c r="O126" i="9"/>
  <c r="N126" i="9"/>
  <c r="M126" i="9"/>
  <c r="M129" i="9" s="1"/>
  <c r="L126" i="9"/>
  <c r="K126" i="9"/>
  <c r="K129" i="9"/>
  <c r="J126" i="9"/>
  <c r="J129" i="9" s="1"/>
  <c r="I126" i="9"/>
  <c r="H126" i="9"/>
  <c r="G126" i="9"/>
  <c r="E126" i="9"/>
  <c r="F126" i="9"/>
  <c r="R119" i="9"/>
  <c r="P119" i="9"/>
  <c r="O119" i="9"/>
  <c r="O129" i="9" s="1"/>
  <c r="N119" i="9"/>
  <c r="N129" i="9" s="1"/>
  <c r="M119" i="9"/>
  <c r="L119" i="9"/>
  <c r="K119" i="9"/>
  <c r="J119" i="9"/>
  <c r="I119" i="9"/>
  <c r="I129" i="9" s="1"/>
  <c r="H119" i="9"/>
  <c r="G119" i="9"/>
  <c r="F119" i="9"/>
  <c r="F129" i="9" s="1"/>
  <c r="Q118" i="9"/>
  <c r="R115" i="9"/>
  <c r="P115" i="9"/>
  <c r="O115" i="9"/>
  <c r="N115" i="9"/>
  <c r="M115" i="9"/>
  <c r="L115" i="9"/>
  <c r="K115" i="9"/>
  <c r="J115" i="9"/>
  <c r="I115" i="9"/>
  <c r="H115" i="9"/>
  <c r="G115" i="9"/>
  <c r="F115" i="9"/>
  <c r="D115" i="9" s="1"/>
  <c r="R108" i="9"/>
  <c r="P108" i="9"/>
  <c r="O108" i="9"/>
  <c r="N108" i="9"/>
  <c r="M108" i="9"/>
  <c r="L108" i="9"/>
  <c r="K108" i="9"/>
  <c r="J108" i="9"/>
  <c r="I108" i="9"/>
  <c r="H108" i="9"/>
  <c r="G108" i="9"/>
  <c r="E108" i="9" s="1"/>
  <c r="F108" i="9"/>
  <c r="R101" i="9"/>
  <c r="P101" i="9"/>
  <c r="P118" i="9"/>
  <c r="O101" i="9"/>
  <c r="N101" i="9"/>
  <c r="M101" i="9"/>
  <c r="M118" i="9" s="1"/>
  <c r="L101" i="9"/>
  <c r="L118" i="9" s="1"/>
  <c r="K101" i="9"/>
  <c r="J101" i="9"/>
  <c r="J118" i="9" s="1"/>
  <c r="I101" i="9"/>
  <c r="I118" i="9" s="1"/>
  <c r="H101" i="9"/>
  <c r="G101" i="9"/>
  <c r="F101" i="9"/>
  <c r="R91" i="9"/>
  <c r="Q91" i="9"/>
  <c r="P91" i="9"/>
  <c r="O91" i="9"/>
  <c r="N91" i="9"/>
  <c r="L91" i="9"/>
  <c r="J91" i="9"/>
  <c r="F91" i="9"/>
  <c r="M90" i="9"/>
  <c r="K90" i="9"/>
  <c r="I90" i="9"/>
  <c r="G90" i="9"/>
  <c r="D90" i="9"/>
  <c r="E89" i="9"/>
  <c r="D89" i="9"/>
  <c r="D88" i="9"/>
  <c r="O85" i="9"/>
  <c r="K85" i="9"/>
  <c r="J85" i="9"/>
  <c r="R83" i="9"/>
  <c r="Q83" i="9"/>
  <c r="Q85" i="9" s="1"/>
  <c r="P83" i="9"/>
  <c r="N83" i="9"/>
  <c r="M83" i="9"/>
  <c r="L83" i="9"/>
  <c r="I83" i="9"/>
  <c r="H83" i="9"/>
  <c r="G83" i="9"/>
  <c r="F83" i="9"/>
  <c r="R81" i="9"/>
  <c r="R85" i="9" s="1"/>
  <c r="P81" i="9"/>
  <c r="N81" i="9"/>
  <c r="M81" i="9"/>
  <c r="M85" i="9" s="1"/>
  <c r="L81" i="9"/>
  <c r="I81" i="9"/>
  <c r="H81" i="9"/>
  <c r="G81" i="9"/>
  <c r="F81" i="9"/>
  <c r="E80" i="9"/>
  <c r="D80" i="9"/>
  <c r="Q79" i="9"/>
  <c r="D76" i="9"/>
  <c r="F74" i="9"/>
  <c r="D74" i="9" s="1"/>
  <c r="E73" i="9"/>
  <c r="D73" i="9"/>
  <c r="M70" i="9"/>
  <c r="I70" i="9"/>
  <c r="G70" i="9"/>
  <c r="D70" i="9"/>
  <c r="E69" i="9"/>
  <c r="D69" i="9"/>
  <c r="E68" i="9"/>
  <c r="D68" i="9"/>
  <c r="R66" i="9"/>
  <c r="P66" i="9"/>
  <c r="N66" i="9"/>
  <c r="M66" i="9"/>
  <c r="L66" i="9"/>
  <c r="K66" i="9"/>
  <c r="K88" i="9" s="1"/>
  <c r="J66" i="9"/>
  <c r="I66" i="9"/>
  <c r="H66" i="9"/>
  <c r="G66" i="9"/>
  <c r="G88" i="9"/>
  <c r="F66" i="9"/>
  <c r="R61" i="9"/>
  <c r="P61" i="9"/>
  <c r="D61" i="9"/>
  <c r="N61" i="9"/>
  <c r="M61" i="9"/>
  <c r="L61" i="9"/>
  <c r="I61" i="9"/>
  <c r="E61" i="9" s="1"/>
  <c r="G61" i="9"/>
  <c r="E60" i="9"/>
  <c r="D60" i="9"/>
  <c r="R57" i="9"/>
  <c r="P57" i="9"/>
  <c r="O57" i="9"/>
  <c r="O79" i="9"/>
  <c r="O86" i="9" s="1"/>
  <c r="O92" i="9" s="1"/>
  <c r="N57" i="9"/>
  <c r="M57" i="9"/>
  <c r="L57" i="9"/>
  <c r="K57" i="9"/>
  <c r="K87" i="9" s="1"/>
  <c r="K91" i="9" s="1"/>
  <c r="K79" i="9"/>
  <c r="J57" i="9"/>
  <c r="I57" i="9"/>
  <c r="H57" i="9"/>
  <c r="H79" i="9" s="1"/>
  <c r="G57" i="9"/>
  <c r="F57" i="9"/>
  <c r="E56" i="9"/>
  <c r="D56" i="9"/>
  <c r="E55" i="9"/>
  <c r="D55" i="9"/>
  <c r="M54" i="9"/>
  <c r="M6" i="9" s="1"/>
  <c r="I26" i="9"/>
  <c r="I6" i="9" s="1"/>
  <c r="G6" i="9"/>
  <c r="D6" i="9"/>
  <c r="F180" i="6"/>
  <c r="E179" i="6"/>
  <c r="D179" i="6"/>
  <c r="E178" i="6"/>
  <c r="D178" i="6"/>
  <c r="E177" i="6"/>
  <c r="D177" i="6"/>
  <c r="E176" i="6"/>
  <c r="D176" i="6"/>
  <c r="E175" i="6"/>
  <c r="D175" i="6"/>
  <c r="I174" i="6"/>
  <c r="I168" i="6" s="1"/>
  <c r="I180" i="6" s="1"/>
  <c r="G174" i="6"/>
  <c r="D174" i="6"/>
  <c r="E173" i="6"/>
  <c r="D173" i="6"/>
  <c r="E172" i="6"/>
  <c r="D172" i="6"/>
  <c r="E171" i="6"/>
  <c r="D171" i="6"/>
  <c r="E170" i="6"/>
  <c r="D170" i="6"/>
  <c r="E169" i="6"/>
  <c r="D169" i="6"/>
  <c r="H168" i="6"/>
  <c r="H180" i="6" s="1"/>
  <c r="F168" i="6"/>
  <c r="H155" i="6"/>
  <c r="H156" i="6" s="1"/>
  <c r="F155" i="6"/>
  <c r="I154" i="6"/>
  <c r="I155" i="6"/>
  <c r="G154" i="6"/>
  <c r="D154" i="6"/>
  <c r="E153" i="6"/>
  <c r="D153" i="6"/>
  <c r="E152" i="6"/>
  <c r="D152" i="6"/>
  <c r="E151" i="6"/>
  <c r="D151" i="6"/>
  <c r="E150" i="6"/>
  <c r="D150" i="6"/>
  <c r="H149" i="6"/>
  <c r="F149" i="6"/>
  <c r="F156" i="6" s="1"/>
  <c r="I148" i="6"/>
  <c r="I149" i="6" s="1"/>
  <c r="G148" i="6"/>
  <c r="D148" i="6"/>
  <c r="E147" i="6"/>
  <c r="D147" i="6"/>
  <c r="E146" i="6"/>
  <c r="D146" i="6"/>
  <c r="E145" i="6"/>
  <c r="D145" i="6"/>
  <c r="E144" i="6"/>
  <c r="D144" i="6"/>
  <c r="E143" i="6"/>
  <c r="D143" i="6"/>
  <c r="E142" i="6"/>
  <c r="D142" i="6"/>
  <c r="E141" i="6"/>
  <c r="D141" i="6"/>
  <c r="I125" i="6"/>
  <c r="H125" i="6"/>
  <c r="G125" i="6"/>
  <c r="F125" i="6"/>
  <c r="D125" i="6" s="1"/>
  <c r="I122" i="6"/>
  <c r="H122" i="6"/>
  <c r="G122" i="6"/>
  <c r="E122" i="6" s="1"/>
  <c r="F122" i="6"/>
  <c r="I117" i="6"/>
  <c r="H117" i="6"/>
  <c r="G117" i="6"/>
  <c r="E117" i="6" s="1"/>
  <c r="F117" i="6"/>
  <c r="I113" i="6"/>
  <c r="H113" i="6"/>
  <c r="G113" i="6"/>
  <c r="E113" i="6" s="1"/>
  <c r="F113" i="6"/>
  <c r="H110" i="6"/>
  <c r="F110" i="6"/>
  <c r="E108" i="6"/>
  <c r="D108" i="6"/>
  <c r="I105" i="6"/>
  <c r="I109" i="6"/>
  <c r="H105" i="6"/>
  <c r="H109" i="6" s="1"/>
  <c r="G105" i="6"/>
  <c r="E105" i="6" s="1"/>
  <c r="E109" i="6" s="1"/>
  <c r="F105" i="6"/>
  <c r="F109" i="6" s="1"/>
  <c r="I99" i="6"/>
  <c r="H99" i="6"/>
  <c r="G99" i="6"/>
  <c r="F99" i="6"/>
  <c r="I95" i="6"/>
  <c r="H95" i="6"/>
  <c r="G95" i="6"/>
  <c r="E95" i="6" s="1"/>
  <c r="F95" i="6"/>
  <c r="D95" i="6" s="1"/>
  <c r="I92" i="6"/>
  <c r="G92" i="6"/>
  <c r="E92" i="6" s="1"/>
  <c r="D92" i="6"/>
  <c r="E91" i="6"/>
  <c r="D91" i="6"/>
  <c r="I88" i="6"/>
  <c r="H88" i="6"/>
  <c r="G88" i="6"/>
  <c r="F88" i="6"/>
  <c r="D88" i="6"/>
  <c r="I86" i="6"/>
  <c r="G86" i="6"/>
  <c r="D86" i="6"/>
  <c r="I82" i="6"/>
  <c r="E82" i="6" s="1"/>
  <c r="H82" i="6"/>
  <c r="G82" i="6"/>
  <c r="F82" i="6"/>
  <c r="D82" i="6" s="1"/>
  <c r="I78" i="6"/>
  <c r="H78" i="6"/>
  <c r="G78" i="6"/>
  <c r="E78" i="6" s="1"/>
  <c r="F78" i="6"/>
  <c r="D78" i="6" s="1"/>
  <c r="I71" i="6"/>
  <c r="I81" i="6" s="1"/>
  <c r="H71" i="6"/>
  <c r="H81" i="6" s="1"/>
  <c r="G71" i="6"/>
  <c r="F71" i="6"/>
  <c r="I67" i="6"/>
  <c r="H67" i="6"/>
  <c r="G67" i="6"/>
  <c r="F67" i="6"/>
  <c r="D67" i="6"/>
  <c r="I60" i="6"/>
  <c r="H60" i="6"/>
  <c r="G60" i="6"/>
  <c r="F60" i="6"/>
  <c r="I53" i="6"/>
  <c r="I70" i="6"/>
  <c r="H53" i="6"/>
  <c r="G53" i="6"/>
  <c r="G70" i="6" s="1"/>
  <c r="F53" i="6"/>
  <c r="F43" i="6"/>
  <c r="G42" i="6"/>
  <c r="E42" i="6" s="1"/>
  <c r="D42" i="6"/>
  <c r="E41" i="6"/>
  <c r="D41" i="6"/>
  <c r="D40" i="6"/>
  <c r="I35" i="6"/>
  <c r="E35" i="6" s="1"/>
  <c r="H35" i="6"/>
  <c r="G35" i="6"/>
  <c r="F35" i="6"/>
  <c r="D35" i="6" s="1"/>
  <c r="I33" i="6"/>
  <c r="H33" i="6"/>
  <c r="H39" i="6" s="1"/>
  <c r="G33" i="6"/>
  <c r="E33" i="6" s="1"/>
  <c r="E37" i="6" s="1"/>
  <c r="F33" i="6"/>
  <c r="F37" i="6" s="1"/>
  <c r="E32" i="6"/>
  <c r="D32" i="6"/>
  <c r="I28" i="6"/>
  <c r="D28" i="6"/>
  <c r="I26" i="6"/>
  <c r="H26" i="6"/>
  <c r="H31" i="6" s="1"/>
  <c r="F26" i="6"/>
  <c r="D26" i="6" s="1"/>
  <c r="E25" i="6"/>
  <c r="D25" i="6"/>
  <c r="I22" i="6"/>
  <c r="G22" i="6"/>
  <c r="E22" i="6" s="1"/>
  <c r="D22" i="6"/>
  <c r="E21" i="6"/>
  <c r="D21" i="6"/>
  <c r="E20" i="6"/>
  <c r="D20" i="6"/>
  <c r="I18" i="6"/>
  <c r="G18" i="6"/>
  <c r="D18" i="6"/>
  <c r="G15" i="6"/>
  <c r="E15" i="6" s="1"/>
  <c r="D15" i="6"/>
  <c r="E14" i="6"/>
  <c r="D14" i="6"/>
  <c r="I11" i="6"/>
  <c r="G11" i="6"/>
  <c r="E11" i="6" s="1"/>
  <c r="F11" i="6"/>
  <c r="F31" i="6" s="1"/>
  <c r="F38" i="6" s="1"/>
  <c r="F44" i="6" s="1"/>
  <c r="E10" i="6"/>
  <c r="D10" i="6"/>
  <c r="E9" i="6"/>
  <c r="D9" i="6"/>
  <c r="I6" i="6"/>
  <c r="I39" i="6" s="1"/>
  <c r="I43" i="6" s="1"/>
  <c r="G6" i="6"/>
  <c r="G30" i="6" s="1"/>
  <c r="G28" i="6" s="1"/>
  <c r="D6" i="6"/>
  <c r="E210" i="4"/>
  <c r="D210" i="4"/>
  <c r="E209" i="4"/>
  <c r="D209" i="4"/>
  <c r="E208" i="4"/>
  <c r="D208" i="4"/>
  <c r="E207" i="4"/>
  <c r="D207" i="4"/>
  <c r="E206" i="4"/>
  <c r="D206" i="4"/>
  <c r="I205" i="4"/>
  <c r="G205" i="4"/>
  <c r="G199" i="4" s="1"/>
  <c r="G211" i="4" s="1"/>
  <c r="D205" i="4"/>
  <c r="E204" i="4"/>
  <c r="D204" i="4"/>
  <c r="E203" i="4"/>
  <c r="D203" i="4"/>
  <c r="E202" i="4"/>
  <c r="D202" i="4"/>
  <c r="E201" i="4"/>
  <c r="D201" i="4"/>
  <c r="E200" i="4"/>
  <c r="D200" i="4"/>
  <c r="H199" i="4"/>
  <c r="H211" i="4"/>
  <c r="F199" i="4"/>
  <c r="F211" i="4" s="1"/>
  <c r="D199" i="4"/>
  <c r="D211" i="4" s="1"/>
  <c r="H186" i="4"/>
  <c r="F186" i="4"/>
  <c r="I185" i="4"/>
  <c r="G185" i="4"/>
  <c r="E185" i="4" s="1"/>
  <c r="D185" i="4"/>
  <c r="E184" i="4"/>
  <c r="D184" i="4"/>
  <c r="E183" i="4"/>
  <c r="D183" i="4"/>
  <c r="E182" i="4"/>
  <c r="D182" i="4"/>
  <c r="E181" i="4"/>
  <c r="E186" i="4" s="1"/>
  <c r="D181" i="4"/>
  <c r="H180" i="4"/>
  <c r="H187" i="4" s="1"/>
  <c r="F180" i="4"/>
  <c r="I179" i="4"/>
  <c r="G179" i="4"/>
  <c r="D179" i="4"/>
  <c r="E178" i="4"/>
  <c r="D178" i="4"/>
  <c r="E177" i="4"/>
  <c r="D177" i="4"/>
  <c r="E176" i="4"/>
  <c r="D176" i="4"/>
  <c r="E175" i="4"/>
  <c r="D175" i="4"/>
  <c r="E174" i="4"/>
  <c r="D174" i="4"/>
  <c r="E173" i="4"/>
  <c r="D173" i="4"/>
  <c r="E172" i="4"/>
  <c r="D172" i="4"/>
  <c r="I156" i="4"/>
  <c r="H156" i="4"/>
  <c r="G156" i="4"/>
  <c r="F156" i="4"/>
  <c r="I153" i="4"/>
  <c r="H153" i="4"/>
  <c r="G153" i="4"/>
  <c r="E153" i="4" s="1"/>
  <c r="F153" i="4"/>
  <c r="D153" i="4"/>
  <c r="I148" i="4"/>
  <c r="H148" i="4"/>
  <c r="G148" i="4"/>
  <c r="F148" i="4"/>
  <c r="D148" i="4" s="1"/>
  <c r="I144" i="4"/>
  <c r="H144" i="4"/>
  <c r="G144" i="4"/>
  <c r="F144" i="4"/>
  <c r="D144" i="4" s="1"/>
  <c r="H141" i="4"/>
  <c r="H161" i="4" s="1"/>
  <c r="F141" i="4"/>
  <c r="F161" i="4" s="1"/>
  <c r="E139" i="4"/>
  <c r="D139" i="4"/>
  <c r="I136" i="4"/>
  <c r="I140" i="4" s="1"/>
  <c r="H136" i="4"/>
  <c r="H140" i="4"/>
  <c r="G136" i="4"/>
  <c r="G140" i="4" s="1"/>
  <c r="F136" i="4"/>
  <c r="F140" i="4" s="1"/>
  <c r="I130" i="4"/>
  <c r="H130" i="4"/>
  <c r="G130" i="4"/>
  <c r="F130" i="4"/>
  <c r="D130" i="4" s="1"/>
  <c r="I126" i="4"/>
  <c r="H126" i="4"/>
  <c r="G126" i="4"/>
  <c r="F126" i="4"/>
  <c r="D126" i="4" s="1"/>
  <c r="I123" i="4"/>
  <c r="G123" i="4"/>
  <c r="D123" i="4"/>
  <c r="E122" i="4"/>
  <c r="D122" i="4"/>
  <c r="I119" i="4"/>
  <c r="H119" i="4"/>
  <c r="G119" i="4"/>
  <c r="E119" i="4" s="1"/>
  <c r="F119" i="4"/>
  <c r="D119" i="4"/>
  <c r="I117" i="4"/>
  <c r="G117" i="4"/>
  <c r="D117" i="4"/>
  <c r="I113" i="4"/>
  <c r="H113" i="4"/>
  <c r="H135" i="4" s="1"/>
  <c r="G113" i="4"/>
  <c r="E113" i="4" s="1"/>
  <c r="F113" i="4"/>
  <c r="I109" i="4"/>
  <c r="H109" i="4"/>
  <c r="H112" i="4" s="1"/>
  <c r="G109" i="4"/>
  <c r="F109" i="4"/>
  <c r="D109" i="4" s="1"/>
  <c r="D112" i="4" s="1"/>
  <c r="I102" i="4"/>
  <c r="I112" i="4" s="1"/>
  <c r="H102" i="4"/>
  <c r="G102" i="4"/>
  <c r="F102" i="4"/>
  <c r="D102" i="4" s="1"/>
  <c r="I98" i="4"/>
  <c r="H98" i="4"/>
  <c r="G98" i="4"/>
  <c r="F98" i="4"/>
  <c r="I91" i="4"/>
  <c r="H91" i="4"/>
  <c r="G91" i="4"/>
  <c r="E91" i="4" s="1"/>
  <c r="F91" i="4"/>
  <c r="I84" i="4"/>
  <c r="I101" i="4" s="1"/>
  <c r="H84" i="4"/>
  <c r="H101" i="4" s="1"/>
  <c r="G84" i="4"/>
  <c r="E84" i="4" s="1"/>
  <c r="F84" i="4"/>
  <c r="D84" i="4" s="1"/>
  <c r="F74" i="4"/>
  <c r="G73" i="4"/>
  <c r="E73" i="4" s="1"/>
  <c r="D73" i="4"/>
  <c r="E72" i="4"/>
  <c r="D72" i="4"/>
  <c r="D71" i="4"/>
  <c r="I66" i="4"/>
  <c r="H66" i="4"/>
  <c r="G66" i="4"/>
  <c r="E66" i="4" s="1"/>
  <c r="F66" i="4"/>
  <c r="D66" i="4" s="1"/>
  <c r="I64" i="4"/>
  <c r="I68" i="4" s="1"/>
  <c r="H64" i="4"/>
  <c r="H70" i="4"/>
  <c r="H74" i="4" s="1"/>
  <c r="G64" i="4"/>
  <c r="E64" i="4" s="1"/>
  <c r="F64" i="4"/>
  <c r="D64" i="4"/>
  <c r="E63" i="4"/>
  <c r="D63" i="4"/>
  <c r="I59" i="4"/>
  <c r="G59" i="4"/>
  <c r="D59" i="4"/>
  <c r="I57" i="4"/>
  <c r="H57" i="4"/>
  <c r="H62" i="4" s="1"/>
  <c r="F57" i="4"/>
  <c r="D57" i="4" s="1"/>
  <c r="E56" i="4"/>
  <c r="D56" i="4"/>
  <c r="I53" i="4"/>
  <c r="G53" i="4"/>
  <c r="D53" i="4"/>
  <c r="E52" i="4"/>
  <c r="D52" i="4"/>
  <c r="E51" i="4"/>
  <c r="D51" i="4"/>
  <c r="I49" i="4"/>
  <c r="G49" i="4"/>
  <c r="E49" i="4" s="1"/>
  <c r="D49" i="4"/>
  <c r="G47" i="4"/>
  <c r="G46" i="4" s="1"/>
  <c r="E46" i="4" s="1"/>
  <c r="D46" i="4"/>
  <c r="E45" i="4"/>
  <c r="D45" i="4"/>
  <c r="I42" i="4"/>
  <c r="G42" i="4"/>
  <c r="F42" i="4"/>
  <c r="E41" i="4"/>
  <c r="D41" i="4"/>
  <c r="E40" i="4"/>
  <c r="D40" i="4"/>
  <c r="G39" i="4"/>
  <c r="G33" i="4"/>
  <c r="G32" i="4"/>
  <c r="G26" i="4"/>
  <c r="G24" i="4"/>
  <c r="G23" i="4"/>
  <c r="G19" i="4"/>
  <c r="G13" i="4"/>
  <c r="I6" i="4"/>
  <c r="I70" i="4" s="1"/>
  <c r="D6" i="4"/>
  <c r="E171" i="17"/>
  <c r="D171" i="17"/>
  <c r="E170" i="17"/>
  <c r="D170" i="17"/>
  <c r="E169" i="17"/>
  <c r="D169" i="17"/>
  <c r="E168" i="17"/>
  <c r="D168" i="17"/>
  <c r="D160" i="17" s="1"/>
  <c r="D172" i="17" s="1"/>
  <c r="E167" i="17"/>
  <c r="D167" i="17"/>
  <c r="I166" i="17"/>
  <c r="I160" i="17" s="1"/>
  <c r="I172" i="17" s="1"/>
  <c r="G166" i="17"/>
  <c r="G160" i="17" s="1"/>
  <c r="G172" i="17" s="1"/>
  <c r="D166" i="17"/>
  <c r="E165" i="17"/>
  <c r="D165" i="17"/>
  <c r="E164" i="17"/>
  <c r="D164" i="17"/>
  <c r="E163" i="17"/>
  <c r="D163" i="17"/>
  <c r="E162" i="17"/>
  <c r="D162" i="17"/>
  <c r="E161" i="17"/>
  <c r="D161" i="17"/>
  <c r="M160" i="17"/>
  <c r="M172" i="17"/>
  <c r="L160" i="17"/>
  <c r="L172" i="17" s="1"/>
  <c r="K160" i="17"/>
  <c r="K172" i="17" s="1"/>
  <c r="J160" i="17"/>
  <c r="J172" i="17"/>
  <c r="H160" i="17"/>
  <c r="H172" i="17" s="1"/>
  <c r="F160" i="17"/>
  <c r="F172" i="17" s="1"/>
  <c r="M147" i="17"/>
  <c r="L147" i="17"/>
  <c r="K147" i="17"/>
  <c r="K148" i="17" s="1"/>
  <c r="J147" i="17"/>
  <c r="H147" i="17"/>
  <c r="F147" i="17"/>
  <c r="I146" i="17"/>
  <c r="I147" i="17" s="1"/>
  <c r="G146" i="17"/>
  <c r="G147" i="17"/>
  <c r="D146" i="17"/>
  <c r="E145" i="17"/>
  <c r="D145" i="17"/>
  <c r="E144" i="17"/>
  <c r="D144" i="17"/>
  <c r="E143" i="17"/>
  <c r="D143" i="17"/>
  <c r="E142" i="17"/>
  <c r="D142" i="17"/>
  <c r="M141" i="17"/>
  <c r="M148" i="17" s="1"/>
  <c r="L141" i="17"/>
  <c r="L148" i="17" s="1"/>
  <c r="K141" i="17"/>
  <c r="J141" i="17"/>
  <c r="J148" i="17" s="1"/>
  <c r="H141" i="17"/>
  <c r="H148" i="17"/>
  <c r="F141" i="17"/>
  <c r="F148" i="17" s="1"/>
  <c r="I140" i="17"/>
  <c r="I141" i="17" s="1"/>
  <c r="G140" i="17"/>
  <c r="G141" i="17" s="1"/>
  <c r="D140" i="17"/>
  <c r="E139" i="17"/>
  <c r="D139" i="17"/>
  <c r="E138" i="17"/>
  <c r="D138" i="17"/>
  <c r="E137" i="17"/>
  <c r="D137" i="17"/>
  <c r="E136" i="17"/>
  <c r="D136" i="17"/>
  <c r="E135" i="17"/>
  <c r="D135" i="17"/>
  <c r="D141" i="17" s="1"/>
  <c r="E134" i="17"/>
  <c r="D134" i="17"/>
  <c r="E133" i="17"/>
  <c r="D133" i="17"/>
  <c r="M117" i="17"/>
  <c r="L117" i="17"/>
  <c r="K117" i="17"/>
  <c r="J117" i="17"/>
  <c r="I117" i="17"/>
  <c r="H117" i="17"/>
  <c r="G117" i="17"/>
  <c r="E117" i="17"/>
  <c r="F117" i="17"/>
  <c r="M114" i="17"/>
  <c r="L114" i="17"/>
  <c r="K114" i="17"/>
  <c r="J114" i="17"/>
  <c r="I114" i="17"/>
  <c r="H114" i="17"/>
  <c r="G114" i="17"/>
  <c r="F114" i="17"/>
  <c r="E114" i="17"/>
  <c r="M109" i="17"/>
  <c r="L109" i="17"/>
  <c r="K109" i="17"/>
  <c r="J109" i="17"/>
  <c r="I109" i="17"/>
  <c r="H109" i="17"/>
  <c r="G109" i="17"/>
  <c r="E109" i="17" s="1"/>
  <c r="F109" i="17"/>
  <c r="D109" i="17" s="1"/>
  <c r="M105" i="17"/>
  <c r="L105" i="17"/>
  <c r="K105" i="17"/>
  <c r="J105" i="17"/>
  <c r="I105" i="17"/>
  <c r="H105" i="17"/>
  <c r="G105" i="17"/>
  <c r="F105" i="17"/>
  <c r="D105" i="17"/>
  <c r="L102" i="17"/>
  <c r="K102" i="17"/>
  <c r="K122" i="17" s="1"/>
  <c r="J102" i="17"/>
  <c r="I102" i="17"/>
  <c r="I122" i="17"/>
  <c r="H102" i="17"/>
  <c r="G102" i="17"/>
  <c r="G122" i="17" s="1"/>
  <c r="F102" i="17"/>
  <c r="D102" i="17" s="1"/>
  <c r="E100" i="17"/>
  <c r="D100" i="17"/>
  <c r="M97" i="17"/>
  <c r="M101" i="17" s="1"/>
  <c r="L97" i="17"/>
  <c r="L101" i="17" s="1"/>
  <c r="K97" i="17"/>
  <c r="K101" i="17" s="1"/>
  <c r="J97" i="17"/>
  <c r="J101" i="17"/>
  <c r="I97" i="17"/>
  <c r="I101" i="17" s="1"/>
  <c r="H97" i="17"/>
  <c r="H101" i="17" s="1"/>
  <c r="G97" i="17"/>
  <c r="E97" i="17" s="1"/>
  <c r="E101" i="17" s="1"/>
  <c r="F97" i="17"/>
  <c r="M91" i="17"/>
  <c r="L91" i="17"/>
  <c r="K91" i="17"/>
  <c r="J91" i="17"/>
  <c r="I91" i="17"/>
  <c r="H91" i="17"/>
  <c r="G91" i="17"/>
  <c r="E91" i="17" s="1"/>
  <c r="F91" i="17"/>
  <c r="D91" i="17"/>
  <c r="M87" i="17"/>
  <c r="L87" i="17"/>
  <c r="K87" i="17"/>
  <c r="J87" i="17"/>
  <c r="I87" i="17"/>
  <c r="H87" i="17"/>
  <c r="G87" i="17"/>
  <c r="F87" i="17"/>
  <c r="M84" i="17"/>
  <c r="L84" i="17"/>
  <c r="K84" i="17"/>
  <c r="J84" i="17"/>
  <c r="I84" i="17"/>
  <c r="H84" i="17"/>
  <c r="G84" i="17"/>
  <c r="F84" i="17"/>
  <c r="D84" i="17" s="1"/>
  <c r="E83" i="17"/>
  <c r="D83" i="17"/>
  <c r="M80" i="17"/>
  <c r="L80" i="17"/>
  <c r="K80" i="17"/>
  <c r="J80" i="17"/>
  <c r="I80" i="17"/>
  <c r="H80" i="17"/>
  <c r="G80" i="17"/>
  <c r="E80" i="17" s="1"/>
  <c r="F80" i="17"/>
  <c r="D80" i="17"/>
  <c r="M78" i="17"/>
  <c r="L78" i="17"/>
  <c r="K78" i="17"/>
  <c r="J78" i="17"/>
  <c r="I78" i="17"/>
  <c r="G78" i="17"/>
  <c r="E78" i="17" s="1"/>
  <c r="M74" i="17"/>
  <c r="M96" i="17" s="1"/>
  <c r="M104" i="17" s="1"/>
  <c r="M102" i="17" s="1"/>
  <c r="L74" i="17"/>
  <c r="K74" i="17"/>
  <c r="K96" i="17" s="1"/>
  <c r="J74" i="17"/>
  <c r="I74" i="17"/>
  <c r="H74" i="17"/>
  <c r="G74" i="17"/>
  <c r="F74" i="17"/>
  <c r="M70" i="17"/>
  <c r="L70" i="17"/>
  <c r="K70" i="17"/>
  <c r="J70" i="17"/>
  <c r="I70" i="17"/>
  <c r="H70" i="17"/>
  <c r="G70" i="17"/>
  <c r="F70" i="17"/>
  <c r="D70" i="17" s="1"/>
  <c r="M63" i="17"/>
  <c r="M73" i="17" s="1"/>
  <c r="L63" i="17"/>
  <c r="L73" i="17" s="1"/>
  <c r="K63" i="17"/>
  <c r="K73" i="17"/>
  <c r="J63" i="17"/>
  <c r="I63" i="17"/>
  <c r="I73" i="17" s="1"/>
  <c r="H63" i="17"/>
  <c r="H73" i="17" s="1"/>
  <c r="G63" i="17"/>
  <c r="E63" i="17"/>
  <c r="F63" i="17"/>
  <c r="M59" i="17"/>
  <c r="L59" i="17"/>
  <c r="K59" i="17"/>
  <c r="J59" i="17"/>
  <c r="I59" i="17"/>
  <c r="H59" i="17"/>
  <c r="G59" i="17"/>
  <c r="F59" i="17"/>
  <c r="D59" i="17"/>
  <c r="M52" i="17"/>
  <c r="L52" i="17"/>
  <c r="K52" i="17"/>
  <c r="J52" i="17"/>
  <c r="I52" i="17"/>
  <c r="H52" i="17"/>
  <c r="G52" i="17"/>
  <c r="E52" i="17" s="1"/>
  <c r="F52" i="17"/>
  <c r="M45" i="17"/>
  <c r="M62" i="17"/>
  <c r="L45" i="17"/>
  <c r="K45" i="17"/>
  <c r="K62" i="17" s="1"/>
  <c r="J45" i="17"/>
  <c r="I45" i="17"/>
  <c r="I62" i="17" s="1"/>
  <c r="H45" i="17"/>
  <c r="H62" i="17" s="1"/>
  <c r="G45" i="17"/>
  <c r="F45" i="17"/>
  <c r="M38" i="17"/>
  <c r="L38" i="17"/>
  <c r="K38" i="17"/>
  <c r="J38" i="17"/>
  <c r="H38" i="17"/>
  <c r="F38" i="17"/>
  <c r="G37" i="17"/>
  <c r="D37" i="17"/>
  <c r="E36" i="17"/>
  <c r="D36" i="17"/>
  <c r="D35" i="17"/>
  <c r="D34" i="17"/>
  <c r="M30" i="17"/>
  <c r="L30" i="17"/>
  <c r="K30" i="17"/>
  <c r="J30" i="17"/>
  <c r="I30" i="17"/>
  <c r="E30" i="17" s="1"/>
  <c r="H30" i="17"/>
  <c r="G30" i="17"/>
  <c r="F30" i="17"/>
  <c r="D30" i="17" s="1"/>
  <c r="M28" i="17"/>
  <c r="L28" i="17"/>
  <c r="L32" i="17" s="1"/>
  <c r="K28" i="17"/>
  <c r="K32" i="17" s="1"/>
  <c r="J28" i="17"/>
  <c r="J32" i="17"/>
  <c r="I28" i="17"/>
  <c r="H28" i="17"/>
  <c r="H32" i="17" s="1"/>
  <c r="G28" i="17"/>
  <c r="F28" i="17"/>
  <c r="F32" i="17"/>
  <c r="E27" i="17"/>
  <c r="D27" i="17"/>
  <c r="M26" i="17"/>
  <c r="L26" i="17"/>
  <c r="K26" i="17"/>
  <c r="J26" i="17"/>
  <c r="J33" i="17" s="1"/>
  <c r="J39" i="17" s="1"/>
  <c r="G24" i="17"/>
  <c r="D24" i="17"/>
  <c r="G23" i="17"/>
  <c r="G22" i="17" s="1"/>
  <c r="I22" i="17"/>
  <c r="H22" i="17"/>
  <c r="F22" i="17"/>
  <c r="D22" i="17" s="1"/>
  <c r="E21" i="17"/>
  <c r="D21" i="17"/>
  <c r="I19" i="17"/>
  <c r="G19" i="17"/>
  <c r="E19" i="17" s="1"/>
  <c r="D19" i="17"/>
  <c r="E18" i="17"/>
  <c r="D18" i="17"/>
  <c r="E17" i="17"/>
  <c r="D17" i="17"/>
  <c r="I15" i="17"/>
  <c r="I35" i="17" s="1"/>
  <c r="H15" i="17"/>
  <c r="D15" i="17" s="1"/>
  <c r="G15" i="17"/>
  <c r="E14" i="17"/>
  <c r="D14" i="17"/>
  <c r="E13" i="17"/>
  <c r="D13" i="17"/>
  <c r="I10" i="17"/>
  <c r="H10" i="17"/>
  <c r="G10" i="17"/>
  <c r="E10" i="17" s="1"/>
  <c r="F10" i="17"/>
  <c r="D10" i="17" s="1"/>
  <c r="E9" i="17"/>
  <c r="D9" i="17"/>
  <c r="E8" i="17"/>
  <c r="D8" i="17"/>
  <c r="I6" i="17"/>
  <c r="E6" i="17" s="1"/>
  <c r="D6" i="17"/>
  <c r="DT106" i="26"/>
  <c r="DS106" i="26"/>
  <c r="DQ106" i="26"/>
  <c r="DP106" i="26"/>
  <c r="DO106" i="26"/>
  <c r="DN106" i="26"/>
  <c r="DM106" i="26"/>
  <c r="DL106" i="26"/>
  <c r="DK106" i="26"/>
  <c r="DJ106" i="26"/>
  <c r="DI106" i="26"/>
  <c r="DH106" i="26"/>
  <c r="DG106" i="26"/>
  <c r="DF106" i="26"/>
  <c r="DE106" i="26"/>
  <c r="DD106" i="26"/>
  <c r="DC106" i="26"/>
  <c r="DA106" i="26"/>
  <c r="CY106" i="26"/>
  <c r="CX106" i="26"/>
  <c r="CW106" i="26"/>
  <c r="CV106" i="26"/>
  <c r="CU106" i="26"/>
  <c r="CT106" i="26"/>
  <c r="CS106" i="26"/>
  <c r="CR106" i="26"/>
  <c r="CQ106" i="26"/>
  <c r="CP106" i="26"/>
  <c r="CO106" i="26"/>
  <c r="CN106" i="26"/>
  <c r="CM106" i="26"/>
  <c r="CL106" i="26"/>
  <c r="CK106" i="26"/>
  <c r="CJ106" i="26"/>
  <c r="CI106" i="26"/>
  <c r="CH106" i="26"/>
  <c r="CG106" i="26"/>
  <c r="CF106" i="26"/>
  <c r="CE106" i="26"/>
  <c r="CD106" i="26"/>
  <c r="CC106" i="26"/>
  <c r="CB106" i="26"/>
  <c r="CA106" i="26"/>
  <c r="BZ106" i="26"/>
  <c r="BY106" i="26"/>
  <c r="BX106" i="26"/>
  <c r="BW106" i="26"/>
  <c r="BV106" i="26"/>
  <c r="BU106" i="26"/>
  <c r="BT106" i="26"/>
  <c r="BS106" i="26"/>
  <c r="BR106" i="26"/>
  <c r="BQ106" i="26"/>
  <c r="BP106" i="26"/>
  <c r="BO106" i="26"/>
  <c r="BN106" i="26"/>
  <c r="BM106" i="26"/>
  <c r="BL106" i="26"/>
  <c r="BK106" i="26"/>
  <c r="BJ106" i="26"/>
  <c r="BI106" i="26"/>
  <c r="BH106" i="26"/>
  <c r="BG106" i="26"/>
  <c r="BF106" i="26"/>
  <c r="BE106" i="26"/>
  <c r="BD106" i="26"/>
  <c r="BC106" i="26"/>
  <c r="BB106" i="26"/>
  <c r="BA106" i="26"/>
  <c r="AZ106" i="26"/>
  <c r="AY106" i="26"/>
  <c r="AX106" i="26"/>
  <c r="AW106" i="26"/>
  <c r="AV106" i="26"/>
  <c r="AU106" i="26"/>
  <c r="AT106" i="26"/>
  <c r="AS106" i="26"/>
  <c r="AR106" i="26"/>
  <c r="AQ106" i="26"/>
  <c r="AP106" i="26"/>
  <c r="AO106" i="26"/>
  <c r="AM106" i="26"/>
  <c r="AL106" i="26"/>
  <c r="AK106" i="26"/>
  <c r="AJ106" i="26"/>
  <c r="AI106" i="26"/>
  <c r="AH106" i="26"/>
  <c r="AF106" i="26"/>
  <c r="AE106" i="26"/>
  <c r="AD106" i="26"/>
  <c r="AC106" i="26"/>
  <c r="AB106" i="26"/>
  <c r="AA106" i="26"/>
  <c r="Z106" i="26"/>
  <c r="Y106" i="26"/>
  <c r="X106" i="26"/>
  <c r="W106" i="26"/>
  <c r="V106" i="26"/>
  <c r="U106" i="26"/>
  <c r="T106" i="26"/>
  <c r="S106" i="26"/>
  <c r="R106" i="26"/>
  <c r="Q106" i="26"/>
  <c r="P106" i="26"/>
  <c r="O106" i="26"/>
  <c r="N106" i="26"/>
  <c r="M106" i="26"/>
  <c r="L106" i="26"/>
  <c r="K106" i="26"/>
  <c r="H105" i="26"/>
  <c r="G105" i="26"/>
  <c r="F105" i="26"/>
  <c r="D105" i="26" s="1"/>
  <c r="E105" i="26"/>
  <c r="C105" i="26"/>
  <c r="H104" i="26"/>
  <c r="G104" i="26"/>
  <c r="F104" i="26"/>
  <c r="D104" i="26" s="1"/>
  <c r="E104" i="26"/>
  <c r="C104" i="26"/>
  <c r="H103" i="26"/>
  <c r="G103" i="26"/>
  <c r="F103" i="26"/>
  <c r="D103" i="26" s="1"/>
  <c r="E103" i="26"/>
  <c r="C103" i="26"/>
  <c r="H102" i="26"/>
  <c r="G102" i="26"/>
  <c r="F102" i="26"/>
  <c r="E102" i="26"/>
  <c r="D102" i="26"/>
  <c r="C102" i="26"/>
  <c r="H101" i="26"/>
  <c r="G101" i="26"/>
  <c r="F101" i="26"/>
  <c r="D101" i="26" s="1"/>
  <c r="E101" i="26"/>
  <c r="C101" i="26"/>
  <c r="H100" i="26"/>
  <c r="G100" i="26"/>
  <c r="F100" i="26"/>
  <c r="D100" i="26" s="1"/>
  <c r="E100" i="26"/>
  <c r="C100" i="26"/>
  <c r="H99" i="26"/>
  <c r="G99" i="26"/>
  <c r="F99" i="26"/>
  <c r="E99" i="26"/>
  <c r="C99" i="26"/>
  <c r="J98" i="26"/>
  <c r="J106" i="26" s="1"/>
  <c r="J107" i="26" s="1"/>
  <c r="I98" i="26"/>
  <c r="I106" i="26" s="1"/>
  <c r="H98" i="26"/>
  <c r="G98" i="26"/>
  <c r="F98" i="26"/>
  <c r="D98" i="26" s="1"/>
  <c r="E98" i="26"/>
  <c r="H97" i="26"/>
  <c r="G97" i="26"/>
  <c r="F97" i="26"/>
  <c r="E97" i="26"/>
  <c r="C97" i="26"/>
  <c r="H96" i="26"/>
  <c r="G96" i="26"/>
  <c r="F96" i="26"/>
  <c r="E96" i="26"/>
  <c r="C96" i="26"/>
  <c r="H95" i="26"/>
  <c r="G95" i="26"/>
  <c r="F95" i="26"/>
  <c r="D95" i="26"/>
  <c r="E95" i="26"/>
  <c r="C95" i="26"/>
  <c r="H94" i="26"/>
  <c r="G94" i="26"/>
  <c r="F94" i="26"/>
  <c r="D94" i="26" s="1"/>
  <c r="E94" i="26"/>
  <c r="C94" i="26"/>
  <c r="H93" i="26"/>
  <c r="G93" i="26"/>
  <c r="F93" i="26"/>
  <c r="D93" i="26"/>
  <c r="E93" i="26"/>
  <c r="C93" i="26"/>
  <c r="H92" i="26"/>
  <c r="G92" i="26"/>
  <c r="F92" i="26"/>
  <c r="D92" i="26" s="1"/>
  <c r="E92" i="26"/>
  <c r="C92" i="26"/>
  <c r="H91" i="26"/>
  <c r="G91" i="26"/>
  <c r="F91" i="26"/>
  <c r="D91" i="26"/>
  <c r="E91" i="26"/>
  <c r="C91" i="26"/>
  <c r="H90" i="26"/>
  <c r="G90" i="26"/>
  <c r="F90" i="26"/>
  <c r="E90" i="26"/>
  <c r="C90" i="26"/>
  <c r="H89" i="26"/>
  <c r="G89" i="26"/>
  <c r="F89" i="26"/>
  <c r="E89" i="26"/>
  <c r="C89" i="26"/>
  <c r="DT88" i="26"/>
  <c r="DS88" i="26"/>
  <c r="DQ88" i="26"/>
  <c r="DP88" i="26"/>
  <c r="DO88" i="26"/>
  <c r="DN88" i="26"/>
  <c r="DM88" i="26"/>
  <c r="DL88" i="26"/>
  <c r="DK88" i="26"/>
  <c r="DJ88" i="26"/>
  <c r="DI88" i="26"/>
  <c r="DH88" i="26"/>
  <c r="DG88" i="26"/>
  <c r="DF88" i="26"/>
  <c r="DE88" i="26"/>
  <c r="DD88" i="26"/>
  <c r="DC88" i="26"/>
  <c r="DA88" i="26"/>
  <c r="CY88" i="26"/>
  <c r="CX88" i="26"/>
  <c r="CW88" i="26"/>
  <c r="CV88" i="26"/>
  <c r="CU88" i="26"/>
  <c r="CT88" i="26"/>
  <c r="CS88" i="26"/>
  <c r="CR88" i="26"/>
  <c r="CQ88" i="26"/>
  <c r="CP88" i="26"/>
  <c r="CO88" i="26"/>
  <c r="CN88" i="26"/>
  <c r="CM88" i="26"/>
  <c r="CL88" i="26"/>
  <c r="CK88" i="26"/>
  <c r="CJ88" i="26"/>
  <c r="CI88" i="26"/>
  <c r="CH88" i="26"/>
  <c r="CG88" i="26"/>
  <c r="CF88" i="26"/>
  <c r="CE88" i="26"/>
  <c r="CD88" i="26"/>
  <c r="CC88" i="26"/>
  <c r="CB88" i="26"/>
  <c r="CA88" i="26"/>
  <c r="BZ88" i="26"/>
  <c r="BY88" i="26"/>
  <c r="BX88" i="26"/>
  <c r="BW88" i="26"/>
  <c r="BV88" i="26"/>
  <c r="BU88" i="26"/>
  <c r="BT88" i="26"/>
  <c r="BS88" i="26"/>
  <c r="BR88" i="26"/>
  <c r="BQ88" i="26"/>
  <c r="BP88" i="26"/>
  <c r="BO88" i="26"/>
  <c r="BN88" i="26"/>
  <c r="BM88" i="26"/>
  <c r="BL88" i="26"/>
  <c r="BK88" i="26"/>
  <c r="BJ88" i="26"/>
  <c r="BI88" i="26"/>
  <c r="BH88" i="26"/>
  <c r="BG88" i="26"/>
  <c r="BF88" i="26"/>
  <c r="BE88" i="26"/>
  <c r="BD88" i="26"/>
  <c r="BC88" i="26"/>
  <c r="BB88" i="26"/>
  <c r="BA88" i="26"/>
  <c r="AZ88" i="26"/>
  <c r="AY88" i="26"/>
  <c r="AX88" i="26"/>
  <c r="AW88" i="26"/>
  <c r="AV88" i="26"/>
  <c r="AU88" i="26"/>
  <c r="AT88" i="26"/>
  <c r="AS88" i="26"/>
  <c r="AR88" i="26"/>
  <c r="AQ88" i="26"/>
  <c r="AP88" i="26"/>
  <c r="AO88" i="26"/>
  <c r="AM88" i="26"/>
  <c r="AL88" i="26"/>
  <c r="AK88" i="26"/>
  <c r="AJ88" i="26"/>
  <c r="AI88" i="26"/>
  <c r="AH88" i="26"/>
  <c r="AF88" i="26"/>
  <c r="AE88" i="26"/>
  <c r="AD88" i="26"/>
  <c r="AC88" i="26"/>
  <c r="AB88" i="26"/>
  <c r="AA88" i="26"/>
  <c r="Z88" i="26"/>
  <c r="Y88" i="26"/>
  <c r="X88" i="26"/>
  <c r="W88" i="26"/>
  <c r="V88" i="26"/>
  <c r="U88" i="26"/>
  <c r="T88" i="26"/>
  <c r="S88" i="26"/>
  <c r="R88" i="26"/>
  <c r="Q88" i="26"/>
  <c r="P88" i="26"/>
  <c r="O88" i="26"/>
  <c r="N88" i="26"/>
  <c r="M88" i="26"/>
  <c r="L88" i="26"/>
  <c r="K88" i="26"/>
  <c r="J88" i="26"/>
  <c r="I88" i="26"/>
  <c r="H87" i="26"/>
  <c r="D87" i="26" s="1"/>
  <c r="G87" i="26"/>
  <c r="F87" i="26"/>
  <c r="E87" i="26"/>
  <c r="C87" i="26"/>
  <c r="H86" i="26"/>
  <c r="G86" i="26"/>
  <c r="F86" i="26"/>
  <c r="D86" i="26" s="1"/>
  <c r="E86" i="26"/>
  <c r="C86" i="26"/>
  <c r="H85" i="26"/>
  <c r="G85" i="26"/>
  <c r="F85" i="26"/>
  <c r="D85" i="26" s="1"/>
  <c r="E85" i="26"/>
  <c r="C85" i="26"/>
  <c r="H84" i="26"/>
  <c r="G84" i="26"/>
  <c r="F84" i="26"/>
  <c r="E84" i="26"/>
  <c r="C84" i="26"/>
  <c r="H83" i="26"/>
  <c r="G83" i="26"/>
  <c r="F83" i="26"/>
  <c r="E83" i="26"/>
  <c r="C83" i="26"/>
  <c r="H82" i="26"/>
  <c r="G82" i="26"/>
  <c r="F82" i="26"/>
  <c r="D82" i="26" s="1"/>
  <c r="E82" i="26"/>
  <c r="C82" i="26"/>
  <c r="H81" i="26"/>
  <c r="G81" i="26"/>
  <c r="F81" i="26"/>
  <c r="D81" i="26" s="1"/>
  <c r="E81" i="26"/>
  <c r="C81" i="26"/>
  <c r="H80" i="26"/>
  <c r="G80" i="26"/>
  <c r="G88" i="26" s="1"/>
  <c r="F80" i="26"/>
  <c r="E80" i="26"/>
  <c r="D80" i="26"/>
  <c r="C80" i="26"/>
  <c r="C88" i="26" s="1"/>
  <c r="DT79" i="26"/>
  <c r="DS79" i="26"/>
  <c r="DQ79" i="26"/>
  <c r="DP79" i="26"/>
  <c r="DO79" i="26"/>
  <c r="DN79" i="26"/>
  <c r="DM79" i="26"/>
  <c r="DL79" i="26"/>
  <c r="DJ79" i="26"/>
  <c r="DI79" i="26"/>
  <c r="DH79" i="26"/>
  <c r="DG79" i="26"/>
  <c r="DF79" i="26"/>
  <c r="DE79" i="26"/>
  <c r="DD79" i="26"/>
  <c r="DC79" i="26"/>
  <c r="DA79" i="26"/>
  <c r="CY79" i="26"/>
  <c r="CX79" i="26"/>
  <c r="CW79" i="26"/>
  <c r="CV79" i="26"/>
  <c r="CU79" i="26"/>
  <c r="CT79" i="26"/>
  <c r="CS79" i="26"/>
  <c r="CR79" i="26"/>
  <c r="CQ79" i="26"/>
  <c r="CP79" i="26"/>
  <c r="CO79" i="26"/>
  <c r="CN79" i="26"/>
  <c r="CM79" i="26"/>
  <c r="CL79" i="26"/>
  <c r="CK79" i="26"/>
  <c r="CJ79" i="26"/>
  <c r="CI79" i="26"/>
  <c r="CH79" i="26"/>
  <c r="CG79" i="26"/>
  <c r="CF79" i="26"/>
  <c r="CE79" i="26"/>
  <c r="CD79" i="26"/>
  <c r="CC79" i="26"/>
  <c r="CB79" i="26"/>
  <c r="CA79" i="26"/>
  <c r="BZ79" i="26"/>
  <c r="BY79" i="26"/>
  <c r="BX79" i="26"/>
  <c r="BW79" i="26"/>
  <c r="BV79" i="26"/>
  <c r="BU79" i="26"/>
  <c r="BT79" i="26"/>
  <c r="BS79" i="26"/>
  <c r="BR79" i="26"/>
  <c r="BQ79" i="26"/>
  <c r="BP79" i="26"/>
  <c r="BO79" i="26"/>
  <c r="BN79" i="26"/>
  <c r="BM79" i="26"/>
  <c r="BL79" i="26"/>
  <c r="BK79" i="26"/>
  <c r="BJ79" i="26"/>
  <c r="BI79" i="26"/>
  <c r="BH79" i="26"/>
  <c r="BG79" i="26"/>
  <c r="BF79" i="26"/>
  <c r="BE79" i="26"/>
  <c r="BD79" i="26"/>
  <c r="BC79" i="26"/>
  <c r="BB79" i="26"/>
  <c r="BA79" i="26"/>
  <c r="AZ79" i="26"/>
  <c r="AY79" i="26"/>
  <c r="AX79" i="26"/>
  <c r="AW79" i="26"/>
  <c r="AV79" i="26"/>
  <c r="AU79" i="26"/>
  <c r="AT79" i="26"/>
  <c r="AS79" i="26"/>
  <c r="AR79" i="26"/>
  <c r="AQ79" i="26"/>
  <c r="AP79" i="26"/>
  <c r="AO79" i="26"/>
  <c r="AM79" i="26"/>
  <c r="AL79" i="26"/>
  <c r="AK79" i="26"/>
  <c r="AJ79" i="26"/>
  <c r="AI79" i="26"/>
  <c r="AH79" i="26"/>
  <c r="AF79" i="26"/>
  <c r="AD79" i="26"/>
  <c r="AC79" i="26"/>
  <c r="AB79" i="26"/>
  <c r="AA79" i="26"/>
  <c r="Z79" i="26"/>
  <c r="Y79" i="26"/>
  <c r="X79" i="26"/>
  <c r="W79" i="26"/>
  <c r="V79" i="26"/>
  <c r="U79" i="26"/>
  <c r="T79" i="26"/>
  <c r="S79" i="26"/>
  <c r="R79" i="26"/>
  <c r="Q79" i="26"/>
  <c r="P79" i="26"/>
  <c r="O79" i="26"/>
  <c r="N79" i="26"/>
  <c r="M79" i="26"/>
  <c r="L79" i="26"/>
  <c r="K79" i="26"/>
  <c r="J79" i="26"/>
  <c r="I79" i="26"/>
  <c r="DK78" i="26"/>
  <c r="G78" i="26" s="1"/>
  <c r="AE78" i="26"/>
  <c r="E78" i="26" s="1"/>
  <c r="H78" i="26"/>
  <c r="F78" i="26"/>
  <c r="H77" i="26"/>
  <c r="G77" i="26"/>
  <c r="F77" i="26"/>
  <c r="D77" i="26" s="1"/>
  <c r="E77" i="26"/>
  <c r="C77" i="26"/>
  <c r="H76" i="26"/>
  <c r="D76" i="26" s="1"/>
  <c r="G76" i="26"/>
  <c r="F76" i="26"/>
  <c r="E76" i="26"/>
  <c r="C76" i="26"/>
  <c r="DK75" i="26"/>
  <c r="G75" i="26" s="1"/>
  <c r="AE75" i="26"/>
  <c r="H75" i="26"/>
  <c r="F75" i="26"/>
  <c r="DT74" i="26"/>
  <c r="DS74" i="26"/>
  <c r="DQ74" i="26"/>
  <c r="DP74" i="26"/>
  <c r="DO74" i="26"/>
  <c r="DN74" i="26"/>
  <c r="DM74" i="26"/>
  <c r="DL74" i="26"/>
  <c r="DK74" i="26"/>
  <c r="DH74" i="26"/>
  <c r="DG74" i="26"/>
  <c r="DF74" i="26"/>
  <c r="DE74" i="26"/>
  <c r="DD74" i="26"/>
  <c r="DC74" i="26"/>
  <c r="DA74" i="26"/>
  <c r="CY74" i="26"/>
  <c r="CX74" i="26"/>
  <c r="CW74" i="26"/>
  <c r="CV74" i="26"/>
  <c r="CU74" i="26"/>
  <c r="CT74" i="26"/>
  <c r="CS74" i="26"/>
  <c r="CR74" i="26"/>
  <c r="CQ74" i="26"/>
  <c r="CP74" i="26"/>
  <c r="CO74" i="26"/>
  <c r="CN74" i="26"/>
  <c r="CM74" i="26"/>
  <c r="CL74" i="26"/>
  <c r="CK74" i="26"/>
  <c r="CJ74" i="26"/>
  <c r="CI74" i="26"/>
  <c r="CH74" i="26"/>
  <c r="CG74" i="26"/>
  <c r="CF74" i="26"/>
  <c r="CE74" i="26"/>
  <c r="CD74" i="26"/>
  <c r="CC74" i="26"/>
  <c r="CB74" i="26"/>
  <c r="CA74" i="26"/>
  <c r="BZ74" i="26"/>
  <c r="BY74" i="26"/>
  <c r="BX74" i="26"/>
  <c r="BW74" i="26"/>
  <c r="BV74" i="26"/>
  <c r="BU74" i="26"/>
  <c r="BT74" i="26"/>
  <c r="BS74" i="26"/>
  <c r="BR74" i="26"/>
  <c r="BQ74" i="26"/>
  <c r="BP74" i="26"/>
  <c r="BO74" i="26"/>
  <c r="BN74" i="26"/>
  <c r="BM74" i="26"/>
  <c r="BL74" i="26"/>
  <c r="BK74" i="26"/>
  <c r="BJ74" i="26"/>
  <c r="BI74" i="26"/>
  <c r="BH74" i="26"/>
  <c r="BG74" i="26"/>
  <c r="BF74" i="26"/>
  <c r="BE74" i="26"/>
  <c r="BD74" i="26"/>
  <c r="BC74" i="26"/>
  <c r="BB74" i="26"/>
  <c r="BA74" i="26"/>
  <c r="AZ74" i="26"/>
  <c r="AY74" i="26"/>
  <c r="AX74" i="26"/>
  <c r="AW74" i="26"/>
  <c r="AV74" i="26"/>
  <c r="AU74" i="26"/>
  <c r="AT74" i="26"/>
  <c r="AS74" i="26"/>
  <c r="AR74" i="26"/>
  <c r="AQ74" i="26"/>
  <c r="AP74" i="26"/>
  <c r="AO74" i="26"/>
  <c r="AM74" i="26"/>
  <c r="AL74" i="26"/>
  <c r="AK74" i="26"/>
  <c r="AJ74" i="26"/>
  <c r="AI74" i="26"/>
  <c r="AH74" i="26"/>
  <c r="AD74" i="26"/>
  <c r="AC74" i="26"/>
  <c r="AA74" i="26"/>
  <c r="Y74" i="26"/>
  <c r="X74" i="26"/>
  <c r="W74" i="26"/>
  <c r="U74" i="26"/>
  <c r="T74" i="26"/>
  <c r="S74" i="26"/>
  <c r="R74" i="26"/>
  <c r="Q74" i="26"/>
  <c r="P74" i="26"/>
  <c r="O74" i="26"/>
  <c r="M74" i="26"/>
  <c r="J74" i="26"/>
  <c r="I74" i="26"/>
  <c r="DI73" i="26"/>
  <c r="G73" i="26" s="1"/>
  <c r="AH73" i="26"/>
  <c r="AE73" i="26"/>
  <c r="AB73" i="26"/>
  <c r="AB74" i="26" s="1"/>
  <c r="V73" i="26"/>
  <c r="V74" i="26" s="1"/>
  <c r="N73" i="26"/>
  <c r="N74" i="26" s="1"/>
  <c r="K73" i="26"/>
  <c r="K74" i="26" s="1"/>
  <c r="H73" i="26"/>
  <c r="H72" i="26"/>
  <c r="G72" i="26"/>
  <c r="F72" i="26"/>
  <c r="E72" i="26"/>
  <c r="C72" i="26"/>
  <c r="H71" i="26"/>
  <c r="G71" i="26"/>
  <c r="F71" i="26"/>
  <c r="D71" i="26" s="1"/>
  <c r="E71" i="26"/>
  <c r="C71" i="26"/>
  <c r="DI70" i="26"/>
  <c r="G70" i="26" s="1"/>
  <c r="AF70" i="26"/>
  <c r="AF74" i="26" s="1"/>
  <c r="AE70" i="26"/>
  <c r="E70" i="26" s="1"/>
  <c r="H70" i="26"/>
  <c r="DI69" i="26"/>
  <c r="G69" i="26" s="1"/>
  <c r="H69" i="26"/>
  <c r="F69" i="26"/>
  <c r="E69" i="26"/>
  <c r="DI68" i="26"/>
  <c r="AE68" i="26"/>
  <c r="Z68" i="26"/>
  <c r="F68" i="26"/>
  <c r="AE67" i="26"/>
  <c r="L67" i="26"/>
  <c r="H67" i="26"/>
  <c r="G67" i="26"/>
  <c r="DV66" i="26"/>
  <c r="DU66" i="26"/>
  <c r="DT66" i="26"/>
  <c r="DS66" i="26"/>
  <c r="DQ66" i="26"/>
  <c r="DP66" i="26"/>
  <c r="DO66" i="26"/>
  <c r="DN66" i="26"/>
  <c r="DM66" i="26"/>
  <c r="DL66" i="26"/>
  <c r="DK66" i="26"/>
  <c r="DJ66" i="26"/>
  <c r="DI66" i="26"/>
  <c r="DH66" i="26"/>
  <c r="DG66" i="26"/>
  <c r="DF66" i="26"/>
  <c r="DE66" i="26"/>
  <c r="DD66" i="26"/>
  <c r="DC66" i="26"/>
  <c r="DA66" i="26"/>
  <c r="CY66" i="26"/>
  <c r="CW66" i="26"/>
  <c r="CT66" i="26"/>
  <c r="CS66" i="26"/>
  <c r="CR66" i="26"/>
  <c r="CQ66" i="26"/>
  <c r="CN66" i="26"/>
  <c r="CM66" i="26"/>
  <c r="CL66" i="26"/>
  <c r="CK66" i="26"/>
  <c r="CI66" i="26"/>
  <c r="CH66" i="26"/>
  <c r="CG66" i="26"/>
  <c r="CF66" i="26"/>
  <c r="CE66" i="26"/>
  <c r="CD66" i="26"/>
  <c r="CC66" i="26"/>
  <c r="CA66" i="26"/>
  <c r="BX66" i="26"/>
  <c r="BW66" i="26"/>
  <c r="BR66" i="26"/>
  <c r="BQ66" i="26"/>
  <c r="BP66" i="26"/>
  <c r="BO66" i="26"/>
  <c r="BN66" i="26"/>
  <c r="BM66" i="26"/>
  <c r="BL66" i="26"/>
  <c r="BK66" i="26"/>
  <c r="BJ66" i="26"/>
  <c r="BI66" i="26"/>
  <c r="BH66" i="26"/>
  <c r="BG66" i="26"/>
  <c r="BF66" i="26"/>
  <c r="BE66" i="26"/>
  <c r="BD66" i="26"/>
  <c r="BC66" i="26"/>
  <c r="BB66" i="26"/>
  <c r="BA66" i="26"/>
  <c r="AZ66" i="26"/>
  <c r="AY66" i="26"/>
  <c r="AX66" i="26"/>
  <c r="AW66" i="26"/>
  <c r="AV66" i="26"/>
  <c r="AU66" i="26"/>
  <c r="AT66" i="26"/>
  <c r="AS66" i="26"/>
  <c r="AR66" i="26"/>
  <c r="AQ66" i="26"/>
  <c r="AP66" i="26"/>
  <c r="AO66" i="26"/>
  <c r="AM66" i="26"/>
  <c r="AL66" i="26"/>
  <c r="AK66" i="26"/>
  <c r="AJ66" i="26"/>
  <c r="AI66" i="26"/>
  <c r="AD66" i="26"/>
  <c r="AC66" i="26"/>
  <c r="AB66" i="26"/>
  <c r="AA66" i="26"/>
  <c r="Z66" i="26"/>
  <c r="Y66" i="26"/>
  <c r="X66" i="26"/>
  <c r="W66" i="26"/>
  <c r="V66" i="26"/>
  <c r="U66" i="26"/>
  <c r="T66" i="26"/>
  <c r="S66" i="26"/>
  <c r="R66" i="26"/>
  <c r="Q66" i="26"/>
  <c r="P66" i="26"/>
  <c r="O66" i="26"/>
  <c r="N66" i="26"/>
  <c r="M66" i="26"/>
  <c r="L66" i="26"/>
  <c r="K66" i="26"/>
  <c r="J66" i="26"/>
  <c r="I66" i="26"/>
  <c r="AF65" i="26"/>
  <c r="AF66" i="26" s="1"/>
  <c r="AE65" i="26"/>
  <c r="E65" i="26" s="1"/>
  <c r="H65" i="26"/>
  <c r="G65" i="26"/>
  <c r="CX64" i="26"/>
  <c r="CX66" i="26" s="1"/>
  <c r="CV64" i="26"/>
  <c r="CV66" i="26" s="1"/>
  <c r="CU64" i="26"/>
  <c r="CU66" i="26" s="1"/>
  <c r="CP64" i="26"/>
  <c r="CO64" i="26"/>
  <c r="CO66" i="26" s="1"/>
  <c r="CJ64" i="26"/>
  <c r="CJ66" i="26" s="1"/>
  <c r="CB64" i="26"/>
  <c r="F64" i="26"/>
  <c r="E64" i="26"/>
  <c r="H63" i="26"/>
  <c r="G63" i="26"/>
  <c r="F63" i="26"/>
  <c r="E63" i="26"/>
  <c r="C63" i="26"/>
  <c r="H62" i="26"/>
  <c r="G62" i="26"/>
  <c r="F62" i="26"/>
  <c r="E62" i="26"/>
  <c r="C62" i="26"/>
  <c r="H61" i="26"/>
  <c r="G61" i="26"/>
  <c r="F61" i="26"/>
  <c r="E61" i="26"/>
  <c r="C61" i="26"/>
  <c r="H60" i="26"/>
  <c r="G60" i="26"/>
  <c r="F60" i="26"/>
  <c r="E60" i="26"/>
  <c r="D60" i="26"/>
  <c r="C60" i="26"/>
  <c r="BZ59" i="26"/>
  <c r="BY59" i="26"/>
  <c r="BV59" i="26"/>
  <c r="BV66" i="26"/>
  <c r="BU59" i="26"/>
  <c r="BU66" i="26"/>
  <c r="BT59" i="26"/>
  <c r="BT66" i="26"/>
  <c r="BS59" i="26"/>
  <c r="BS66" i="26"/>
  <c r="F59" i="26"/>
  <c r="E59" i="26"/>
  <c r="H58" i="26"/>
  <c r="G58" i="26"/>
  <c r="F58" i="26"/>
  <c r="E58" i="26"/>
  <c r="C58" i="26"/>
  <c r="H57" i="26"/>
  <c r="G57" i="26"/>
  <c r="F57" i="26"/>
  <c r="E57" i="26"/>
  <c r="C57" i="26"/>
  <c r="H56" i="26"/>
  <c r="G56" i="26"/>
  <c r="F56" i="26"/>
  <c r="E56" i="26"/>
  <c r="C56" i="26"/>
  <c r="H55" i="26"/>
  <c r="G55" i="26"/>
  <c r="F55" i="26"/>
  <c r="E55" i="26"/>
  <c r="C55" i="26"/>
  <c r="H54" i="26"/>
  <c r="G54" i="26"/>
  <c r="F54" i="26"/>
  <c r="E54" i="26"/>
  <c r="C54" i="26"/>
  <c r="DT53" i="26"/>
  <c r="DS53" i="26"/>
  <c r="DQ53" i="26"/>
  <c r="DP53" i="26"/>
  <c r="DO53" i="26"/>
  <c r="DN53" i="26"/>
  <c r="DM53" i="26"/>
  <c r="DL53" i="26"/>
  <c r="DK53" i="26"/>
  <c r="DJ53" i="26"/>
  <c r="DI53" i="26"/>
  <c r="DH53" i="26"/>
  <c r="DG53" i="26"/>
  <c r="DD53" i="26"/>
  <c r="DC53" i="26"/>
  <c r="DA53" i="26"/>
  <c r="CY53" i="26"/>
  <c r="CX53" i="26"/>
  <c r="CW53" i="26"/>
  <c r="CV53" i="26"/>
  <c r="CU53" i="26"/>
  <c r="CT53" i="26"/>
  <c r="CS53" i="26"/>
  <c r="CR53" i="26"/>
  <c r="CQ53" i="26"/>
  <c r="CP53" i="26"/>
  <c r="CO53" i="26"/>
  <c r="CN53" i="26"/>
  <c r="CM53" i="26"/>
  <c r="CL53" i="26"/>
  <c r="CK53" i="26"/>
  <c r="CJ53" i="26"/>
  <c r="CI53" i="26"/>
  <c r="CH53" i="26"/>
  <c r="CG53" i="26"/>
  <c r="CF53" i="26"/>
  <c r="CE53" i="26"/>
  <c r="CD53" i="26"/>
  <c r="CC53" i="26"/>
  <c r="CB53" i="26"/>
  <c r="CA53" i="26"/>
  <c r="BZ53" i="26"/>
  <c r="BY53" i="26"/>
  <c r="BX53" i="26"/>
  <c r="BW53" i="26"/>
  <c r="BV53" i="26"/>
  <c r="BU53" i="26"/>
  <c r="BT53" i="26"/>
  <c r="BS53" i="26"/>
  <c r="BR53" i="26"/>
  <c r="BQ53" i="26"/>
  <c r="BP53" i="26"/>
  <c r="BO53" i="26"/>
  <c r="BN53" i="26"/>
  <c r="BM53" i="26"/>
  <c r="BL53" i="26"/>
  <c r="BK53" i="26"/>
  <c r="BJ53" i="26"/>
  <c r="BI53" i="26"/>
  <c r="BH53" i="26"/>
  <c r="BG53" i="26"/>
  <c r="BF53" i="26"/>
  <c r="BE53" i="26"/>
  <c r="BD53" i="26"/>
  <c r="BC53" i="26"/>
  <c r="BB53" i="26"/>
  <c r="BA53" i="26"/>
  <c r="AZ53" i="26"/>
  <c r="AY53" i="26"/>
  <c r="AX53" i="26"/>
  <c r="AW53" i="26"/>
  <c r="AV53" i="26"/>
  <c r="AU53" i="26"/>
  <c r="AT53" i="26"/>
  <c r="AS53" i="26"/>
  <c r="AR53" i="26"/>
  <c r="AQ53" i="26"/>
  <c r="AP53" i="26"/>
  <c r="AO53" i="26"/>
  <c r="AM53" i="26"/>
  <c r="AL53" i="26"/>
  <c r="AK53" i="26"/>
  <c r="AI53" i="26"/>
  <c r="AH53" i="26"/>
  <c r="AF53" i="26"/>
  <c r="AE53" i="26"/>
  <c r="AD53" i="26"/>
  <c r="AC53" i="26"/>
  <c r="AB53" i="26"/>
  <c r="AA53" i="26"/>
  <c r="Z53" i="26"/>
  <c r="Y53" i="26"/>
  <c r="X53" i="26"/>
  <c r="W53" i="26"/>
  <c r="V53" i="26"/>
  <c r="U53" i="26"/>
  <c r="T53" i="26"/>
  <c r="S53" i="26"/>
  <c r="R53" i="26"/>
  <c r="Q53" i="26"/>
  <c r="P53" i="26"/>
  <c r="O53" i="26"/>
  <c r="N53" i="26"/>
  <c r="M53" i="26"/>
  <c r="L53" i="26"/>
  <c r="K53" i="26"/>
  <c r="J53" i="26"/>
  <c r="I53" i="26"/>
  <c r="DE52" i="26"/>
  <c r="C52" i="26" s="1"/>
  <c r="AJ52" i="26"/>
  <c r="F52" i="26"/>
  <c r="D52" i="26" s="1"/>
  <c r="AI52" i="26"/>
  <c r="E52" i="26" s="1"/>
  <c r="H52" i="26"/>
  <c r="H51" i="26"/>
  <c r="G51" i="26"/>
  <c r="F51" i="26"/>
  <c r="E51" i="26"/>
  <c r="C51" i="26"/>
  <c r="DF50" i="26"/>
  <c r="G50" i="26"/>
  <c r="F50" i="26"/>
  <c r="E50" i="26"/>
  <c r="H49" i="26"/>
  <c r="G49" i="26"/>
  <c r="F49" i="26"/>
  <c r="E49" i="26"/>
  <c r="C49" i="26"/>
  <c r="DF48" i="26"/>
  <c r="G48" i="26"/>
  <c r="F48" i="26"/>
  <c r="E48" i="26"/>
  <c r="H47" i="26"/>
  <c r="G47" i="26"/>
  <c r="F47" i="26"/>
  <c r="E47" i="26"/>
  <c r="C47" i="26"/>
  <c r="H46" i="26"/>
  <c r="G46" i="26"/>
  <c r="F46" i="26"/>
  <c r="D46" i="26" s="1"/>
  <c r="E46" i="26"/>
  <c r="C46" i="26"/>
  <c r="H45" i="26"/>
  <c r="G45" i="26"/>
  <c r="F45" i="26"/>
  <c r="E45" i="26"/>
  <c r="C45" i="26"/>
  <c r="AH44" i="26"/>
  <c r="J44" i="26"/>
  <c r="DT43" i="26"/>
  <c r="DS43" i="26"/>
  <c r="DQ43" i="26"/>
  <c r="DN43" i="26"/>
  <c r="DM43" i="26"/>
  <c r="DL43" i="26"/>
  <c r="DK43" i="26"/>
  <c r="DJ43" i="26"/>
  <c r="DI43" i="26"/>
  <c r="DG43" i="26"/>
  <c r="DF43" i="26"/>
  <c r="DE43" i="26"/>
  <c r="DD43" i="26"/>
  <c r="DC43" i="26"/>
  <c r="DA43" i="26"/>
  <c r="CY43" i="26"/>
  <c r="CX43" i="26"/>
  <c r="CW43" i="26"/>
  <c r="CV43" i="26"/>
  <c r="CU43" i="26"/>
  <c r="CS43" i="26"/>
  <c r="CR43" i="26"/>
  <c r="CQ43" i="26"/>
  <c r="CP43" i="26"/>
  <c r="CO43" i="26"/>
  <c r="CN43" i="26"/>
  <c r="CM43" i="26"/>
  <c r="CL43" i="26"/>
  <c r="CK43" i="26"/>
  <c r="CH43" i="26"/>
  <c r="CG43" i="26"/>
  <c r="CF43" i="26"/>
  <c r="CE43" i="26"/>
  <c r="CD43" i="26"/>
  <c r="CC43" i="26"/>
  <c r="CB43" i="26"/>
  <c r="CA43" i="26"/>
  <c r="BZ43" i="26"/>
  <c r="BY43" i="26"/>
  <c r="BX43" i="26"/>
  <c r="BW43" i="26"/>
  <c r="BV43" i="26"/>
  <c r="BU43" i="26"/>
  <c r="BT43" i="26"/>
  <c r="BS43" i="26"/>
  <c r="BR43" i="26"/>
  <c r="BQ43" i="26"/>
  <c r="BN43" i="26"/>
  <c r="BM43" i="26"/>
  <c r="BK43" i="26"/>
  <c r="BH43" i="26"/>
  <c r="BG43" i="26"/>
  <c r="BD43" i="26"/>
  <c r="BC43" i="26"/>
  <c r="BA43" i="26"/>
  <c r="AZ43" i="26"/>
  <c r="AY43" i="26"/>
  <c r="AX43" i="26"/>
  <c r="AW43" i="26"/>
  <c r="AV43" i="26"/>
  <c r="AU43" i="26"/>
  <c r="AT43" i="26"/>
  <c r="AS43" i="26"/>
  <c r="AP43" i="26"/>
  <c r="AO43" i="26"/>
  <c r="AM43" i="26"/>
  <c r="AL43" i="26"/>
  <c r="AK43" i="26"/>
  <c r="AJ43" i="26"/>
  <c r="AI43" i="26"/>
  <c r="Y43" i="26"/>
  <c r="V43" i="26"/>
  <c r="U43" i="26"/>
  <c r="T43" i="26"/>
  <c r="S43" i="26"/>
  <c r="DH42" i="26"/>
  <c r="H42" i="26" s="1"/>
  <c r="G42" i="26"/>
  <c r="F42" i="26"/>
  <c r="D42" i="26" s="1"/>
  <c r="E42" i="26"/>
  <c r="C42" i="26" s="1"/>
  <c r="H41" i="26"/>
  <c r="G41" i="26"/>
  <c r="F41" i="26"/>
  <c r="E41" i="26"/>
  <c r="H40" i="26"/>
  <c r="G40" i="26"/>
  <c r="F40" i="26"/>
  <c r="E40" i="26"/>
  <c r="C40" i="26"/>
  <c r="H39" i="26"/>
  <c r="G39" i="26"/>
  <c r="F39" i="26"/>
  <c r="E39" i="26"/>
  <c r="C39" i="26" s="1"/>
  <c r="Z38" i="26"/>
  <c r="Z43" i="26" s="1"/>
  <c r="DT37" i="26"/>
  <c r="DS37" i="26"/>
  <c r="DQ37" i="26"/>
  <c r="DP37" i="26"/>
  <c r="DO37" i="26"/>
  <c r="DN37" i="26"/>
  <c r="DM37" i="26"/>
  <c r="DL37" i="26"/>
  <c r="DK37" i="26"/>
  <c r="DJ37" i="26"/>
  <c r="DI37" i="26"/>
  <c r="DH37" i="26"/>
  <c r="DG37" i="26"/>
  <c r="DF37" i="26"/>
  <c r="DE37" i="26"/>
  <c r="DD37" i="26"/>
  <c r="DC37" i="26"/>
  <c r="DA37" i="26"/>
  <c r="CY37" i="26"/>
  <c r="CX37" i="26"/>
  <c r="CW37" i="26"/>
  <c r="CV37" i="26"/>
  <c r="CU37" i="26"/>
  <c r="CT37" i="26"/>
  <c r="CS37" i="26"/>
  <c r="CR37" i="26"/>
  <c r="CQ37" i="26"/>
  <c r="CP37" i="26"/>
  <c r="CO37" i="26"/>
  <c r="CN37" i="26"/>
  <c r="CM37" i="26"/>
  <c r="CL37" i="26"/>
  <c r="CK37" i="26"/>
  <c r="CJ37" i="26"/>
  <c r="CI37" i="26"/>
  <c r="CH37" i="26"/>
  <c r="CG37" i="26"/>
  <c r="CF37" i="26"/>
  <c r="CE37" i="26"/>
  <c r="CD37" i="26"/>
  <c r="CC37" i="26"/>
  <c r="CB37" i="26"/>
  <c r="CA37" i="26"/>
  <c r="BZ37" i="26"/>
  <c r="BY37" i="26"/>
  <c r="BX37" i="26"/>
  <c r="BW37" i="26"/>
  <c r="BV37" i="26"/>
  <c r="BU37" i="26"/>
  <c r="BT37" i="26"/>
  <c r="BS37" i="26"/>
  <c r="BR37" i="26"/>
  <c r="BQ37" i="26"/>
  <c r="BP37" i="26"/>
  <c r="BO37" i="26"/>
  <c r="BN37" i="26"/>
  <c r="BM37" i="26"/>
  <c r="BL37" i="26"/>
  <c r="BK37" i="26"/>
  <c r="BJ37" i="26"/>
  <c r="BI37" i="26"/>
  <c r="BH37" i="26"/>
  <c r="BG37" i="26"/>
  <c r="BF37" i="26"/>
  <c r="BE37" i="26"/>
  <c r="BD37" i="26"/>
  <c r="BC37" i="26"/>
  <c r="BB37" i="26"/>
  <c r="BA37" i="26"/>
  <c r="AZ37" i="26"/>
  <c r="AY37" i="26"/>
  <c r="AX37" i="26"/>
  <c r="AW37" i="26"/>
  <c r="AV37" i="26"/>
  <c r="AU37" i="26"/>
  <c r="AT37" i="26"/>
  <c r="AS37" i="26"/>
  <c r="AR37" i="26"/>
  <c r="AQ37" i="26"/>
  <c r="AP37" i="26"/>
  <c r="AO37" i="26"/>
  <c r="AM37" i="26"/>
  <c r="AL37" i="26"/>
  <c r="AK37" i="26"/>
  <c r="AJ37" i="26"/>
  <c r="AI37" i="26"/>
  <c r="AF37" i="26"/>
  <c r="AE37" i="26"/>
  <c r="AD37" i="26"/>
  <c r="AC37" i="26"/>
  <c r="AB37" i="26"/>
  <c r="AA37" i="26"/>
  <c r="Z37" i="26"/>
  <c r="Y37" i="26"/>
  <c r="X37" i="26"/>
  <c r="W37" i="26"/>
  <c r="V37" i="26"/>
  <c r="U37" i="26"/>
  <c r="T37" i="26"/>
  <c r="S37" i="26"/>
  <c r="R37" i="26"/>
  <c r="Q37" i="26"/>
  <c r="P37" i="26"/>
  <c r="O37" i="26"/>
  <c r="N37" i="26"/>
  <c r="M37" i="26"/>
  <c r="L37" i="26"/>
  <c r="K37" i="26"/>
  <c r="G37" i="26"/>
  <c r="H36" i="26"/>
  <c r="G36" i="26"/>
  <c r="F36" i="26"/>
  <c r="D36" i="26" s="1"/>
  <c r="E36" i="26"/>
  <c r="C36" i="26" s="1"/>
  <c r="H35" i="26"/>
  <c r="H37" i="26" s="1"/>
  <c r="G35" i="26"/>
  <c r="F35" i="26"/>
  <c r="E35" i="26"/>
  <c r="DT34" i="26"/>
  <c r="DS34" i="26"/>
  <c r="DQ34" i="26"/>
  <c r="DP34" i="26"/>
  <c r="DO34" i="26"/>
  <c r="DN34" i="26"/>
  <c r="DM34" i="26"/>
  <c r="DL34" i="26"/>
  <c r="DK34" i="26"/>
  <c r="DJ34" i="26"/>
  <c r="DI34" i="26"/>
  <c r="DG34" i="26"/>
  <c r="DF34" i="26"/>
  <c r="DE34" i="26"/>
  <c r="DD34" i="26"/>
  <c r="DC34" i="26"/>
  <c r="DA34" i="26"/>
  <c r="CY34" i="26"/>
  <c r="CX34" i="26"/>
  <c r="CW34" i="26"/>
  <c r="CV34" i="26"/>
  <c r="CU34" i="26"/>
  <c r="CT34" i="26"/>
  <c r="CS34" i="26"/>
  <c r="CR34" i="26"/>
  <c r="CQ34" i="26"/>
  <c r="CP34" i="26"/>
  <c r="CO34" i="26"/>
  <c r="CN34" i="26"/>
  <c r="CM34" i="26"/>
  <c r="CL34" i="26"/>
  <c r="CK34" i="26"/>
  <c r="CJ34" i="26"/>
  <c r="CI34" i="26"/>
  <c r="CH34" i="26"/>
  <c r="CG34" i="26"/>
  <c r="CF34" i="26"/>
  <c r="CE34" i="26"/>
  <c r="CD34" i="26"/>
  <c r="CC34" i="26"/>
  <c r="CB34" i="26"/>
  <c r="CA34" i="26"/>
  <c r="BZ34" i="26"/>
  <c r="BY34" i="26"/>
  <c r="BX34" i="26"/>
  <c r="BW34" i="26"/>
  <c r="BV34" i="26"/>
  <c r="BU34" i="26"/>
  <c r="BT34" i="26"/>
  <c r="BS34" i="26"/>
  <c r="BR34" i="26"/>
  <c r="BQ34" i="26"/>
  <c r="BN34" i="26"/>
  <c r="BM34" i="26"/>
  <c r="BL34" i="26"/>
  <c r="BJ34" i="26"/>
  <c r="BI34" i="26"/>
  <c r="BH34" i="26"/>
  <c r="BG34" i="26"/>
  <c r="BF34" i="26"/>
  <c r="BE34" i="26"/>
  <c r="BD34" i="26"/>
  <c r="BC34" i="26"/>
  <c r="BB34" i="26"/>
  <c r="BA34" i="26"/>
  <c r="AZ34" i="26"/>
  <c r="AY34" i="26"/>
  <c r="AX34" i="26"/>
  <c r="AW34" i="26"/>
  <c r="AV34" i="26"/>
  <c r="AU34" i="26"/>
  <c r="AT34" i="26"/>
  <c r="AS34" i="26"/>
  <c r="AR34" i="26"/>
  <c r="AQ34" i="26"/>
  <c r="AP34" i="26"/>
  <c r="AO34" i="26"/>
  <c r="AM34" i="26"/>
  <c r="AL34" i="26"/>
  <c r="AK34" i="26"/>
  <c r="AJ34" i="26"/>
  <c r="AI34" i="26"/>
  <c r="AF34" i="26"/>
  <c r="AE34" i="26"/>
  <c r="AD34" i="26"/>
  <c r="AC34" i="26"/>
  <c r="X34" i="26"/>
  <c r="W34" i="26"/>
  <c r="V34" i="26"/>
  <c r="U34" i="26"/>
  <c r="T34" i="26"/>
  <c r="T44" i="26" s="1"/>
  <c r="S34" i="26"/>
  <c r="R34" i="26"/>
  <c r="Q34" i="26"/>
  <c r="O34" i="26"/>
  <c r="N34" i="26"/>
  <c r="M34" i="26"/>
  <c r="BP33" i="26"/>
  <c r="BO33" i="26"/>
  <c r="G33" i="26" s="1"/>
  <c r="G34" i="26" s="1"/>
  <c r="AB33" i="26"/>
  <c r="AA33" i="26"/>
  <c r="AA34" i="26" s="1"/>
  <c r="Z33" i="26"/>
  <c r="Z34" i="26" s="1"/>
  <c r="Y33" i="26"/>
  <c r="Y34" i="26" s="1"/>
  <c r="Y44" i="26" s="1"/>
  <c r="Y107" i="26" s="1"/>
  <c r="DH32" i="26"/>
  <c r="DH34" i="26" s="1"/>
  <c r="P32" i="26"/>
  <c r="L32" i="26"/>
  <c r="L34" i="26" s="1"/>
  <c r="K32" i="26"/>
  <c r="G32" i="26"/>
  <c r="H31" i="26"/>
  <c r="G31" i="26"/>
  <c r="F31" i="26"/>
  <c r="E31" i="26"/>
  <c r="BK30" i="26"/>
  <c r="H30" i="26"/>
  <c r="F30" i="26"/>
  <c r="D30" i="26" s="1"/>
  <c r="E30" i="26"/>
  <c r="P29" i="26"/>
  <c r="P34" i="26" s="1"/>
  <c r="H29" i="26"/>
  <c r="G29" i="26"/>
  <c r="C29" i="26"/>
  <c r="F29" i="26"/>
  <c r="D29" i="26" s="1"/>
  <c r="E29" i="26"/>
  <c r="H28" i="26"/>
  <c r="G28" i="26"/>
  <c r="F28" i="26"/>
  <c r="D28" i="26" s="1"/>
  <c r="E28" i="26"/>
  <c r="H27" i="26"/>
  <c r="G27" i="26"/>
  <c r="C27" i="26" s="1"/>
  <c r="F27" i="26"/>
  <c r="E27" i="26"/>
  <c r="DP26" i="26"/>
  <c r="DO26" i="26"/>
  <c r="DN26" i="26"/>
  <c r="DM26" i="26"/>
  <c r="DL26" i="26"/>
  <c r="DK26" i="26"/>
  <c r="DJ26" i="26"/>
  <c r="DI26" i="26"/>
  <c r="DH26" i="26"/>
  <c r="DH38" i="26" s="1"/>
  <c r="DH43" i="26" s="1"/>
  <c r="DG26" i="26"/>
  <c r="DF26" i="26"/>
  <c r="DE26" i="26"/>
  <c r="DD26" i="26"/>
  <c r="DC26" i="26"/>
  <c r="DA26" i="26"/>
  <c r="CY26" i="26"/>
  <c r="CX26" i="26"/>
  <c r="CW26" i="26"/>
  <c r="CV26" i="26"/>
  <c r="CU26" i="26"/>
  <c r="CT26" i="26"/>
  <c r="CS26" i="26"/>
  <c r="CS44" i="26" s="1"/>
  <c r="CR26" i="26"/>
  <c r="CQ26" i="26"/>
  <c r="CP26" i="26"/>
  <c r="CO26" i="26"/>
  <c r="CN26" i="26"/>
  <c r="CM26" i="26"/>
  <c r="CL26" i="26"/>
  <c r="CK26" i="26"/>
  <c r="CJ26" i="26"/>
  <c r="CI26" i="26"/>
  <c r="CH26" i="26"/>
  <c r="CG26" i="26"/>
  <c r="CF26" i="26"/>
  <c r="CE26" i="26"/>
  <c r="CD26" i="26"/>
  <c r="CC26" i="26"/>
  <c r="CB26" i="26"/>
  <c r="CA26" i="26"/>
  <c r="BZ26" i="26"/>
  <c r="BY26" i="26"/>
  <c r="BX26" i="26"/>
  <c r="BW26" i="26"/>
  <c r="BV26" i="26"/>
  <c r="BU26" i="26"/>
  <c r="BT26" i="26"/>
  <c r="BS26" i="26"/>
  <c r="BR26" i="26"/>
  <c r="BQ26" i="26"/>
  <c r="BP26" i="26"/>
  <c r="BO26" i="26"/>
  <c r="BN26" i="26"/>
  <c r="BM26" i="26"/>
  <c r="BL26" i="26"/>
  <c r="BK26" i="26"/>
  <c r="BJ26" i="26"/>
  <c r="BI26" i="26"/>
  <c r="BH26" i="26"/>
  <c r="BG26" i="26"/>
  <c r="BF26" i="26"/>
  <c r="BF38" i="26" s="1"/>
  <c r="BF43" i="26" s="1"/>
  <c r="BE26" i="26"/>
  <c r="BD26" i="26"/>
  <c r="BC26" i="26"/>
  <c r="BB26" i="26"/>
  <c r="BA26" i="26"/>
  <c r="AZ26" i="26"/>
  <c r="AY26" i="26"/>
  <c r="AX26" i="26"/>
  <c r="AW26" i="26"/>
  <c r="AV26" i="26"/>
  <c r="AU26" i="26"/>
  <c r="AT26" i="26"/>
  <c r="AS26" i="26"/>
  <c r="AR26" i="26"/>
  <c r="AQ26" i="26"/>
  <c r="AP26" i="26"/>
  <c r="AO26" i="26"/>
  <c r="AM26" i="26"/>
  <c r="AL26" i="26"/>
  <c r="AK26" i="26"/>
  <c r="AJ26" i="26"/>
  <c r="AI26" i="26"/>
  <c r="AF26" i="26"/>
  <c r="AE26" i="26"/>
  <c r="AE38" i="26" s="1"/>
  <c r="AE43" i="26" s="1"/>
  <c r="AE44" i="26" s="1"/>
  <c r="AD26" i="26"/>
  <c r="AC26" i="26"/>
  <c r="AB26" i="26"/>
  <c r="AA26" i="26"/>
  <c r="Z26" i="26"/>
  <c r="Y26" i="26"/>
  <c r="X26" i="26"/>
  <c r="W26" i="26"/>
  <c r="W38" i="26" s="1"/>
  <c r="W43" i="26" s="1"/>
  <c r="W44" i="26" s="1"/>
  <c r="W107" i="26" s="1"/>
  <c r="V26" i="26"/>
  <c r="U26" i="26"/>
  <c r="T26" i="26"/>
  <c r="S26" i="26"/>
  <c r="R26" i="26"/>
  <c r="Q26" i="26"/>
  <c r="P26" i="26"/>
  <c r="O26" i="26"/>
  <c r="N26" i="26"/>
  <c r="M26" i="26"/>
  <c r="L26" i="26"/>
  <c r="K26" i="26"/>
  <c r="H25" i="26"/>
  <c r="G25" i="26"/>
  <c r="F25" i="26"/>
  <c r="E25" i="26"/>
  <c r="H24" i="26"/>
  <c r="G24" i="26"/>
  <c r="F24" i="26"/>
  <c r="E24" i="26"/>
  <c r="DP23" i="26"/>
  <c r="DO23" i="26"/>
  <c r="DN23" i="26"/>
  <c r="DM23" i="26"/>
  <c r="DL23" i="26"/>
  <c r="DK23" i="26"/>
  <c r="DJ23" i="26"/>
  <c r="DJ44" i="26" s="1"/>
  <c r="DI23" i="26"/>
  <c r="DH23" i="26"/>
  <c r="DG23" i="26"/>
  <c r="DF23" i="26"/>
  <c r="DE23" i="26"/>
  <c r="DE44" i="26" s="1"/>
  <c r="DD23" i="26"/>
  <c r="DC23" i="26"/>
  <c r="DA23" i="26"/>
  <c r="CY23" i="26"/>
  <c r="CY44" i="26" s="1"/>
  <c r="CY107" i="26" s="1"/>
  <c r="CX23" i="26"/>
  <c r="CW23" i="26"/>
  <c r="CV23" i="26"/>
  <c r="CV44" i="26" s="1"/>
  <c r="CU23" i="26"/>
  <c r="CU44" i="26" s="1"/>
  <c r="CT23" i="26"/>
  <c r="CS23" i="26"/>
  <c r="CR23" i="26"/>
  <c r="CQ23" i="26"/>
  <c r="CP23" i="26"/>
  <c r="CO23" i="26"/>
  <c r="CN23" i="26"/>
  <c r="CN44" i="26" s="1"/>
  <c r="CM23" i="26"/>
  <c r="CM44" i="26" s="1"/>
  <c r="CM107" i="26" s="1"/>
  <c r="CL23" i="26"/>
  <c r="CK23" i="26"/>
  <c r="CJ23" i="26"/>
  <c r="CI23" i="26"/>
  <c r="CH23" i="26"/>
  <c r="CG23" i="26"/>
  <c r="CF23" i="26"/>
  <c r="CE23" i="26"/>
  <c r="CE44" i="26"/>
  <c r="CD23" i="26"/>
  <c r="CC23" i="26"/>
  <c r="CB23" i="26"/>
  <c r="CB44" i="26" s="1"/>
  <c r="CA23" i="26"/>
  <c r="CA44" i="26" s="1"/>
  <c r="BZ23" i="26"/>
  <c r="BY23" i="26"/>
  <c r="BX23" i="26"/>
  <c r="BW23" i="26"/>
  <c r="BV23" i="26"/>
  <c r="BU23" i="26"/>
  <c r="BU44" i="26" s="1"/>
  <c r="BT23" i="26"/>
  <c r="BS23" i="26"/>
  <c r="BR23" i="26"/>
  <c r="BQ23" i="26"/>
  <c r="BQ44" i="26" s="1"/>
  <c r="BQ107" i="26" s="1"/>
  <c r="BP23" i="26"/>
  <c r="BO23" i="26"/>
  <c r="BN23" i="26"/>
  <c r="BM23" i="26"/>
  <c r="BM44" i="26" s="1"/>
  <c r="BL23" i="26"/>
  <c r="BK23" i="26"/>
  <c r="BJ23" i="26"/>
  <c r="BI23" i="26"/>
  <c r="BH23" i="26"/>
  <c r="BG23" i="26"/>
  <c r="BG44" i="26" s="1"/>
  <c r="BF23" i="26"/>
  <c r="BE23" i="26"/>
  <c r="BD23" i="26"/>
  <c r="BC23" i="26"/>
  <c r="BB23" i="26"/>
  <c r="BA23" i="26"/>
  <c r="BA44" i="26" s="1"/>
  <c r="BA107" i="26" s="1"/>
  <c r="AZ23" i="26"/>
  <c r="AY23" i="26"/>
  <c r="AX23" i="26"/>
  <c r="AW23" i="26"/>
  <c r="AV23" i="26"/>
  <c r="AV44" i="26" s="1"/>
  <c r="AV107" i="26" s="1"/>
  <c r="AU23" i="26"/>
  <c r="AU44" i="26" s="1"/>
  <c r="AT23" i="26"/>
  <c r="AS23" i="26"/>
  <c r="AR23" i="26"/>
  <c r="AQ23" i="26"/>
  <c r="AP23" i="26"/>
  <c r="AO23" i="26"/>
  <c r="AO44" i="26" s="1"/>
  <c r="AM23" i="26"/>
  <c r="AL23" i="26"/>
  <c r="AK23" i="26"/>
  <c r="AJ23" i="26"/>
  <c r="AJ44" i="26" s="1"/>
  <c r="AI23" i="26"/>
  <c r="AE23" i="26"/>
  <c r="AD23" i="26"/>
  <c r="AC23" i="26"/>
  <c r="AB23" i="26"/>
  <c r="AA23" i="26"/>
  <c r="Z23" i="26"/>
  <c r="Y23" i="26"/>
  <c r="X23" i="26"/>
  <c r="W23" i="26"/>
  <c r="V23" i="26"/>
  <c r="U23" i="26"/>
  <c r="T23" i="26"/>
  <c r="S23" i="26"/>
  <c r="Q23" i="26"/>
  <c r="P23" i="26"/>
  <c r="O23" i="26"/>
  <c r="N23" i="26"/>
  <c r="M23" i="26"/>
  <c r="M38" i="26" s="1"/>
  <c r="L23" i="26"/>
  <c r="K23" i="26"/>
  <c r="H22" i="26"/>
  <c r="G22" i="26"/>
  <c r="F22" i="26"/>
  <c r="E22" i="26"/>
  <c r="AF21" i="26"/>
  <c r="AF23" i="26" s="1"/>
  <c r="F21" i="26"/>
  <c r="H21" i="26"/>
  <c r="G21" i="26"/>
  <c r="E21" i="26"/>
  <c r="R20" i="26"/>
  <c r="R23" i="26" s="1"/>
  <c r="H20" i="26"/>
  <c r="G20" i="26"/>
  <c r="E20" i="26"/>
  <c r="C20" i="26" s="1"/>
  <c r="CT19" i="26"/>
  <c r="H19" i="26" s="1"/>
  <c r="AH19" i="26"/>
  <c r="Q19" i="26"/>
  <c r="O19" i="26"/>
  <c r="G19" i="26"/>
  <c r="DV18" i="26"/>
  <c r="DU18" i="26"/>
  <c r="DT18" i="26"/>
  <c r="DS18" i="26"/>
  <c r="DQ18" i="26"/>
  <c r="DP18" i="26"/>
  <c r="DO18" i="26"/>
  <c r="DN18" i="26"/>
  <c r="DM18" i="26"/>
  <c r="DL18" i="26"/>
  <c r="DK18" i="26"/>
  <c r="DJ18" i="26"/>
  <c r="DI18" i="26"/>
  <c r="DH18" i="26"/>
  <c r="DG18" i="26"/>
  <c r="DF18" i="26"/>
  <c r="DE18" i="26"/>
  <c r="DD18" i="26"/>
  <c r="DC18" i="26"/>
  <c r="DA18" i="26"/>
  <c r="CY18" i="26"/>
  <c r="CX18" i="26"/>
  <c r="CW18" i="26"/>
  <c r="CV18" i="26"/>
  <c r="CU18" i="26"/>
  <c r="CT18" i="26"/>
  <c r="CS18" i="26"/>
  <c r="CR18" i="26"/>
  <c r="CQ18" i="26"/>
  <c r="CP18" i="26"/>
  <c r="CO18" i="26"/>
  <c r="CN18" i="26"/>
  <c r="CM18" i="26"/>
  <c r="CL18" i="26"/>
  <c r="CK18" i="26"/>
  <c r="CJ18" i="26"/>
  <c r="CI18" i="26"/>
  <c r="CH18" i="26"/>
  <c r="CG18" i="26"/>
  <c r="CF18" i="26"/>
  <c r="CE18" i="26"/>
  <c r="CD18" i="26"/>
  <c r="CC18" i="26"/>
  <c r="CB18" i="26"/>
  <c r="CA18" i="26"/>
  <c r="BZ18" i="26"/>
  <c r="BY18" i="26"/>
  <c r="BX18" i="26"/>
  <c r="BW18" i="26"/>
  <c r="BV18" i="26"/>
  <c r="BU18" i="26"/>
  <c r="BT18" i="26"/>
  <c r="BS18" i="26"/>
  <c r="BR18" i="26"/>
  <c r="BQ18" i="26"/>
  <c r="BP18" i="26"/>
  <c r="BO18" i="26"/>
  <c r="BN18" i="26"/>
  <c r="BM18" i="26"/>
  <c r="BL18" i="26"/>
  <c r="BK18" i="26"/>
  <c r="BJ18" i="26"/>
  <c r="BI18" i="26"/>
  <c r="BH18" i="26"/>
  <c r="BG18" i="26"/>
  <c r="BF18" i="26"/>
  <c r="BE18" i="26"/>
  <c r="BD18" i="26"/>
  <c r="BC18" i="26"/>
  <c r="BB18" i="26"/>
  <c r="BA18" i="26"/>
  <c r="AZ18" i="26"/>
  <c r="AY18" i="26"/>
  <c r="AX18" i="26"/>
  <c r="AW18" i="26"/>
  <c r="AV18" i="26"/>
  <c r="AU18" i="26"/>
  <c r="AS18" i="26"/>
  <c r="AR18" i="26"/>
  <c r="AQ18" i="26"/>
  <c r="AP18" i="26"/>
  <c r="AO18" i="26"/>
  <c r="AM18" i="26"/>
  <c r="AL18" i="26"/>
  <c r="AK18" i="26"/>
  <c r="AJ18" i="26"/>
  <c r="AI18" i="26"/>
  <c r="AH18" i="26"/>
  <c r="AE18" i="26"/>
  <c r="AE19" i="26" s="1"/>
  <c r="AD18" i="26"/>
  <c r="AC18" i="26"/>
  <c r="AB18" i="26"/>
  <c r="AA18" i="26"/>
  <c r="Z18" i="26"/>
  <c r="Y18" i="26"/>
  <c r="X18" i="26"/>
  <c r="W18" i="26"/>
  <c r="V18" i="26"/>
  <c r="U18" i="26"/>
  <c r="T18" i="26"/>
  <c r="S18" i="26"/>
  <c r="Q18" i="26"/>
  <c r="P18" i="26"/>
  <c r="O18" i="26"/>
  <c r="N18" i="26"/>
  <c r="M18" i="26"/>
  <c r="L18" i="26"/>
  <c r="K18" i="26"/>
  <c r="J18" i="26"/>
  <c r="I18" i="26"/>
  <c r="AT17" i="26"/>
  <c r="H17" i="26" s="1"/>
  <c r="D17" i="26" s="1"/>
  <c r="AT18" i="26"/>
  <c r="G17" i="26"/>
  <c r="F17" i="26"/>
  <c r="E17" i="26"/>
  <c r="H16" i="26"/>
  <c r="G16" i="26"/>
  <c r="F16" i="26"/>
  <c r="E16" i="26"/>
  <c r="AF15" i="26"/>
  <c r="AF19" i="26" s="1"/>
  <c r="H15" i="26"/>
  <c r="G15" i="26"/>
  <c r="E15" i="26"/>
  <c r="C15" i="26"/>
  <c r="H14" i="26"/>
  <c r="D14" i="26" s="1"/>
  <c r="G14" i="26"/>
  <c r="F14" i="26"/>
  <c r="E14" i="26"/>
  <c r="H13" i="26"/>
  <c r="G13" i="26"/>
  <c r="F13" i="26"/>
  <c r="E13" i="26"/>
  <c r="H12" i="26"/>
  <c r="G12" i="26"/>
  <c r="F12" i="26"/>
  <c r="D12" i="26"/>
  <c r="E12" i="26"/>
  <c r="C12" i="26" s="1"/>
  <c r="H11" i="26"/>
  <c r="G11" i="26"/>
  <c r="F11" i="26"/>
  <c r="D11" i="26" s="1"/>
  <c r="E11" i="26"/>
  <c r="H10" i="26"/>
  <c r="D10" i="26" s="1"/>
  <c r="G10" i="26"/>
  <c r="F10" i="26"/>
  <c r="E10" i="26"/>
  <c r="C10" i="26" s="1"/>
  <c r="H9" i="26"/>
  <c r="G9" i="26"/>
  <c r="F9" i="26"/>
  <c r="D9" i="26" s="1"/>
  <c r="E9" i="26"/>
  <c r="C9" i="26" s="1"/>
  <c r="H8" i="26"/>
  <c r="G8" i="26"/>
  <c r="F8" i="26"/>
  <c r="D8" i="26" s="1"/>
  <c r="E8" i="26"/>
  <c r="C8" i="26"/>
  <c r="H7" i="26"/>
  <c r="G7" i="26"/>
  <c r="F7" i="26"/>
  <c r="E7" i="26"/>
  <c r="D7" i="26"/>
  <c r="H6" i="26"/>
  <c r="G6" i="26"/>
  <c r="F6" i="26"/>
  <c r="D6" i="26" s="1"/>
  <c r="E6" i="26"/>
  <c r="C6" i="26" s="1"/>
  <c r="H5" i="26"/>
  <c r="G5" i="26"/>
  <c r="F5" i="26"/>
  <c r="D5" i="26" s="1"/>
  <c r="E5" i="26"/>
  <c r="H4" i="26"/>
  <c r="G4" i="26"/>
  <c r="F4" i="26"/>
  <c r="D4" i="26" s="1"/>
  <c r="E4" i="26"/>
  <c r="H3" i="26"/>
  <c r="G3" i="26"/>
  <c r="F3" i="26"/>
  <c r="E3" i="26"/>
  <c r="R2" i="26"/>
  <c r="H2" i="26"/>
  <c r="G2" i="26"/>
  <c r="E2" i="26"/>
  <c r="H7" i="33"/>
  <c r="G7" i="33"/>
  <c r="F7" i="33"/>
  <c r="E7" i="33"/>
  <c r="D7" i="33"/>
  <c r="C7" i="33"/>
  <c r="B7" i="33"/>
  <c r="I4" i="33"/>
  <c r="I7" i="33"/>
  <c r="E42" i="28"/>
  <c r="D42" i="28"/>
  <c r="E41" i="28"/>
  <c r="D41" i="28"/>
  <c r="D39" i="28" s="1"/>
  <c r="C41" i="28"/>
  <c r="E40" i="28"/>
  <c r="D40" i="28"/>
  <c r="C40" i="28"/>
  <c r="C39" i="28" s="1"/>
  <c r="C5" i="28" s="1"/>
  <c r="C49" i="28" s="1"/>
  <c r="L39" i="28"/>
  <c r="K39" i="28"/>
  <c r="J39" i="28"/>
  <c r="I39" i="28"/>
  <c r="H39" i="28"/>
  <c r="G39" i="28"/>
  <c r="F39" i="28"/>
  <c r="O22" i="28"/>
  <c r="E22" i="28"/>
  <c r="E21" i="28"/>
  <c r="D22" i="28"/>
  <c r="D21" i="28" s="1"/>
  <c r="C22" i="28"/>
  <c r="L21" i="28"/>
  <c r="K21" i="28"/>
  <c r="J21" i="28"/>
  <c r="I21" i="28"/>
  <c r="G21" i="28"/>
  <c r="F21" i="28"/>
  <c r="C21" i="28"/>
  <c r="E19" i="28"/>
  <c r="D19" i="28"/>
  <c r="E18" i="28"/>
  <c r="E8" i="28" s="1"/>
  <c r="D18" i="28"/>
  <c r="D8" i="28" s="1"/>
  <c r="L8" i="28"/>
  <c r="L5" i="28" s="1"/>
  <c r="L49" i="28" s="1"/>
  <c r="K8" i="28"/>
  <c r="J8" i="28"/>
  <c r="G8" i="28"/>
  <c r="H8" i="28" s="1"/>
  <c r="F8" i="28"/>
  <c r="F5" i="28" s="1"/>
  <c r="F49" i="28" s="1"/>
  <c r="C8" i="28"/>
  <c r="D7" i="28"/>
  <c r="E7" i="28"/>
  <c r="D6" i="28"/>
  <c r="G118" i="27"/>
  <c r="H118" i="27" s="1"/>
  <c r="I118" i="27" s="1"/>
  <c r="J118" i="27" s="1"/>
  <c r="E118" i="27"/>
  <c r="E117" i="27" s="1"/>
  <c r="D118" i="27"/>
  <c r="L117" i="27"/>
  <c r="K117" i="27"/>
  <c r="F117" i="27"/>
  <c r="D117" i="27"/>
  <c r="C117" i="27"/>
  <c r="G115" i="27"/>
  <c r="H115" i="27" s="1"/>
  <c r="E115" i="27"/>
  <c r="D115" i="27"/>
  <c r="D114" i="27" s="1"/>
  <c r="L114" i="27"/>
  <c r="K114" i="27"/>
  <c r="J114" i="27"/>
  <c r="I114" i="27"/>
  <c r="F114" i="27"/>
  <c r="F93" i="27" s="1"/>
  <c r="E114" i="27"/>
  <c r="C114" i="27"/>
  <c r="G113" i="27"/>
  <c r="H113" i="27" s="1"/>
  <c r="E113" i="27"/>
  <c r="D113" i="27"/>
  <c r="E112" i="27"/>
  <c r="D112" i="27"/>
  <c r="D111" i="27" s="1"/>
  <c r="L111" i="27"/>
  <c r="K111" i="27"/>
  <c r="J111" i="27"/>
  <c r="I111" i="27"/>
  <c r="F111" i="27"/>
  <c r="C111" i="27"/>
  <c r="G110" i="27"/>
  <c r="G109" i="27" s="1"/>
  <c r="H109" i="27" s="1"/>
  <c r="I109" i="27" s="1"/>
  <c r="E110" i="27"/>
  <c r="E109" i="27" s="1"/>
  <c r="D110" i="27"/>
  <c r="D109" i="27"/>
  <c r="L109" i="27"/>
  <c r="K109" i="27"/>
  <c r="J109" i="27"/>
  <c r="F109" i="27"/>
  <c r="C109" i="27"/>
  <c r="G108" i="27"/>
  <c r="H108" i="27" s="1"/>
  <c r="I108" i="27" s="1"/>
  <c r="J108" i="27" s="1"/>
  <c r="K108" i="27" s="1"/>
  <c r="L107" i="27"/>
  <c r="F107" i="27"/>
  <c r="E107" i="27"/>
  <c r="D107" i="27"/>
  <c r="C107" i="27"/>
  <c r="G106" i="27"/>
  <c r="G105" i="27" s="1"/>
  <c r="E106" i="27"/>
  <c r="E105" i="27" s="1"/>
  <c r="D106" i="27"/>
  <c r="D105" i="27"/>
  <c r="L105" i="27"/>
  <c r="K105" i="27"/>
  <c r="J105" i="27"/>
  <c r="F105" i="27"/>
  <c r="C105" i="27"/>
  <c r="G104" i="27"/>
  <c r="H104" i="27" s="1"/>
  <c r="I104" i="27" s="1"/>
  <c r="J104" i="27" s="1"/>
  <c r="K104" i="27" s="1"/>
  <c r="L103" i="27"/>
  <c r="F103" i="27"/>
  <c r="E103" i="27"/>
  <c r="D103" i="27"/>
  <c r="C103" i="27"/>
  <c r="E101" i="27"/>
  <c r="D101" i="27"/>
  <c r="D99" i="27" s="1"/>
  <c r="C101" i="27"/>
  <c r="C99" i="27"/>
  <c r="L99" i="27"/>
  <c r="K99" i="27"/>
  <c r="J99" i="27"/>
  <c r="I99" i="27"/>
  <c r="H99" i="27"/>
  <c r="G99" i="27"/>
  <c r="F99" i="27"/>
  <c r="E99" i="27"/>
  <c r="E98" i="27"/>
  <c r="D98" i="27"/>
  <c r="E97" i="27"/>
  <c r="D97" i="27"/>
  <c r="E96" i="27"/>
  <c r="D96" i="27"/>
  <c r="E95" i="27"/>
  <c r="E94" i="27" s="1"/>
  <c r="D95" i="27"/>
  <c r="D94" i="27" s="1"/>
  <c r="D93" i="27" s="1"/>
  <c r="L94" i="27"/>
  <c r="G94" i="27"/>
  <c r="H94" i="27" s="1"/>
  <c r="I94" i="27" s="1"/>
  <c r="J94" i="27" s="1"/>
  <c r="K94" i="27" s="1"/>
  <c r="F94" i="27"/>
  <c r="C94" i="27"/>
  <c r="E92" i="27"/>
  <c r="D92" i="27"/>
  <c r="C92" i="27"/>
  <c r="E90" i="27"/>
  <c r="D90" i="27"/>
  <c r="C89" i="27"/>
  <c r="D89" i="27" s="1"/>
  <c r="D80" i="27" s="1"/>
  <c r="Q83" i="27"/>
  <c r="Q81" i="27"/>
  <c r="G81" i="27"/>
  <c r="G80" i="27" s="1"/>
  <c r="C81" i="27"/>
  <c r="C80" i="27" s="1"/>
  <c r="Q80" i="27"/>
  <c r="L80" i="27"/>
  <c r="K80" i="27"/>
  <c r="J80" i="27"/>
  <c r="I80" i="27"/>
  <c r="F80" i="27"/>
  <c r="L79" i="27"/>
  <c r="L78" i="27" s="1"/>
  <c r="K79" i="27"/>
  <c r="K78" i="27"/>
  <c r="J79" i="27"/>
  <c r="I79" i="27"/>
  <c r="I78" i="27" s="1"/>
  <c r="E79" i="27"/>
  <c r="E78" i="27" s="1"/>
  <c r="D79" i="27"/>
  <c r="D78" i="27" s="1"/>
  <c r="J78" i="27"/>
  <c r="G78" i="27"/>
  <c r="H78" i="27" s="1"/>
  <c r="F78" i="27"/>
  <c r="C78" i="27"/>
  <c r="K77" i="27"/>
  <c r="H77" i="27"/>
  <c r="I77" i="27"/>
  <c r="J77" i="27" s="1"/>
  <c r="E77" i="27"/>
  <c r="D77" i="27"/>
  <c r="E75" i="27"/>
  <c r="D75" i="27"/>
  <c r="E74" i="27"/>
  <c r="D74" i="27"/>
  <c r="D73" i="27"/>
  <c r="E73" i="27" s="1"/>
  <c r="D72" i="27"/>
  <c r="E72" i="27" s="1"/>
  <c r="D71" i="27"/>
  <c r="E71" i="27" s="1"/>
  <c r="E70" i="27"/>
  <c r="D70" i="27"/>
  <c r="D69" i="27"/>
  <c r="E69" i="27" s="1"/>
  <c r="E68" i="27"/>
  <c r="D68" i="27"/>
  <c r="D67" i="27"/>
  <c r="E67" i="27" s="1"/>
  <c r="H66" i="27"/>
  <c r="I66" i="27" s="1"/>
  <c r="D66" i="27"/>
  <c r="E66" i="27" s="1"/>
  <c r="H65" i="27"/>
  <c r="I65" i="27"/>
  <c r="L65" i="27" s="1"/>
  <c r="D65" i="27"/>
  <c r="E65" i="27" s="1"/>
  <c r="C64" i="27"/>
  <c r="L63" i="27"/>
  <c r="K63" i="27"/>
  <c r="J63" i="27"/>
  <c r="I63" i="27"/>
  <c r="G63" i="27"/>
  <c r="H63" i="27" s="1"/>
  <c r="F63" i="27"/>
  <c r="E62" i="27"/>
  <c r="D62" i="27"/>
  <c r="E61" i="27"/>
  <c r="E60" i="27" s="1"/>
  <c r="D61" i="27"/>
  <c r="D60" i="27" s="1"/>
  <c r="C61" i="27"/>
  <c r="C60" i="27" s="1"/>
  <c r="L60" i="27"/>
  <c r="K60" i="27"/>
  <c r="J60" i="27"/>
  <c r="I60" i="27"/>
  <c r="G60" i="27"/>
  <c r="H60" i="27" s="1"/>
  <c r="F60" i="27"/>
  <c r="E51" i="27"/>
  <c r="D51" i="27"/>
  <c r="D50" i="27"/>
  <c r="E50" i="27" s="1"/>
  <c r="C50" i="27"/>
  <c r="D49" i="27"/>
  <c r="E49" i="27"/>
  <c r="C48" i="27"/>
  <c r="D48" i="27" s="1"/>
  <c r="E48" i="27" s="1"/>
  <c r="D47" i="27"/>
  <c r="E47" i="27" s="1"/>
  <c r="D46" i="27"/>
  <c r="E46" i="27"/>
  <c r="D45" i="27"/>
  <c r="E45" i="27" s="1"/>
  <c r="E44" i="27"/>
  <c r="D44" i="27"/>
  <c r="E43" i="27"/>
  <c r="D43" i="27"/>
  <c r="C43" i="27"/>
  <c r="L42" i="27"/>
  <c r="K42" i="27"/>
  <c r="J42" i="27"/>
  <c r="I42" i="27"/>
  <c r="G42" i="27"/>
  <c r="H42" i="27" s="1"/>
  <c r="F42" i="27"/>
  <c r="E41" i="27"/>
  <c r="D41" i="27"/>
  <c r="E40" i="27"/>
  <c r="E38" i="27"/>
  <c r="D40" i="27"/>
  <c r="L38" i="27"/>
  <c r="K38" i="27"/>
  <c r="J38" i="27"/>
  <c r="I38" i="27"/>
  <c r="G38" i="27"/>
  <c r="H38" i="27" s="1"/>
  <c r="F38" i="27"/>
  <c r="C38" i="27"/>
  <c r="L33" i="27"/>
  <c r="G33" i="27"/>
  <c r="H33" i="27"/>
  <c r="I33" i="27" s="1"/>
  <c r="J33" i="27" s="1"/>
  <c r="F33" i="27"/>
  <c r="C33" i="27"/>
  <c r="D33" i="27" s="1"/>
  <c r="E33" i="27"/>
  <c r="E30" i="27"/>
  <c r="D30" i="27"/>
  <c r="E29" i="27"/>
  <c r="D29" i="27"/>
  <c r="D28" i="27"/>
  <c r="E28" i="27" s="1"/>
  <c r="E27" i="27"/>
  <c r="D27" i="27"/>
  <c r="C27" i="27"/>
  <c r="D26" i="27"/>
  <c r="D23" i="27" s="1"/>
  <c r="E25" i="27"/>
  <c r="D25" i="27"/>
  <c r="C25" i="27"/>
  <c r="C23" i="27"/>
  <c r="L23" i="27"/>
  <c r="K23" i="27"/>
  <c r="J23" i="27"/>
  <c r="I23" i="27"/>
  <c r="H23" i="27"/>
  <c r="G23" i="27"/>
  <c r="F23" i="27"/>
  <c r="E18" i="27"/>
  <c r="D18" i="27"/>
  <c r="E17" i="27"/>
  <c r="D17" i="27"/>
  <c r="E16" i="27"/>
  <c r="D16" i="27"/>
  <c r="H15" i="27"/>
  <c r="H14" i="27"/>
  <c r="E14" i="27"/>
  <c r="E6" i="27" s="1"/>
  <c r="D14" i="27"/>
  <c r="C14" i="27"/>
  <c r="H13" i="27"/>
  <c r="H12" i="27"/>
  <c r="H6" i="27" s="1"/>
  <c r="C12" i="27"/>
  <c r="H11" i="27"/>
  <c r="E11" i="27"/>
  <c r="D11" i="27"/>
  <c r="H10" i="27"/>
  <c r="H9" i="27"/>
  <c r="E9" i="27"/>
  <c r="D9" i="27"/>
  <c r="H8" i="27"/>
  <c r="H7" i="27"/>
  <c r="E7" i="27"/>
  <c r="D7" i="27"/>
  <c r="D6" i="27" s="1"/>
  <c r="C7" i="27"/>
  <c r="L6" i="27"/>
  <c r="K6" i="27"/>
  <c r="J6" i="27"/>
  <c r="I6" i="27"/>
  <c r="G6" i="27"/>
  <c r="F6" i="27"/>
  <c r="E183" i="15"/>
  <c r="D183" i="15"/>
  <c r="E182" i="15"/>
  <c r="D182" i="15"/>
  <c r="E181" i="15"/>
  <c r="D181" i="15"/>
  <c r="E180" i="15"/>
  <c r="D180" i="15"/>
  <c r="E179" i="15"/>
  <c r="D179" i="15"/>
  <c r="I178" i="15"/>
  <c r="G178" i="15"/>
  <c r="D178" i="15"/>
  <c r="E177" i="15"/>
  <c r="D177" i="15"/>
  <c r="E176" i="15"/>
  <c r="D176" i="15"/>
  <c r="E175" i="15"/>
  <c r="D175" i="15"/>
  <c r="E174" i="15"/>
  <c r="D174" i="15"/>
  <c r="D172" i="15" s="1"/>
  <c r="D184" i="15" s="1"/>
  <c r="E173" i="15"/>
  <c r="D173" i="15"/>
  <c r="K172" i="15"/>
  <c r="K184" i="15" s="1"/>
  <c r="J172" i="15"/>
  <c r="J184" i="15" s="1"/>
  <c r="I172" i="15"/>
  <c r="I184" i="15" s="1"/>
  <c r="H172" i="15"/>
  <c r="H184" i="15" s="1"/>
  <c r="F172" i="15"/>
  <c r="F184" i="15" s="1"/>
  <c r="K159" i="15"/>
  <c r="J159" i="15"/>
  <c r="H159" i="15"/>
  <c r="F159" i="15"/>
  <c r="I158" i="15"/>
  <c r="G158" i="15"/>
  <c r="G159" i="15" s="1"/>
  <c r="D158" i="15"/>
  <c r="E157" i="15"/>
  <c r="D157" i="15"/>
  <c r="E156" i="15"/>
  <c r="D156" i="15"/>
  <c r="E155" i="15"/>
  <c r="D155" i="15"/>
  <c r="E154" i="15"/>
  <c r="D154" i="15"/>
  <c r="D159" i="15" s="1"/>
  <c r="K153" i="15"/>
  <c r="J153" i="15"/>
  <c r="H153" i="15"/>
  <c r="H160" i="15" s="1"/>
  <c r="F153" i="15"/>
  <c r="F160" i="15" s="1"/>
  <c r="G152" i="15"/>
  <c r="G153" i="15" s="1"/>
  <c r="G160" i="15" s="1"/>
  <c r="D152" i="15"/>
  <c r="E151" i="15"/>
  <c r="D151" i="15"/>
  <c r="E150" i="15"/>
  <c r="D150" i="15"/>
  <c r="E149" i="15"/>
  <c r="D149" i="15"/>
  <c r="I148" i="15"/>
  <c r="E148" i="15" s="1"/>
  <c r="D148" i="15"/>
  <c r="E147" i="15"/>
  <c r="D147" i="15"/>
  <c r="E146" i="15"/>
  <c r="D146" i="15"/>
  <c r="E145" i="15"/>
  <c r="D145" i="15"/>
  <c r="K129" i="15"/>
  <c r="J129" i="15"/>
  <c r="I129" i="15"/>
  <c r="H129" i="15"/>
  <c r="G129" i="15"/>
  <c r="F129" i="15"/>
  <c r="D129" i="15"/>
  <c r="K126" i="15"/>
  <c r="J126" i="15"/>
  <c r="I126" i="15"/>
  <c r="H126" i="15"/>
  <c r="D126" i="15" s="1"/>
  <c r="G126" i="15"/>
  <c r="E126" i="15" s="1"/>
  <c r="F126" i="15"/>
  <c r="K121" i="15"/>
  <c r="J121" i="15"/>
  <c r="I121" i="15"/>
  <c r="H121" i="15"/>
  <c r="G121" i="15"/>
  <c r="E121" i="15" s="1"/>
  <c r="F121" i="15"/>
  <c r="D121" i="15" s="1"/>
  <c r="K117" i="15"/>
  <c r="J117" i="15"/>
  <c r="J134" i="15" s="1"/>
  <c r="I117" i="15"/>
  <c r="H117" i="15"/>
  <c r="G117" i="15"/>
  <c r="F117" i="15"/>
  <c r="D117" i="15" s="1"/>
  <c r="K114" i="15"/>
  <c r="J114" i="15"/>
  <c r="H114" i="15"/>
  <c r="F114" i="15"/>
  <c r="E112" i="15"/>
  <c r="D112" i="15"/>
  <c r="K109" i="15"/>
  <c r="K113" i="15" s="1"/>
  <c r="J109" i="15"/>
  <c r="J113" i="15" s="1"/>
  <c r="I109" i="15"/>
  <c r="I113" i="15" s="1"/>
  <c r="H109" i="15"/>
  <c r="H113" i="15" s="1"/>
  <c r="G109" i="15"/>
  <c r="F109" i="15"/>
  <c r="F113" i="15"/>
  <c r="G107" i="15"/>
  <c r="G103" i="15" s="1"/>
  <c r="E103" i="15" s="1"/>
  <c r="K103" i="15"/>
  <c r="J103" i="15"/>
  <c r="I103" i="15"/>
  <c r="H103" i="15"/>
  <c r="F103" i="15"/>
  <c r="D103" i="15" s="1"/>
  <c r="G102" i="15"/>
  <c r="K99" i="15"/>
  <c r="K108" i="15" s="1"/>
  <c r="J99" i="15"/>
  <c r="I99" i="15"/>
  <c r="H99" i="15"/>
  <c r="G99" i="15"/>
  <c r="G108" i="15" s="1"/>
  <c r="F99" i="15"/>
  <c r="D99" i="15" s="1"/>
  <c r="K96" i="15"/>
  <c r="J96" i="15"/>
  <c r="I96" i="15"/>
  <c r="G96" i="15"/>
  <c r="F96" i="15"/>
  <c r="G95" i="15"/>
  <c r="E95" i="15" s="1"/>
  <c r="D95" i="15"/>
  <c r="K92" i="15"/>
  <c r="J92" i="15"/>
  <c r="I92" i="15"/>
  <c r="H92" i="15"/>
  <c r="D92" i="15" s="1"/>
  <c r="G92" i="15"/>
  <c r="E92" i="15" s="1"/>
  <c r="F92" i="15"/>
  <c r="K90" i="15"/>
  <c r="J90" i="15"/>
  <c r="D90" i="15" s="1"/>
  <c r="I90" i="15"/>
  <c r="G90" i="15"/>
  <c r="K86" i="15"/>
  <c r="J86" i="15"/>
  <c r="I86" i="15"/>
  <c r="H86" i="15"/>
  <c r="G86" i="15"/>
  <c r="F86" i="15"/>
  <c r="D86" i="15" s="1"/>
  <c r="D108" i="15" s="1"/>
  <c r="K82" i="15"/>
  <c r="J82" i="15"/>
  <c r="I82" i="15"/>
  <c r="H82" i="15"/>
  <c r="G82" i="15"/>
  <c r="F82" i="15"/>
  <c r="G77" i="15"/>
  <c r="G75" i="15" s="1"/>
  <c r="G85" i="15" s="1"/>
  <c r="K75" i="15"/>
  <c r="K85" i="15" s="1"/>
  <c r="J75" i="15"/>
  <c r="J85" i="15" s="1"/>
  <c r="I75" i="15"/>
  <c r="H75" i="15"/>
  <c r="H85" i="15" s="1"/>
  <c r="F75" i="15"/>
  <c r="K71" i="15"/>
  <c r="J71" i="15"/>
  <c r="I71" i="15"/>
  <c r="H71" i="15"/>
  <c r="G71" i="15"/>
  <c r="E71" i="15"/>
  <c r="F71" i="15"/>
  <c r="K64" i="15"/>
  <c r="J64" i="15"/>
  <c r="I64" i="15"/>
  <c r="H64" i="15"/>
  <c r="G64" i="15"/>
  <c r="F64" i="15"/>
  <c r="F74" i="15" s="1"/>
  <c r="K57" i="15"/>
  <c r="J57" i="15"/>
  <c r="I57" i="15"/>
  <c r="H57" i="15"/>
  <c r="G57" i="15"/>
  <c r="F57" i="15"/>
  <c r="J50" i="15"/>
  <c r="F50" i="15"/>
  <c r="K49" i="15"/>
  <c r="D49" i="15"/>
  <c r="E48" i="15"/>
  <c r="D48" i="15"/>
  <c r="D47" i="15"/>
  <c r="K42" i="15"/>
  <c r="K47" i="15" s="1"/>
  <c r="J42" i="15"/>
  <c r="I42" i="15"/>
  <c r="H42" i="15"/>
  <c r="D42" i="15" s="1"/>
  <c r="G42" i="15"/>
  <c r="F42" i="15"/>
  <c r="K40" i="15"/>
  <c r="K46" i="15" s="1"/>
  <c r="K50" i="15" s="1"/>
  <c r="J40" i="15"/>
  <c r="J44" i="15" s="1"/>
  <c r="I40" i="15"/>
  <c r="H40" i="15"/>
  <c r="H46" i="15" s="1"/>
  <c r="G40" i="15"/>
  <c r="F40" i="15"/>
  <c r="E39" i="15"/>
  <c r="D39" i="15"/>
  <c r="K38" i="15"/>
  <c r="J38" i="15"/>
  <c r="G37" i="15"/>
  <c r="I36" i="15"/>
  <c r="D36" i="15"/>
  <c r="G35" i="15"/>
  <c r="G34" i="15" s="1"/>
  <c r="E34" i="15" s="1"/>
  <c r="I34" i="15"/>
  <c r="H34" i="15"/>
  <c r="F34" i="15"/>
  <c r="E33" i="15"/>
  <c r="D33" i="15"/>
  <c r="I31" i="15"/>
  <c r="G31" i="15"/>
  <c r="E31" i="15" s="1"/>
  <c r="D31" i="15"/>
  <c r="E30" i="15"/>
  <c r="D30" i="15"/>
  <c r="E29" i="15"/>
  <c r="D29" i="15"/>
  <c r="I27" i="15"/>
  <c r="G27" i="15"/>
  <c r="D27" i="15"/>
  <c r="E26" i="15"/>
  <c r="D26" i="15"/>
  <c r="E25" i="15"/>
  <c r="D25" i="15"/>
  <c r="I22" i="15"/>
  <c r="G22" i="15"/>
  <c r="F22" i="15"/>
  <c r="F38" i="15" s="1"/>
  <c r="E21" i="15"/>
  <c r="D21" i="15"/>
  <c r="E20" i="15"/>
  <c r="D20" i="15"/>
  <c r="I6" i="15"/>
  <c r="E6" i="15" s="1"/>
  <c r="D6" i="15"/>
  <c r="E45" i="12"/>
  <c r="E44" i="12"/>
  <c r="D42" i="12"/>
  <c r="E40" i="12"/>
  <c r="D36" i="12"/>
  <c r="E33" i="12"/>
  <c r="E29" i="12"/>
  <c r="D28" i="12"/>
  <c r="C28" i="12"/>
  <c r="E27" i="12"/>
  <c r="E26" i="12"/>
  <c r="D25" i="12"/>
  <c r="C25" i="12"/>
  <c r="E25" i="12" s="1"/>
  <c r="E24" i="12"/>
  <c r="D23" i="12"/>
  <c r="C23" i="12"/>
  <c r="E21" i="12"/>
  <c r="D20" i="12"/>
  <c r="C20" i="12"/>
  <c r="E19" i="12"/>
  <c r="E18" i="12"/>
  <c r="E17" i="12"/>
  <c r="E16" i="12"/>
  <c r="E15" i="12"/>
  <c r="E14" i="12"/>
  <c r="E13" i="12"/>
  <c r="E12" i="12"/>
  <c r="D11" i="12"/>
  <c r="C11" i="12"/>
  <c r="E10" i="12"/>
  <c r="D9" i="12"/>
  <c r="C9" i="12"/>
  <c r="E7" i="12"/>
  <c r="G186" i="1"/>
  <c r="E185" i="1"/>
  <c r="D185" i="1"/>
  <c r="E184" i="1"/>
  <c r="D184" i="1"/>
  <c r="E183" i="1"/>
  <c r="D183" i="1"/>
  <c r="E182" i="1"/>
  <c r="D182" i="1"/>
  <c r="E181" i="1"/>
  <c r="D181" i="1"/>
  <c r="I180" i="1"/>
  <c r="I174" i="1" s="1"/>
  <c r="I186" i="1"/>
  <c r="G180" i="1"/>
  <c r="D180" i="1"/>
  <c r="E179" i="1"/>
  <c r="D179" i="1"/>
  <c r="E178" i="1"/>
  <c r="D178" i="1"/>
  <c r="E177" i="1"/>
  <c r="D177" i="1"/>
  <c r="E176" i="1"/>
  <c r="D176" i="1"/>
  <c r="E175" i="1"/>
  <c r="D175" i="1"/>
  <c r="D174" i="1" s="1"/>
  <c r="D186" i="1" s="1"/>
  <c r="H174" i="1"/>
  <c r="H186" i="1" s="1"/>
  <c r="G174" i="1"/>
  <c r="F174" i="1"/>
  <c r="F186" i="1" s="1"/>
  <c r="H161" i="1"/>
  <c r="F161" i="1"/>
  <c r="I160" i="1"/>
  <c r="I161" i="1" s="1"/>
  <c r="G160" i="1"/>
  <c r="G161" i="1" s="1"/>
  <c r="D160" i="1"/>
  <c r="E159" i="1"/>
  <c r="D159" i="1"/>
  <c r="E158" i="1"/>
  <c r="D158" i="1"/>
  <c r="E157" i="1"/>
  <c r="D157" i="1"/>
  <c r="E156" i="1"/>
  <c r="D156" i="1"/>
  <c r="H155" i="1"/>
  <c r="F155" i="1"/>
  <c r="I154" i="1"/>
  <c r="G154" i="1"/>
  <c r="G155" i="1" s="1"/>
  <c r="D154" i="1"/>
  <c r="E153" i="1"/>
  <c r="D153" i="1"/>
  <c r="E152" i="1"/>
  <c r="D152" i="1"/>
  <c r="E151" i="1"/>
  <c r="D151" i="1"/>
  <c r="E150" i="1"/>
  <c r="D150" i="1"/>
  <c r="E149" i="1"/>
  <c r="D149" i="1"/>
  <c r="E148" i="1"/>
  <c r="D148" i="1"/>
  <c r="E147" i="1"/>
  <c r="D147" i="1"/>
  <c r="I131" i="1"/>
  <c r="H131" i="1"/>
  <c r="G131" i="1"/>
  <c r="E131" i="1" s="1"/>
  <c r="F131" i="1"/>
  <c r="D131" i="1"/>
  <c r="I128" i="1"/>
  <c r="E128" i="1" s="1"/>
  <c r="H128" i="1"/>
  <c r="G128" i="1"/>
  <c r="F128" i="1"/>
  <c r="D128" i="1" s="1"/>
  <c r="I123" i="1"/>
  <c r="H123" i="1"/>
  <c r="G123" i="1"/>
  <c r="E123" i="1" s="1"/>
  <c r="F123" i="1"/>
  <c r="I119" i="1"/>
  <c r="H119" i="1"/>
  <c r="H136" i="1" s="1"/>
  <c r="G119" i="1"/>
  <c r="F119" i="1"/>
  <c r="H116" i="1"/>
  <c r="F116" i="1"/>
  <c r="D116" i="1" s="1"/>
  <c r="E114" i="1"/>
  <c r="D114" i="1"/>
  <c r="I111" i="1"/>
  <c r="H111" i="1"/>
  <c r="G111" i="1"/>
  <c r="F111" i="1"/>
  <c r="I105" i="1"/>
  <c r="H105" i="1"/>
  <c r="G105" i="1"/>
  <c r="F105" i="1"/>
  <c r="D105" i="1" s="1"/>
  <c r="I101" i="1"/>
  <c r="E101" i="1" s="1"/>
  <c r="H101" i="1"/>
  <c r="G101" i="1"/>
  <c r="F101" i="1"/>
  <c r="D101" i="1" s="1"/>
  <c r="I98" i="1"/>
  <c r="G98" i="1"/>
  <c r="E98" i="1"/>
  <c r="D98" i="1"/>
  <c r="E97" i="1"/>
  <c r="D97" i="1"/>
  <c r="I94" i="1"/>
  <c r="H94" i="1"/>
  <c r="G94" i="1"/>
  <c r="F94" i="1"/>
  <c r="E94" i="1"/>
  <c r="I92" i="1"/>
  <c r="G92" i="1"/>
  <c r="D92" i="1"/>
  <c r="I88" i="1"/>
  <c r="E88" i="1" s="1"/>
  <c r="H88" i="1"/>
  <c r="G88" i="1"/>
  <c r="F88" i="1"/>
  <c r="I84" i="1"/>
  <c r="H84" i="1"/>
  <c r="G84" i="1"/>
  <c r="F84" i="1"/>
  <c r="D84" i="1" s="1"/>
  <c r="I77" i="1"/>
  <c r="H77" i="1"/>
  <c r="H87" i="1" s="1"/>
  <c r="G77" i="1"/>
  <c r="F77" i="1"/>
  <c r="F87" i="1"/>
  <c r="D77" i="1"/>
  <c r="I73" i="1"/>
  <c r="H73" i="1"/>
  <c r="G73" i="1"/>
  <c r="F73" i="1"/>
  <c r="D73" i="1" s="1"/>
  <c r="I66" i="1"/>
  <c r="H66" i="1"/>
  <c r="G66" i="1"/>
  <c r="E66" i="1" s="1"/>
  <c r="F66" i="1"/>
  <c r="I59" i="1"/>
  <c r="I76" i="1" s="1"/>
  <c r="H59" i="1"/>
  <c r="H76" i="1"/>
  <c r="G59" i="1"/>
  <c r="E59" i="1" s="1"/>
  <c r="E76" i="1" s="1"/>
  <c r="F59" i="1"/>
  <c r="D59" i="1" s="1"/>
  <c r="F52" i="1"/>
  <c r="D51" i="1"/>
  <c r="E50" i="1"/>
  <c r="D50" i="1"/>
  <c r="D49" i="1"/>
  <c r="I44" i="1"/>
  <c r="H44" i="1"/>
  <c r="G44" i="1"/>
  <c r="E44" i="1"/>
  <c r="F44" i="1"/>
  <c r="I42" i="1"/>
  <c r="H42" i="1"/>
  <c r="G42" i="1"/>
  <c r="F42" i="1"/>
  <c r="E41" i="1"/>
  <c r="D41" i="1"/>
  <c r="I37" i="1"/>
  <c r="G37" i="1"/>
  <c r="E37" i="1" s="1"/>
  <c r="D37" i="1"/>
  <c r="I35" i="1"/>
  <c r="H35" i="1"/>
  <c r="F35" i="1"/>
  <c r="E34" i="1"/>
  <c r="D34" i="1"/>
  <c r="I31" i="1"/>
  <c r="G31" i="1"/>
  <c r="D31" i="1"/>
  <c r="E30" i="1"/>
  <c r="D30" i="1"/>
  <c r="E29" i="1"/>
  <c r="D29" i="1"/>
  <c r="G28" i="1"/>
  <c r="I27" i="1"/>
  <c r="D27" i="1"/>
  <c r="E26" i="1"/>
  <c r="D26" i="1"/>
  <c r="E25" i="1"/>
  <c r="D25" i="1"/>
  <c r="I22" i="1"/>
  <c r="I48" i="1" s="1"/>
  <c r="G22" i="1"/>
  <c r="F22" i="1"/>
  <c r="D22" i="1"/>
  <c r="E21" i="1"/>
  <c r="D21" i="1"/>
  <c r="E20" i="1"/>
  <c r="D20" i="1"/>
  <c r="G13" i="1"/>
  <c r="G6" i="1" s="1"/>
  <c r="G11" i="1"/>
  <c r="I6" i="1"/>
  <c r="D6" i="1"/>
  <c r="C45" i="37"/>
  <c r="E45" i="37" s="1"/>
  <c r="E44" i="37"/>
  <c r="D43" i="37"/>
  <c r="D42" i="37" s="1"/>
  <c r="C43" i="37"/>
  <c r="C41" i="37"/>
  <c r="E41" i="37" s="1"/>
  <c r="E40" i="37"/>
  <c r="D39" i="37"/>
  <c r="D38" i="37"/>
  <c r="C38" i="37"/>
  <c r="D37" i="37"/>
  <c r="C37" i="37"/>
  <c r="E33" i="37"/>
  <c r="E29" i="37"/>
  <c r="D28" i="37"/>
  <c r="C28" i="37"/>
  <c r="E28" i="37" s="1"/>
  <c r="E27" i="37"/>
  <c r="E26" i="37"/>
  <c r="D25" i="37"/>
  <c r="C25" i="37"/>
  <c r="E24" i="37"/>
  <c r="D23" i="37"/>
  <c r="C23" i="37"/>
  <c r="E21" i="37"/>
  <c r="D20" i="37"/>
  <c r="C20" i="37"/>
  <c r="E19" i="37"/>
  <c r="E18" i="37"/>
  <c r="E17" i="37"/>
  <c r="E16" i="37"/>
  <c r="E15" i="37"/>
  <c r="E14" i="37"/>
  <c r="E13" i="37"/>
  <c r="E12" i="37"/>
  <c r="D11" i="37"/>
  <c r="C11" i="37"/>
  <c r="E10" i="37"/>
  <c r="D9" i="37"/>
  <c r="C9" i="37"/>
  <c r="E7" i="37"/>
  <c r="E6" i="37"/>
  <c r="E45" i="8"/>
  <c r="E44" i="8"/>
  <c r="D43" i="8"/>
  <c r="D42" i="8" s="1"/>
  <c r="C43" i="8"/>
  <c r="C42" i="8" s="1"/>
  <c r="C41" i="8"/>
  <c r="E41" i="8" s="1"/>
  <c r="E40" i="8"/>
  <c r="D39" i="8"/>
  <c r="D38" i="8"/>
  <c r="C38" i="8"/>
  <c r="D37" i="8"/>
  <c r="C37" i="8"/>
  <c r="E33" i="8"/>
  <c r="E29" i="8"/>
  <c r="D28" i="8"/>
  <c r="C28" i="8"/>
  <c r="E28" i="8" s="1"/>
  <c r="E27" i="8"/>
  <c r="E26" i="8"/>
  <c r="D25" i="8"/>
  <c r="D22" i="8" s="1"/>
  <c r="C25" i="8"/>
  <c r="E25" i="8" s="1"/>
  <c r="E24" i="8"/>
  <c r="D23" i="8"/>
  <c r="C23" i="8"/>
  <c r="E23" i="8" s="1"/>
  <c r="E21" i="8"/>
  <c r="D20" i="8"/>
  <c r="C20" i="8"/>
  <c r="E19" i="8"/>
  <c r="E18" i="8"/>
  <c r="E17" i="8"/>
  <c r="E16" i="8"/>
  <c r="E15" i="8"/>
  <c r="E14" i="8"/>
  <c r="E13" i="8"/>
  <c r="E12" i="8"/>
  <c r="D11" i="8"/>
  <c r="C11" i="8"/>
  <c r="E11" i="8" s="1"/>
  <c r="E10" i="8"/>
  <c r="D9" i="8"/>
  <c r="C9" i="8"/>
  <c r="E9" i="8"/>
  <c r="E7" i="8"/>
  <c r="E45" i="14"/>
  <c r="C41" i="14"/>
  <c r="E41" i="14" s="1"/>
  <c r="E40" i="14"/>
  <c r="D38" i="14"/>
  <c r="C38" i="14"/>
  <c r="D37" i="14"/>
  <c r="C37" i="14"/>
  <c r="E33" i="14"/>
  <c r="E29" i="14"/>
  <c r="D28" i="14"/>
  <c r="C28" i="14"/>
  <c r="E27" i="14"/>
  <c r="E26" i="14"/>
  <c r="D25" i="14"/>
  <c r="C25" i="14"/>
  <c r="E24" i="14"/>
  <c r="D23" i="14"/>
  <c r="C23" i="14"/>
  <c r="E21" i="14"/>
  <c r="D20" i="14"/>
  <c r="C20" i="14"/>
  <c r="E19" i="14"/>
  <c r="E18" i="14"/>
  <c r="E17" i="14"/>
  <c r="E16" i="14"/>
  <c r="E15" i="14"/>
  <c r="E14" i="14"/>
  <c r="E13" i="14"/>
  <c r="E12" i="14"/>
  <c r="D11" i="14"/>
  <c r="C11" i="14"/>
  <c r="E10" i="14"/>
  <c r="D9" i="14"/>
  <c r="C9" i="14"/>
  <c r="E7" i="14"/>
  <c r="E6" i="14"/>
  <c r="E45" i="18"/>
  <c r="C44" i="18"/>
  <c r="E44" i="18" s="1"/>
  <c r="D43" i="18"/>
  <c r="D42" i="18" s="1"/>
  <c r="C43" i="18"/>
  <c r="C41" i="18"/>
  <c r="E41" i="18" s="1"/>
  <c r="E40" i="18"/>
  <c r="D39" i="18"/>
  <c r="D38" i="18"/>
  <c r="C38" i="18"/>
  <c r="D37" i="18"/>
  <c r="C37" i="18"/>
  <c r="E33" i="18"/>
  <c r="E29" i="18"/>
  <c r="D28" i="18"/>
  <c r="C28" i="18"/>
  <c r="E27" i="18"/>
  <c r="E26" i="18"/>
  <c r="D25" i="18"/>
  <c r="C25" i="18"/>
  <c r="E24" i="18"/>
  <c r="D23" i="18"/>
  <c r="E23" i="18" s="1"/>
  <c r="C23" i="18"/>
  <c r="E21" i="18"/>
  <c r="D20" i="18"/>
  <c r="C20" i="18"/>
  <c r="E19" i="18"/>
  <c r="E18" i="18"/>
  <c r="E17" i="18"/>
  <c r="E16" i="18"/>
  <c r="E15" i="18"/>
  <c r="E14" i="18"/>
  <c r="E13" i="18"/>
  <c r="E12" i="18"/>
  <c r="D11" i="18"/>
  <c r="C11" i="18"/>
  <c r="E10" i="18"/>
  <c r="D9" i="18"/>
  <c r="C9" i="18"/>
  <c r="E7" i="18"/>
  <c r="C6" i="18"/>
  <c r="E6" i="18" s="1"/>
  <c r="E45" i="7"/>
  <c r="E44" i="7"/>
  <c r="D43" i="7"/>
  <c r="D42" i="7" s="1"/>
  <c r="C43" i="7"/>
  <c r="C42" i="7" s="1"/>
  <c r="D41" i="7"/>
  <c r="C41" i="7"/>
  <c r="E40" i="7"/>
  <c r="D39" i="7"/>
  <c r="D38" i="7"/>
  <c r="C38" i="7"/>
  <c r="D37" i="7"/>
  <c r="C37" i="7"/>
  <c r="E33" i="7"/>
  <c r="E29" i="7"/>
  <c r="D28" i="7"/>
  <c r="C28" i="7"/>
  <c r="E28" i="7" s="1"/>
  <c r="E27" i="7"/>
  <c r="E26" i="7"/>
  <c r="D25" i="7"/>
  <c r="C25" i="7"/>
  <c r="E25" i="7" s="1"/>
  <c r="E24" i="7"/>
  <c r="D23" i="7"/>
  <c r="C23" i="7"/>
  <c r="E21" i="7"/>
  <c r="D20" i="7"/>
  <c r="C20" i="7"/>
  <c r="E19" i="7"/>
  <c r="E18" i="7"/>
  <c r="E17" i="7"/>
  <c r="E16" i="7"/>
  <c r="E15" i="7"/>
  <c r="E14" i="7"/>
  <c r="E13" i="7"/>
  <c r="E12" i="7"/>
  <c r="D11" i="7"/>
  <c r="C11" i="7"/>
  <c r="E11" i="7" s="1"/>
  <c r="E10" i="7"/>
  <c r="D9" i="7"/>
  <c r="C9" i="7"/>
  <c r="E7" i="7"/>
  <c r="E45" i="5"/>
  <c r="E44" i="5"/>
  <c r="D43" i="5"/>
  <c r="D42" i="5" s="1"/>
  <c r="C43" i="5"/>
  <c r="C42" i="5" s="1"/>
  <c r="D41" i="5"/>
  <c r="C41" i="5"/>
  <c r="E40" i="5"/>
  <c r="D39" i="5"/>
  <c r="D38" i="5"/>
  <c r="C38" i="5"/>
  <c r="D37" i="5"/>
  <c r="E33" i="5"/>
  <c r="E29" i="5"/>
  <c r="D28" i="5"/>
  <c r="D22" i="5" s="1"/>
  <c r="E22" i="5" s="1"/>
  <c r="C28" i="5"/>
  <c r="E27" i="5"/>
  <c r="E26" i="5"/>
  <c r="D25" i="5"/>
  <c r="C25" i="5"/>
  <c r="E25" i="5" s="1"/>
  <c r="E24" i="5"/>
  <c r="D23" i="5"/>
  <c r="C23" i="5"/>
  <c r="E21" i="5"/>
  <c r="D20" i="5"/>
  <c r="E20" i="5" s="1"/>
  <c r="C20" i="5"/>
  <c r="E19" i="5"/>
  <c r="E18" i="5"/>
  <c r="E17" i="5"/>
  <c r="E16" i="5"/>
  <c r="E15" i="5"/>
  <c r="E14" i="5"/>
  <c r="E13" i="5"/>
  <c r="E12" i="5"/>
  <c r="D11" i="5"/>
  <c r="C11" i="5"/>
  <c r="C8" i="5" s="1"/>
  <c r="E10" i="5"/>
  <c r="D9" i="5"/>
  <c r="C9" i="5"/>
  <c r="E9" i="5"/>
  <c r="E7" i="5"/>
  <c r="E6" i="5"/>
  <c r="E45" i="2"/>
  <c r="D43" i="2"/>
  <c r="D42" i="2" s="1"/>
  <c r="C43" i="2"/>
  <c r="D41" i="2"/>
  <c r="C41" i="2"/>
  <c r="E40" i="2"/>
  <c r="D39" i="2"/>
  <c r="D38" i="2"/>
  <c r="C38" i="2"/>
  <c r="D37" i="2"/>
  <c r="E33" i="2"/>
  <c r="E29" i="2"/>
  <c r="D28" i="2"/>
  <c r="C28" i="2"/>
  <c r="E27" i="2"/>
  <c r="E26" i="2"/>
  <c r="D25" i="2"/>
  <c r="C25" i="2"/>
  <c r="E24" i="2"/>
  <c r="D23" i="2"/>
  <c r="E23" i="2" s="1"/>
  <c r="C23" i="2"/>
  <c r="E21" i="2"/>
  <c r="D20" i="2"/>
  <c r="C20" i="2"/>
  <c r="E20" i="2" s="1"/>
  <c r="E19" i="2"/>
  <c r="E18" i="2"/>
  <c r="E17" i="2"/>
  <c r="E16" i="2"/>
  <c r="E15" i="2"/>
  <c r="E14" i="2"/>
  <c r="E13" i="2"/>
  <c r="E12" i="2"/>
  <c r="D11" i="2"/>
  <c r="C11" i="2"/>
  <c r="E10" i="2"/>
  <c r="D9" i="2"/>
  <c r="C9" i="2"/>
  <c r="E7" i="2"/>
  <c r="E6" i="2"/>
  <c r="E48" i="20"/>
  <c r="D48" i="20"/>
  <c r="D18" i="24" s="1"/>
  <c r="C48" i="20"/>
  <c r="E47" i="20"/>
  <c r="E17" i="24" s="1"/>
  <c r="D47" i="20"/>
  <c r="C47" i="20"/>
  <c r="E46" i="20"/>
  <c r="E16" i="24" s="1"/>
  <c r="D46" i="20"/>
  <c r="E44" i="20"/>
  <c r="D44" i="20"/>
  <c r="C44" i="20"/>
  <c r="E43" i="20"/>
  <c r="E8" i="24" s="1"/>
  <c r="D43" i="20"/>
  <c r="C43" i="20"/>
  <c r="E42" i="20"/>
  <c r="E7" i="24" s="1"/>
  <c r="E41" i="20"/>
  <c r="E6" i="24" s="1"/>
  <c r="C41" i="20"/>
  <c r="E40" i="20"/>
  <c r="E5" i="24" s="1"/>
  <c r="D40" i="20"/>
  <c r="C40" i="20"/>
  <c r="F36" i="20"/>
  <c r="F32" i="20"/>
  <c r="E31" i="20"/>
  <c r="D31" i="20"/>
  <c r="C31" i="20"/>
  <c r="F30" i="20"/>
  <c r="F29" i="20"/>
  <c r="E28" i="20"/>
  <c r="D28" i="20"/>
  <c r="C28" i="20"/>
  <c r="F27" i="20"/>
  <c r="E26" i="20"/>
  <c r="D26" i="20"/>
  <c r="D25" i="20" s="1"/>
  <c r="C26" i="20"/>
  <c r="F24" i="20"/>
  <c r="E23" i="20"/>
  <c r="D23" i="20"/>
  <c r="F23" i="20" s="1"/>
  <c r="C23" i="20"/>
  <c r="E22" i="20"/>
  <c r="D22" i="20"/>
  <c r="C22" i="20"/>
  <c r="E21" i="20"/>
  <c r="E25" i="11" s="1"/>
  <c r="D21" i="20"/>
  <c r="D25" i="11" s="1"/>
  <c r="C21" i="20"/>
  <c r="E20" i="20"/>
  <c r="D20" i="20"/>
  <c r="D24" i="11" s="1"/>
  <c r="C20" i="20"/>
  <c r="F19" i="20"/>
  <c r="E18" i="20"/>
  <c r="E22" i="11" s="1"/>
  <c r="D18" i="20"/>
  <c r="D22" i="11" s="1"/>
  <c r="C18" i="20"/>
  <c r="E17" i="20"/>
  <c r="D17" i="20"/>
  <c r="C17" i="20"/>
  <c r="F16" i="20"/>
  <c r="E15" i="20"/>
  <c r="E19" i="11" s="1"/>
  <c r="D15" i="20"/>
  <c r="C15" i="20"/>
  <c r="F13" i="20"/>
  <c r="F12" i="20"/>
  <c r="E11" i="20"/>
  <c r="D11" i="20"/>
  <c r="C11" i="20"/>
  <c r="F10" i="20"/>
  <c r="E9" i="20"/>
  <c r="D9" i="20"/>
  <c r="C9" i="20"/>
  <c r="F7" i="20"/>
  <c r="F6" i="20"/>
  <c r="D31" i="35"/>
  <c r="D30" i="35"/>
  <c r="D28" i="35"/>
  <c r="D23" i="35"/>
  <c r="D24" i="35"/>
  <c r="C20" i="35"/>
  <c r="C19" i="35" s="1"/>
  <c r="C13" i="35"/>
  <c r="C10" i="35"/>
  <c r="C6" i="35"/>
  <c r="B26" i="29"/>
  <c r="B4" i="29"/>
  <c r="B34" i="29" s="1"/>
  <c r="E50" i="25" s="1"/>
  <c r="H121" i="38"/>
  <c r="D117" i="38"/>
  <c r="D116" i="38"/>
  <c r="D115" i="38"/>
  <c r="D114" i="38"/>
  <c r="D113" i="38"/>
  <c r="D112" i="38"/>
  <c r="H111" i="38"/>
  <c r="G111" i="38"/>
  <c r="F111" i="38"/>
  <c r="D107" i="38"/>
  <c r="D99" i="38"/>
  <c r="D96" i="38"/>
  <c r="H95" i="38"/>
  <c r="G95" i="38"/>
  <c r="F95" i="38"/>
  <c r="D93" i="38"/>
  <c r="D92" i="38" s="1"/>
  <c r="H92" i="38"/>
  <c r="G92" i="38"/>
  <c r="F92" i="38"/>
  <c r="D84" i="38"/>
  <c r="D79" i="38"/>
  <c r="D77" i="38"/>
  <c r="H76" i="38"/>
  <c r="G76" i="38"/>
  <c r="F76" i="38"/>
  <c r="D70" i="38"/>
  <c r="D68" i="38"/>
  <c r="D66" i="38"/>
  <c r="H65" i="38"/>
  <c r="G65" i="38"/>
  <c r="F65" i="38"/>
  <c r="F2" i="38" s="1"/>
  <c r="D60" i="38"/>
  <c r="D57" i="38"/>
  <c r="D52" i="38"/>
  <c r="D51" i="38" s="1"/>
  <c r="H51" i="38"/>
  <c r="G51" i="38"/>
  <c r="F51" i="38"/>
  <c r="H47" i="38"/>
  <c r="H25" i="38" s="1"/>
  <c r="D47" i="38"/>
  <c r="D43" i="38"/>
  <c r="D41" i="38"/>
  <c r="D39" i="38"/>
  <c r="D37" i="38"/>
  <c r="D35" i="38"/>
  <c r="D33" i="38"/>
  <c r="D31" i="38"/>
  <c r="D26" i="38"/>
  <c r="G25" i="38"/>
  <c r="F25" i="38"/>
  <c r="D22" i="38"/>
  <c r="D21" i="38"/>
  <c r="D19" i="38"/>
  <c r="D18" i="38"/>
  <c r="D16" i="38"/>
  <c r="D14" i="38"/>
  <c r="D11" i="38"/>
  <c r="D8" i="38"/>
  <c r="D5" i="38"/>
  <c r="H4" i="38"/>
  <c r="G4" i="38"/>
  <c r="F4" i="38"/>
  <c r="F43" i="23"/>
  <c r="F42" i="23"/>
  <c r="E41" i="23"/>
  <c r="D41" i="23"/>
  <c r="C41" i="23"/>
  <c r="F41" i="23" s="1"/>
  <c r="F40" i="23"/>
  <c r="E39" i="23"/>
  <c r="F39" i="23" s="1"/>
  <c r="F36" i="23"/>
  <c r="F35" i="23"/>
  <c r="D32" i="23"/>
  <c r="D31" i="23" s="1"/>
  <c r="C29" i="23"/>
  <c r="C24" i="23" s="1"/>
  <c r="F28" i="23"/>
  <c r="F27" i="23"/>
  <c r="F26" i="23"/>
  <c r="F25" i="23"/>
  <c r="E24" i="23"/>
  <c r="E21" i="23" s="1"/>
  <c r="E20" i="23"/>
  <c r="D20" i="23"/>
  <c r="D17" i="23" s="1"/>
  <c r="E19" i="23"/>
  <c r="C18" i="23"/>
  <c r="F18" i="23" s="1"/>
  <c r="D16" i="23"/>
  <c r="F14" i="23"/>
  <c r="D11" i="23"/>
  <c r="F6" i="23"/>
  <c r="F5" i="23"/>
  <c r="F109" i="10"/>
  <c r="F108" i="10"/>
  <c r="E107" i="10"/>
  <c r="D107" i="10"/>
  <c r="C107" i="10"/>
  <c r="F105" i="10"/>
  <c r="F103" i="10"/>
  <c r="E102" i="10"/>
  <c r="D102" i="10"/>
  <c r="F101" i="10"/>
  <c r="F100" i="10"/>
  <c r="E96" i="10"/>
  <c r="D96" i="10"/>
  <c r="D95" i="10" s="1"/>
  <c r="D94" i="10" s="1"/>
  <c r="C96" i="10"/>
  <c r="F90" i="10"/>
  <c r="F89" i="10"/>
  <c r="F88" i="10"/>
  <c r="F87" i="10"/>
  <c r="F86" i="10"/>
  <c r="F85" i="10"/>
  <c r="E84" i="10"/>
  <c r="E77" i="10" s="1"/>
  <c r="E64" i="10" s="1"/>
  <c r="D84" i="10"/>
  <c r="C84" i="10"/>
  <c r="F83" i="10"/>
  <c r="F82" i="10"/>
  <c r="F81" i="10"/>
  <c r="E80" i="10"/>
  <c r="C80" i="10"/>
  <c r="F79" i="10"/>
  <c r="F78" i="10"/>
  <c r="F76" i="10"/>
  <c r="F75" i="10"/>
  <c r="F74" i="10"/>
  <c r="F73" i="10"/>
  <c r="F72" i="10"/>
  <c r="E71" i="10"/>
  <c r="D71" i="10"/>
  <c r="C71" i="10"/>
  <c r="F70" i="10"/>
  <c r="E69" i="10"/>
  <c r="F68" i="10"/>
  <c r="F67" i="10"/>
  <c r="F66" i="10"/>
  <c r="E65" i="10"/>
  <c r="D65" i="10"/>
  <c r="F65" i="10" s="1"/>
  <c r="C65" i="10"/>
  <c r="F62" i="10"/>
  <c r="F61" i="10"/>
  <c r="F60" i="10"/>
  <c r="F59" i="10" s="1"/>
  <c r="D59" i="10"/>
  <c r="F58" i="10"/>
  <c r="E57" i="10"/>
  <c r="C57" i="10"/>
  <c r="F56" i="10"/>
  <c r="F55" i="10"/>
  <c r="F54" i="10"/>
  <c r="E53" i="10"/>
  <c r="D53" i="10"/>
  <c r="C53" i="10"/>
  <c r="F52" i="10"/>
  <c r="F51" i="10"/>
  <c r="F50" i="10"/>
  <c r="F49" i="10"/>
  <c r="E48" i="10"/>
  <c r="D48" i="10"/>
  <c r="C48" i="10"/>
  <c r="F47" i="10"/>
  <c r="F46" i="10"/>
  <c r="E45" i="10"/>
  <c r="D45" i="10"/>
  <c r="C45" i="10"/>
  <c r="F44" i="10"/>
  <c r="F42" i="10"/>
  <c r="F41" i="10"/>
  <c r="F40" i="10"/>
  <c r="F39" i="10"/>
  <c r="E38" i="10"/>
  <c r="F38" i="10" s="1"/>
  <c r="D38" i="10"/>
  <c r="C38" i="10"/>
  <c r="F37" i="10"/>
  <c r="F36" i="10"/>
  <c r="F35" i="10"/>
  <c r="E34" i="10"/>
  <c r="D34" i="10"/>
  <c r="C34" i="10"/>
  <c r="E31" i="10"/>
  <c r="D31" i="10"/>
  <c r="F30" i="10"/>
  <c r="E28" i="10"/>
  <c r="D28" i="10"/>
  <c r="C28" i="10"/>
  <c r="F25" i="10"/>
  <c r="F23" i="10"/>
  <c r="F22" i="10"/>
  <c r="F21" i="10"/>
  <c r="E20" i="10"/>
  <c r="F20" i="10" s="1"/>
  <c r="F19" i="10"/>
  <c r="D18" i="10"/>
  <c r="C18" i="10"/>
  <c r="F17" i="10"/>
  <c r="F16" i="10"/>
  <c r="F14" i="10"/>
  <c r="F13" i="10"/>
  <c r="F12" i="10"/>
  <c r="F10" i="10"/>
  <c r="F9" i="10"/>
  <c r="F8" i="10"/>
  <c r="E7" i="10"/>
  <c r="D7" i="10"/>
  <c r="F94" i="30"/>
  <c r="F93" i="30"/>
  <c r="C42" i="30"/>
  <c r="F38" i="30"/>
  <c r="C27" i="30"/>
  <c r="E34" i="24"/>
  <c r="D34" i="24"/>
  <c r="C34" i="24"/>
  <c r="E33" i="24"/>
  <c r="D33" i="24"/>
  <c r="C33" i="24"/>
  <c r="E31" i="24"/>
  <c r="D31" i="24"/>
  <c r="C31" i="24"/>
  <c r="D30" i="24"/>
  <c r="C30" i="24"/>
  <c r="D29" i="24"/>
  <c r="C29" i="24"/>
  <c r="E28" i="24"/>
  <c r="D28" i="24"/>
  <c r="C28" i="24"/>
  <c r="E27" i="24"/>
  <c r="D27" i="24"/>
  <c r="F23" i="24"/>
  <c r="F22" i="24"/>
  <c r="F21" i="24"/>
  <c r="F20" i="24"/>
  <c r="F19" i="24"/>
  <c r="F14" i="24"/>
  <c r="F13" i="24"/>
  <c r="F12" i="24"/>
  <c r="F11" i="24"/>
  <c r="F10" i="24"/>
  <c r="F60" i="11"/>
  <c r="F59" i="11"/>
  <c r="E58" i="11"/>
  <c r="D58" i="11"/>
  <c r="C58" i="11"/>
  <c r="F58" i="11" s="1"/>
  <c r="E57" i="11"/>
  <c r="D57" i="11"/>
  <c r="C57" i="11"/>
  <c r="F56" i="11"/>
  <c r="F54" i="11"/>
  <c r="F53" i="11"/>
  <c r="F52" i="11"/>
  <c r="F51" i="11"/>
  <c r="E50" i="11"/>
  <c r="E49" i="11" s="1"/>
  <c r="D50" i="11"/>
  <c r="D49" i="11" s="1"/>
  <c r="C50" i="11"/>
  <c r="C49" i="11" s="1"/>
  <c r="E42" i="11"/>
  <c r="D42" i="11"/>
  <c r="C42" i="11"/>
  <c r="E41" i="11"/>
  <c r="D41" i="11"/>
  <c r="C41" i="11"/>
  <c r="E39" i="11"/>
  <c r="D39" i="11"/>
  <c r="C39" i="11"/>
  <c r="E38" i="11"/>
  <c r="D38" i="11"/>
  <c r="C38" i="11"/>
  <c r="E37" i="11"/>
  <c r="E36" i="11"/>
  <c r="D36" i="11"/>
  <c r="C36" i="11"/>
  <c r="E34" i="11"/>
  <c r="D34" i="11"/>
  <c r="C34" i="11"/>
  <c r="E33" i="11"/>
  <c r="D33" i="11"/>
  <c r="C33" i="11"/>
  <c r="E32" i="11"/>
  <c r="D32" i="11"/>
  <c r="C32" i="11"/>
  <c r="E29" i="11"/>
  <c r="C29" i="11"/>
  <c r="E28" i="11"/>
  <c r="D28" i="11"/>
  <c r="C28" i="11"/>
  <c r="C22" i="11"/>
  <c r="E17" i="11"/>
  <c r="D17" i="11"/>
  <c r="C17" i="11"/>
  <c r="E16" i="11"/>
  <c r="D16" i="11"/>
  <c r="C16" i="11"/>
  <c r="E8" i="11"/>
  <c r="D8" i="11"/>
  <c r="C8" i="11"/>
  <c r="E7" i="11"/>
  <c r="D7" i="11"/>
  <c r="C7" i="11"/>
  <c r="E25" i="18"/>
  <c r="E24" i="11"/>
  <c r="E26" i="11"/>
  <c r="E11" i="2"/>
  <c r="E25" i="2"/>
  <c r="E9" i="14"/>
  <c r="D22" i="14"/>
  <c r="E23" i="14"/>
  <c r="E20" i="14"/>
  <c r="E20" i="8"/>
  <c r="G51" i="1"/>
  <c r="E51" i="1" s="1"/>
  <c r="G27" i="1"/>
  <c r="C22" i="2"/>
  <c r="E9" i="37"/>
  <c r="G115" i="1"/>
  <c r="E26" i="27"/>
  <c r="E23" i="27" s="1"/>
  <c r="C22" i="8"/>
  <c r="E22" i="8" s="1"/>
  <c r="AH65" i="26"/>
  <c r="AH66" i="26" s="1"/>
  <c r="E9" i="7"/>
  <c r="D8" i="7"/>
  <c r="D44" i="1"/>
  <c r="F46" i="1"/>
  <c r="G119" i="38"/>
  <c r="G74" i="15"/>
  <c r="F162" i="1"/>
  <c r="D22" i="12"/>
  <c r="E22" i="12" s="1"/>
  <c r="E23" i="12"/>
  <c r="AD38" i="26"/>
  <c r="AD43" i="26" s="1"/>
  <c r="AD44" i="26" s="1"/>
  <c r="AD107" i="26" s="1"/>
  <c r="BE38" i="26"/>
  <c r="BE43" i="26"/>
  <c r="BE44" i="26" s="1"/>
  <c r="BE107" i="26" s="1"/>
  <c r="BY44" i="26"/>
  <c r="CC44" i="26"/>
  <c r="DO38" i="26"/>
  <c r="DO43" i="26" s="1"/>
  <c r="DO44" i="26" s="1"/>
  <c r="G26" i="26"/>
  <c r="C24" i="26"/>
  <c r="E11" i="18"/>
  <c r="E28" i="14"/>
  <c r="F40" i="1"/>
  <c r="F47" i="1" s="1"/>
  <c r="H48" i="1"/>
  <c r="D48" i="1" s="1"/>
  <c r="D52" i="1" s="1"/>
  <c r="H46" i="1"/>
  <c r="E11" i="37"/>
  <c r="C8" i="37"/>
  <c r="C22" i="37"/>
  <c r="E25" i="37"/>
  <c r="G76" i="1"/>
  <c r="F115" i="1"/>
  <c r="C8" i="12"/>
  <c r="D42" i="27"/>
  <c r="G49" i="15"/>
  <c r="E49" i="15"/>
  <c r="G36" i="15"/>
  <c r="E36" i="15" s="1"/>
  <c r="K74" i="15"/>
  <c r="K44" i="15"/>
  <c r="K45" i="15" s="1"/>
  <c r="K51" i="15" s="1"/>
  <c r="D75" i="15"/>
  <c r="E86" i="15"/>
  <c r="J65" i="27"/>
  <c r="K65" i="27" s="1"/>
  <c r="E19" i="26"/>
  <c r="C19" i="26" s="1"/>
  <c r="F110" i="1"/>
  <c r="D88" i="1"/>
  <c r="C22" i="12"/>
  <c r="E28" i="12"/>
  <c r="I38" i="15"/>
  <c r="C63" i="27"/>
  <c r="DJ68" i="26" s="1"/>
  <c r="DJ74" i="26" s="1"/>
  <c r="D64" i="27"/>
  <c r="C2" i="26"/>
  <c r="F37" i="26"/>
  <c r="D35" i="26"/>
  <c r="D37" i="26" s="1"/>
  <c r="AJ53" i="26"/>
  <c r="J45" i="15"/>
  <c r="J51" i="15" s="1"/>
  <c r="E90" i="15"/>
  <c r="D96" i="15"/>
  <c r="D153" i="15"/>
  <c r="AL44" i="26"/>
  <c r="AY44" i="26"/>
  <c r="AY107" i="26" s="1"/>
  <c r="BC44" i="26"/>
  <c r="BS44" i="26"/>
  <c r="BS107" i="26"/>
  <c r="CI38" i="26"/>
  <c r="CI43" i="26" s="1"/>
  <c r="CI44" i="26" s="1"/>
  <c r="CI107" i="26" s="1"/>
  <c r="DM44" i="26"/>
  <c r="DM107" i="26" s="1"/>
  <c r="D27" i="26"/>
  <c r="E11" i="12"/>
  <c r="E23" i="26"/>
  <c r="F53" i="26"/>
  <c r="CP66" i="26"/>
  <c r="C64" i="26"/>
  <c r="L73" i="26"/>
  <c r="F67" i="26"/>
  <c r="D67" i="26" s="1"/>
  <c r="BT44" i="26"/>
  <c r="BT107" i="26" s="1"/>
  <c r="DA44" i="26"/>
  <c r="DN44" i="26"/>
  <c r="G106" i="26"/>
  <c r="D78" i="26"/>
  <c r="F79" i="26"/>
  <c r="DU107" i="26"/>
  <c r="Z73" i="26"/>
  <c r="Z74" i="26" s="1"/>
  <c r="D89" i="26"/>
  <c r="E102" i="17"/>
  <c r="M122" i="17"/>
  <c r="M123" i="17"/>
  <c r="M78" i="9"/>
  <c r="M76" i="9" s="1"/>
  <c r="M75" i="9"/>
  <c r="M74" i="9"/>
  <c r="M87" i="9" s="1"/>
  <c r="M91" i="9" s="1"/>
  <c r="AR38" i="26"/>
  <c r="AR43" i="26" s="1"/>
  <c r="DV107" i="26"/>
  <c r="E106" i="26"/>
  <c r="I74" i="4"/>
  <c r="H26" i="17"/>
  <c r="H33" i="17" s="1"/>
  <c r="H39" i="17" s="1"/>
  <c r="F73" i="17"/>
  <c r="F101" i="17"/>
  <c r="D70" i="4"/>
  <c r="D74" i="4" s="1"/>
  <c r="G149" i="6"/>
  <c r="E148" i="6"/>
  <c r="E149" i="6"/>
  <c r="G168" i="6"/>
  <c r="G180" i="6" s="1"/>
  <c r="E174" i="6"/>
  <c r="E168" i="6" s="1"/>
  <c r="E180" i="6" s="1"/>
  <c r="G78" i="9"/>
  <c r="G76" i="9"/>
  <c r="G79" i="9" s="1"/>
  <c r="G86" i="9" s="1"/>
  <c r="G75" i="9"/>
  <c r="G74" i="9" s="1"/>
  <c r="E6" i="9"/>
  <c r="G118" i="9"/>
  <c r="E101" i="9"/>
  <c r="E118" i="9" s="1"/>
  <c r="D161" i="9"/>
  <c r="F178" i="9"/>
  <c r="I37" i="17"/>
  <c r="E37" i="17"/>
  <c r="G73" i="17"/>
  <c r="G101" i="17"/>
  <c r="F122" i="17"/>
  <c r="I62" i="4"/>
  <c r="I69" i="4" s="1"/>
  <c r="I75" i="4" s="1"/>
  <c r="G135" i="4"/>
  <c r="I180" i="4"/>
  <c r="G37" i="6"/>
  <c r="G40" i="6"/>
  <c r="E40" i="6" s="1"/>
  <c r="D53" i="6"/>
  <c r="G104" i="6"/>
  <c r="E86" i="6"/>
  <c r="F104" i="6"/>
  <c r="F130" i="6"/>
  <c r="R79" i="9"/>
  <c r="R86" i="9" s="1"/>
  <c r="R92" i="9" s="1"/>
  <c r="D57" i="9"/>
  <c r="K86" i="9"/>
  <c r="K92" i="9"/>
  <c r="D83" i="9"/>
  <c r="G85" i="9"/>
  <c r="E15" i="17"/>
  <c r="F26" i="17"/>
  <c r="F33" i="17" s="1"/>
  <c r="F39" i="17" s="1"/>
  <c r="G34" i="17"/>
  <c r="D45" i="17"/>
  <c r="E146" i="17"/>
  <c r="E147" i="17"/>
  <c r="D42" i="4"/>
  <c r="H68" i="4"/>
  <c r="H162" i="4"/>
  <c r="G112" i="4"/>
  <c r="I186" i="4"/>
  <c r="I199" i="4"/>
  <c r="I211" i="4" s="1"/>
  <c r="I31" i="6"/>
  <c r="D110" i="6"/>
  <c r="E154" i="6"/>
  <c r="E155" i="6" s="1"/>
  <c r="G155" i="6"/>
  <c r="G156" i="6"/>
  <c r="E31" i="19"/>
  <c r="G39" i="19"/>
  <c r="I25" i="17"/>
  <c r="I24" i="17" s="1"/>
  <c r="E45" i="17"/>
  <c r="E62" i="17"/>
  <c r="E42" i="4"/>
  <c r="G71" i="4"/>
  <c r="E71" i="4" s="1"/>
  <c r="G68" i="4"/>
  <c r="E136" i="4"/>
  <c r="E140" i="4"/>
  <c r="P79" i="9"/>
  <c r="D91" i="4"/>
  <c r="D101" i="4" s="1"/>
  <c r="D113" i="4"/>
  <c r="D135" i="4"/>
  <c r="D136" i="4"/>
  <c r="D140" i="4" s="1"/>
  <c r="G27" i="6"/>
  <c r="G26" i="6"/>
  <c r="E26" i="6" s="1"/>
  <c r="E53" i="6"/>
  <c r="E71" i="6"/>
  <c r="E81" i="6" s="1"/>
  <c r="F79" i="9"/>
  <c r="J79" i="9"/>
  <c r="J86" i="9"/>
  <c r="J92" i="9" s="1"/>
  <c r="N79" i="9"/>
  <c r="E66" i="9"/>
  <c r="M88" i="9"/>
  <c r="N85" i="9"/>
  <c r="E90" i="9"/>
  <c r="F118" i="9"/>
  <c r="F179" i="9" s="1"/>
  <c r="D101" i="9"/>
  <c r="D108" i="9"/>
  <c r="R118" i="9"/>
  <c r="H129" i="9"/>
  <c r="L129" i="9"/>
  <c r="P129" i="9"/>
  <c r="F152" i="9"/>
  <c r="J152" i="9"/>
  <c r="N152" i="9"/>
  <c r="D158" i="9"/>
  <c r="L178" i="9"/>
  <c r="G204" i="9"/>
  <c r="E202" i="9"/>
  <c r="E203" i="9" s="1"/>
  <c r="T40" i="19"/>
  <c r="T46" i="19" s="1"/>
  <c r="G83" i="19"/>
  <c r="E222" i="9"/>
  <c r="E216" i="9" s="1"/>
  <c r="E228" i="9" s="1"/>
  <c r="G216" i="9"/>
  <c r="G228" i="9" s="1"/>
  <c r="P40" i="19"/>
  <c r="P46" i="19"/>
  <c r="U40" i="19"/>
  <c r="I87" i="9"/>
  <c r="I78" i="9"/>
  <c r="I76" i="9" s="1"/>
  <c r="I75" i="9"/>
  <c r="I74" i="9"/>
  <c r="H87" i="9"/>
  <c r="H91" i="9" s="1"/>
  <c r="I160" i="9"/>
  <c r="I158" i="9" s="1"/>
  <c r="I178" i="9" s="1"/>
  <c r="I179" i="9" s="1"/>
  <c r="O42" i="19"/>
  <c r="O45" i="19" s="1"/>
  <c r="O30" i="19"/>
  <c r="O40" i="19" s="1"/>
  <c r="H142" i="19"/>
  <c r="L39" i="19"/>
  <c r="L40" i="19" s="1"/>
  <c r="L46" i="19" s="1"/>
  <c r="L142" i="19" s="1"/>
  <c r="L168" i="19" s="1"/>
  <c r="D34" i="19"/>
  <c r="S142" i="19"/>
  <c r="P72" i="19"/>
  <c r="D55" i="19"/>
  <c r="D72" i="19" s="1"/>
  <c r="O113" i="19"/>
  <c r="O111" i="19" s="1"/>
  <c r="O131" i="19" s="1"/>
  <c r="O132" i="19" s="1"/>
  <c r="D130" i="9"/>
  <c r="G41" i="19"/>
  <c r="E41" i="19" s="1"/>
  <c r="G30" i="19"/>
  <c r="G40" i="19" s="1"/>
  <c r="E10" i="19"/>
  <c r="E30" i="19" s="1"/>
  <c r="I45" i="19"/>
  <c r="I46" i="19" s="1"/>
  <c r="D84" i="19"/>
  <c r="F105" i="19"/>
  <c r="D159" i="19"/>
  <c r="D166" i="19"/>
  <c r="E196" i="9"/>
  <c r="E197" i="9" s="1"/>
  <c r="D31" i="19"/>
  <c r="D39" i="19" s="1"/>
  <c r="E36" i="19"/>
  <c r="U45" i="19"/>
  <c r="K132" i="19"/>
  <c r="Q113" i="19"/>
  <c r="Q111" i="19" s="1"/>
  <c r="Q131" i="19" s="1"/>
  <c r="Q132" i="19" s="1"/>
  <c r="D89" i="19"/>
  <c r="E92" i="19"/>
  <c r="M45" i="19"/>
  <c r="G72" i="19"/>
  <c r="E55" i="19"/>
  <c r="F83" i="19"/>
  <c r="D73" i="19"/>
  <c r="G105" i="19"/>
  <c r="E89" i="19"/>
  <c r="D141" i="19"/>
  <c r="G192" i="19"/>
  <c r="K192" i="19"/>
  <c r="O192" i="19"/>
  <c r="S192" i="19"/>
  <c r="E180" i="19"/>
  <c r="E192" i="19" s="1"/>
  <c r="E164" i="19"/>
  <c r="E165" i="19"/>
  <c r="C69" i="10"/>
  <c r="G2" i="38"/>
  <c r="C20" i="23"/>
  <c r="H68" i="26"/>
  <c r="D68" i="26" s="1"/>
  <c r="D87" i="9"/>
  <c r="D91" i="9"/>
  <c r="I187" i="4"/>
  <c r="L74" i="26"/>
  <c r="H52" i="1"/>
  <c r="G49" i="1"/>
  <c r="E49" i="1" s="1"/>
  <c r="E27" i="1"/>
  <c r="D160" i="15"/>
  <c r="C30" i="37"/>
  <c r="N86" i="9"/>
  <c r="N92" i="9" s="1"/>
  <c r="E64" i="27"/>
  <c r="E63" i="27" s="1"/>
  <c r="D43" i="11"/>
  <c r="F80" i="10"/>
  <c r="F31" i="21"/>
  <c r="H22" i="18"/>
  <c r="F30" i="18"/>
  <c r="H22" i="37"/>
  <c r="E55" i="11"/>
  <c r="D22" i="7"/>
  <c r="D30" i="7" s="1"/>
  <c r="E23" i="7"/>
  <c r="CS107" i="26"/>
  <c r="G39" i="6"/>
  <c r="CC107" i="26"/>
  <c r="E178" i="15"/>
  <c r="G172" i="15"/>
  <c r="G184" i="15" s="1"/>
  <c r="I8" i="28"/>
  <c r="I5" i="28" s="1"/>
  <c r="I49" i="28" s="1"/>
  <c r="P38" i="26"/>
  <c r="P43" i="26" s="1"/>
  <c r="E11" i="5"/>
  <c r="D8" i="5"/>
  <c r="E8" i="5" s="1"/>
  <c r="C22" i="5"/>
  <c r="E23" i="5"/>
  <c r="E20" i="7"/>
  <c r="I40" i="1"/>
  <c r="D45" i="26"/>
  <c r="G31" i="6"/>
  <c r="G38" i="6" s="1"/>
  <c r="E14" i="11"/>
  <c r="I87" i="1"/>
  <c r="E77" i="1"/>
  <c r="H115" i="1"/>
  <c r="D111" i="1"/>
  <c r="D115" i="1" s="1"/>
  <c r="D35" i="1"/>
  <c r="D40" i="1" s="1"/>
  <c r="H40" i="1"/>
  <c r="H47" i="1" s="1"/>
  <c r="I85" i="15"/>
  <c r="E82" i="15"/>
  <c r="G113" i="15"/>
  <c r="E109" i="15"/>
  <c r="E113" i="15" s="1"/>
  <c r="G110" i="1"/>
  <c r="D123" i="1"/>
  <c r="F136" i="1"/>
  <c r="G162" i="1"/>
  <c r="E22" i="15"/>
  <c r="I46" i="15"/>
  <c r="D64" i="15"/>
  <c r="BO34" i="26"/>
  <c r="BO38" i="26" s="1"/>
  <c r="BO43" i="26" s="1"/>
  <c r="BO44" i="26" s="1"/>
  <c r="BO107" i="26" s="1"/>
  <c r="E180" i="1"/>
  <c r="E174" i="1" s="1"/>
  <c r="E186" i="1" s="1"/>
  <c r="I44" i="15"/>
  <c r="I45" i="15"/>
  <c r="D38" i="27"/>
  <c r="Q87" i="27"/>
  <c r="K5" i="28"/>
  <c r="K49" i="28" s="1"/>
  <c r="K34" i="26"/>
  <c r="E32" i="26"/>
  <c r="C32" i="26" s="1"/>
  <c r="E37" i="26"/>
  <c r="C35" i="26"/>
  <c r="C37" i="26" s="1"/>
  <c r="E95" i="10"/>
  <c r="E94" i="10" s="1"/>
  <c r="D76" i="38"/>
  <c r="C25" i="11"/>
  <c r="F21" i="20"/>
  <c r="C8" i="2"/>
  <c r="D22" i="2"/>
  <c r="D22" i="37"/>
  <c r="E22" i="37" s="1"/>
  <c r="E23" i="37"/>
  <c r="D22" i="15"/>
  <c r="E42" i="15"/>
  <c r="F20" i="26"/>
  <c r="D20" i="26" s="1"/>
  <c r="AO107" i="26"/>
  <c r="BM107" i="26"/>
  <c r="BK34" i="26"/>
  <c r="BK44" i="26" s="1"/>
  <c r="BK107" i="26" s="1"/>
  <c r="G30" i="26"/>
  <c r="BY66" i="26"/>
  <c r="BY107" i="26"/>
  <c r="G59" i="26"/>
  <c r="E160" i="1"/>
  <c r="C21" i="26"/>
  <c r="BW44" i="26"/>
  <c r="BW107" i="26" s="1"/>
  <c r="CK44" i="26"/>
  <c r="CK107" i="26" s="1"/>
  <c r="D25" i="26"/>
  <c r="D39" i="26"/>
  <c r="DE53" i="26"/>
  <c r="G52" i="26"/>
  <c r="G53" i="26" s="1"/>
  <c r="DF53" i="26"/>
  <c r="BZ66" i="26"/>
  <c r="H59" i="26"/>
  <c r="D63" i="26"/>
  <c r="D82" i="15"/>
  <c r="D85" i="15" s="1"/>
  <c r="C42" i="27"/>
  <c r="AF18" i="26"/>
  <c r="M43" i="26"/>
  <c r="M44" i="26" s="1"/>
  <c r="M107" i="26" s="1"/>
  <c r="AQ38" i="26"/>
  <c r="BR44" i="26"/>
  <c r="BR107" i="26" s="1"/>
  <c r="H26" i="26"/>
  <c r="D31" i="26"/>
  <c r="D41" i="26"/>
  <c r="D61" i="26"/>
  <c r="G64" i="26"/>
  <c r="D69" i="26"/>
  <c r="G148" i="17"/>
  <c r="E68" i="4"/>
  <c r="U44" i="26"/>
  <c r="U107" i="26" s="1"/>
  <c r="F33" i="26"/>
  <c r="AB34" i="26"/>
  <c r="CB66" i="26"/>
  <c r="CB107" i="26" s="1"/>
  <c r="H64" i="26"/>
  <c r="D64" i="26" s="1"/>
  <c r="D26" i="17"/>
  <c r="E22" i="17"/>
  <c r="G26" i="17"/>
  <c r="K33" i="17"/>
  <c r="K39" i="17" s="1"/>
  <c r="F70" i="26"/>
  <c r="Q152" i="9"/>
  <c r="Q179" i="9" s="1"/>
  <c r="E143" i="9"/>
  <c r="D28" i="17"/>
  <c r="D32" i="17" s="1"/>
  <c r="D74" i="17"/>
  <c r="E166" i="17"/>
  <c r="E160" i="17"/>
  <c r="E172" i="17" s="1"/>
  <c r="E101" i="4"/>
  <c r="E126" i="4"/>
  <c r="E130" i="4"/>
  <c r="E148" i="4"/>
  <c r="F187" i="4"/>
  <c r="H70" i="6"/>
  <c r="E67" i="6"/>
  <c r="E99" i="6"/>
  <c r="D113" i="6"/>
  <c r="D155" i="6"/>
  <c r="E83" i="9"/>
  <c r="H118" i="9"/>
  <c r="N178" i="9"/>
  <c r="D197" i="9"/>
  <c r="D204" i="9" s="1"/>
  <c r="F30" i="19"/>
  <c r="J166" i="19"/>
  <c r="G35" i="17"/>
  <c r="G38" i="17" s="1"/>
  <c r="G32" i="17"/>
  <c r="G62" i="17"/>
  <c r="D63" i="17"/>
  <c r="D73" i="17" s="1"/>
  <c r="F101" i="4"/>
  <c r="G101" i="4"/>
  <c r="G143" i="4" s="1"/>
  <c r="G141" i="4" s="1"/>
  <c r="E102" i="4"/>
  <c r="F135" i="4"/>
  <c r="G81" i="6"/>
  <c r="G112" i="6" s="1"/>
  <c r="G110" i="6" s="1"/>
  <c r="I104" i="6"/>
  <c r="D117" i="6"/>
  <c r="D122" i="6"/>
  <c r="D81" i="9"/>
  <c r="D85" i="9" s="1"/>
  <c r="H85" i="9"/>
  <c r="H86" i="9" s="1"/>
  <c r="H92" i="9" s="1"/>
  <c r="E130" i="9"/>
  <c r="G152" i="9"/>
  <c r="E134" i="9"/>
  <c r="E153" i="9"/>
  <c r="E157" i="9" s="1"/>
  <c r="G157" i="9"/>
  <c r="E161" i="9"/>
  <c r="E28" i="17"/>
  <c r="E32" i="17" s="1"/>
  <c r="F68" i="4"/>
  <c r="D141" i="4"/>
  <c r="G180" i="4"/>
  <c r="E179" i="4"/>
  <c r="E180" i="4" s="1"/>
  <c r="E187" i="4" s="1"/>
  <c r="F70" i="6"/>
  <c r="D66" i="9"/>
  <c r="D79" i="9" s="1"/>
  <c r="Q86" i="9"/>
  <c r="Q92" i="9" s="1"/>
  <c r="Q180" i="9" s="1"/>
  <c r="Q206" i="9" s="1"/>
  <c r="O118" i="9"/>
  <c r="G129" i="9"/>
  <c r="E119" i="9"/>
  <c r="E129" i="9" s="1"/>
  <c r="H152" i="9"/>
  <c r="L152" i="9"/>
  <c r="L179" i="9" s="1"/>
  <c r="J178" i="9"/>
  <c r="J179" i="9" s="1"/>
  <c r="J180" i="9" s="1"/>
  <c r="J206" i="9" s="1"/>
  <c r="D100" i="19"/>
  <c r="P105" i="19"/>
  <c r="D119" i="9"/>
  <c r="N204" i="9"/>
  <c r="D216" i="9"/>
  <c r="D228" i="9" s="1"/>
  <c r="G42" i="19"/>
  <c r="J40" i="19"/>
  <c r="J46" i="19"/>
  <c r="J142" i="19" s="1"/>
  <c r="J168" i="19" s="1"/>
  <c r="F72" i="19"/>
  <c r="J132" i="19"/>
  <c r="E100" i="19"/>
  <c r="D106" i="19"/>
  <c r="D110" i="19" s="1"/>
  <c r="C3" i="31"/>
  <c r="N83" i="19"/>
  <c r="T83" i="19"/>
  <c r="G159" i="19"/>
  <c r="G166" i="19"/>
  <c r="E158" i="19"/>
  <c r="E68" i="39"/>
  <c r="D10" i="19"/>
  <c r="R40" i="19"/>
  <c r="R46" i="19" s="1"/>
  <c r="R142" i="19" s="1"/>
  <c r="R168" i="19" s="1"/>
  <c r="E106" i="19"/>
  <c r="E110" i="19" s="1"/>
  <c r="G110" i="19"/>
  <c r="D114" i="19"/>
  <c r="E154" i="19"/>
  <c r="E159" i="19" s="1"/>
  <c r="E166" i="19" s="1"/>
  <c r="AB38" i="26"/>
  <c r="AB43" i="26" s="1"/>
  <c r="AB44" i="26" s="1"/>
  <c r="AB107" i="26" s="1"/>
  <c r="AQ43" i="26"/>
  <c r="AQ44" i="26" s="1"/>
  <c r="AQ107" i="26" s="1"/>
  <c r="I52" i="1"/>
  <c r="C30" i="26"/>
  <c r="C30" i="5"/>
  <c r="D130" i="6"/>
  <c r="D70" i="26"/>
  <c r="D59" i="26"/>
  <c r="R38" i="26"/>
  <c r="I50" i="15"/>
  <c r="G43" i="6"/>
  <c r="R43" i="26"/>
  <c r="R44" i="26" s="1"/>
  <c r="F8" i="8"/>
  <c r="D9" i="23"/>
  <c r="E13" i="25"/>
  <c r="F7" i="30" s="1"/>
  <c r="J39" i="23"/>
  <c r="J28" i="10"/>
  <c r="C34" i="29"/>
  <c r="I158" i="25"/>
  <c r="J74" i="30" s="1"/>
  <c r="E25" i="20"/>
  <c r="H25" i="20"/>
  <c r="I25" i="20"/>
  <c r="C25" i="20"/>
  <c r="F25" i="20"/>
  <c r="H37" i="5"/>
  <c r="O39" i="30"/>
  <c r="O30" i="30"/>
  <c r="E18" i="10"/>
  <c r="C20" i="11"/>
  <c r="F104" i="10"/>
  <c r="C102" i="10"/>
  <c r="I6" i="11"/>
  <c r="G21" i="11"/>
  <c r="E13" i="11"/>
  <c r="F48" i="10"/>
  <c r="H6" i="10"/>
  <c r="H6" i="11"/>
  <c r="G9" i="11"/>
  <c r="G43" i="11"/>
  <c r="I43" i="10"/>
  <c r="G69" i="10"/>
  <c r="G102" i="10"/>
  <c r="G24" i="23"/>
  <c r="O91" i="30"/>
  <c r="O89" i="30" s="1"/>
  <c r="O76" i="30"/>
  <c r="O12" i="30"/>
  <c r="G42" i="14"/>
  <c r="O24" i="30"/>
  <c r="C95" i="10"/>
  <c r="O34" i="30"/>
  <c r="E37" i="25" l="1"/>
  <c r="F15" i="30" s="1"/>
  <c r="F33" i="23"/>
  <c r="J37" i="23"/>
  <c r="E21" i="25"/>
  <c r="F9" i="30" s="1"/>
  <c r="E29" i="24"/>
  <c r="G8" i="24"/>
  <c r="G18" i="24"/>
  <c r="G36" i="14"/>
  <c r="I9" i="11"/>
  <c r="J9" i="11" s="1"/>
  <c r="I6" i="10"/>
  <c r="J18" i="10"/>
  <c r="E20" i="11"/>
  <c r="G6" i="10"/>
  <c r="H13" i="11"/>
  <c r="H14" i="11"/>
  <c r="H37" i="11"/>
  <c r="J20" i="10"/>
  <c r="C55" i="11"/>
  <c r="C48" i="11" s="1"/>
  <c r="H26" i="10"/>
  <c r="F28" i="10"/>
  <c r="D9" i="11"/>
  <c r="D5" i="11" s="1"/>
  <c r="D12" i="11"/>
  <c r="D13" i="11"/>
  <c r="E43" i="10"/>
  <c r="C43" i="11"/>
  <c r="F43" i="11" s="1"/>
  <c r="G12" i="11"/>
  <c r="H12" i="11"/>
  <c r="I13" i="11"/>
  <c r="I14" i="11"/>
  <c r="I20" i="11"/>
  <c r="I23" i="11"/>
  <c r="I37" i="11"/>
  <c r="J80" i="10"/>
  <c r="I44" i="11"/>
  <c r="H94" i="10"/>
  <c r="I31" i="11"/>
  <c r="E9" i="11"/>
  <c r="D43" i="10"/>
  <c r="D55" i="11"/>
  <c r="H43" i="10"/>
  <c r="H57" i="10"/>
  <c r="J57" i="10" s="1"/>
  <c r="G13" i="11"/>
  <c r="F102" i="10"/>
  <c r="J53" i="10"/>
  <c r="H29" i="11"/>
  <c r="H27" i="11" s="1"/>
  <c r="C12" i="11"/>
  <c r="E26" i="10"/>
  <c r="E12" i="11"/>
  <c r="C23" i="11"/>
  <c r="F23" i="11" s="1"/>
  <c r="E43" i="11"/>
  <c r="F107" i="10"/>
  <c r="H9" i="11"/>
  <c r="H43" i="11"/>
  <c r="I55" i="11"/>
  <c r="J33" i="11"/>
  <c r="J39" i="11"/>
  <c r="G55" i="11"/>
  <c r="G48" i="11" s="1"/>
  <c r="G47" i="11" s="1"/>
  <c r="C9" i="11"/>
  <c r="C14" i="11"/>
  <c r="E23" i="11"/>
  <c r="E44" i="11"/>
  <c r="E40" i="11" s="1"/>
  <c r="F95" i="10"/>
  <c r="C31" i="10"/>
  <c r="J48" i="10"/>
  <c r="E6" i="11"/>
  <c r="E5" i="11" s="1"/>
  <c r="D20" i="11"/>
  <c r="F20" i="11" s="1"/>
  <c r="C21" i="11"/>
  <c r="D23" i="11"/>
  <c r="D57" i="10"/>
  <c r="F57" i="10" s="1"/>
  <c r="C37" i="11"/>
  <c r="G23" i="11"/>
  <c r="G37" i="11"/>
  <c r="I43" i="11"/>
  <c r="I40" i="11" s="1"/>
  <c r="G44" i="11"/>
  <c r="E43" i="25"/>
  <c r="F9" i="39"/>
  <c r="I49" i="39"/>
  <c r="E49" i="39"/>
  <c r="C8" i="23"/>
  <c r="E240" i="25"/>
  <c r="C10" i="23"/>
  <c r="E58" i="25"/>
  <c r="E244" i="25" s="1"/>
  <c r="F34" i="23"/>
  <c r="H15" i="23"/>
  <c r="J15" i="23" s="1"/>
  <c r="C46" i="20"/>
  <c r="C45" i="20" s="1"/>
  <c r="F20" i="21"/>
  <c r="F76" i="30"/>
  <c r="F5" i="21"/>
  <c r="F4" i="21" s="1"/>
  <c r="F20" i="30"/>
  <c r="H45" i="20"/>
  <c r="C5" i="21"/>
  <c r="C5" i="20" s="1"/>
  <c r="F5" i="20" s="1"/>
  <c r="D42" i="20"/>
  <c r="F41" i="20"/>
  <c r="G107" i="27"/>
  <c r="H107" i="27" s="1"/>
  <c r="I107" i="27" s="1"/>
  <c r="J107" i="27" s="1"/>
  <c r="K107" i="27" s="1"/>
  <c r="C43" i="14"/>
  <c r="F42" i="2"/>
  <c r="C8" i="18"/>
  <c r="D39" i="14"/>
  <c r="D36" i="14" s="1"/>
  <c r="D46" i="14" s="1"/>
  <c r="F80" i="30"/>
  <c r="C39" i="2"/>
  <c r="E39" i="2" s="1"/>
  <c r="G114" i="27"/>
  <c r="H114" i="27" s="1"/>
  <c r="F31" i="30"/>
  <c r="C39" i="18"/>
  <c r="E39" i="18" s="1"/>
  <c r="E8" i="3"/>
  <c r="E7" i="3" s="1"/>
  <c r="E6" i="3" s="1"/>
  <c r="E109" i="3"/>
  <c r="E108" i="3" s="1"/>
  <c r="H41" i="7"/>
  <c r="C86" i="3"/>
  <c r="C5" i="3" s="1"/>
  <c r="E57" i="3"/>
  <c r="E56" i="3" s="1"/>
  <c r="H37" i="14"/>
  <c r="H39" i="14"/>
  <c r="H43" i="14"/>
  <c r="I78" i="39" s="1"/>
  <c r="C39" i="5"/>
  <c r="C36" i="5" s="1"/>
  <c r="C34" i="5" s="1"/>
  <c r="C32" i="5" s="1"/>
  <c r="C31" i="5" s="1"/>
  <c r="C35" i="5" s="1"/>
  <c r="E215" i="3"/>
  <c r="C38" i="12" s="1"/>
  <c r="E38" i="12" s="1"/>
  <c r="E40" i="3"/>
  <c r="E39" i="3" s="1"/>
  <c r="E157" i="3"/>
  <c r="F23" i="30" s="1"/>
  <c r="H43" i="7"/>
  <c r="I76" i="39" s="1"/>
  <c r="E43" i="18"/>
  <c r="F77" i="39" s="1"/>
  <c r="H42" i="8"/>
  <c r="E38" i="7"/>
  <c r="E37" i="14"/>
  <c r="E37" i="2"/>
  <c r="H39" i="18"/>
  <c r="H38" i="2"/>
  <c r="E42" i="8"/>
  <c r="E152" i="3"/>
  <c r="F22" i="30" s="1"/>
  <c r="C39" i="7"/>
  <c r="E39" i="7" s="1"/>
  <c r="E43" i="12"/>
  <c r="F81" i="39" s="1"/>
  <c r="C42" i="12"/>
  <c r="E42" i="12" s="1"/>
  <c r="E187" i="3"/>
  <c r="H87" i="3"/>
  <c r="C39" i="14"/>
  <c r="C36" i="14" s="1"/>
  <c r="C39" i="8"/>
  <c r="C36" i="8" s="1"/>
  <c r="C46" i="8" s="1"/>
  <c r="F36" i="30"/>
  <c r="C39" i="37"/>
  <c r="C36" i="37" s="1"/>
  <c r="G112" i="27"/>
  <c r="H112" i="27" s="1"/>
  <c r="H110" i="27"/>
  <c r="I110" i="27" s="1"/>
  <c r="F18" i="30"/>
  <c r="H216" i="3"/>
  <c r="F39" i="12" s="1"/>
  <c r="F36" i="12" s="1"/>
  <c r="H36" i="12" s="1"/>
  <c r="F20" i="23"/>
  <c r="H20" i="37"/>
  <c r="E22" i="2"/>
  <c r="D14" i="11"/>
  <c r="F34" i="10"/>
  <c r="G38" i="15"/>
  <c r="E27" i="15"/>
  <c r="H50" i="15"/>
  <c r="D46" i="15"/>
  <c r="D50" i="15" s="1"/>
  <c r="I159" i="15"/>
  <c r="E158" i="15"/>
  <c r="E159" i="15" s="1"/>
  <c r="E6" i="28"/>
  <c r="E5" i="28" s="1"/>
  <c r="E49" i="28" s="1"/>
  <c r="D5" i="28"/>
  <c r="D49" i="28" s="1"/>
  <c r="R19" i="26"/>
  <c r="F19" i="26" s="1"/>
  <c r="D19" i="26" s="1"/>
  <c r="R18" i="26"/>
  <c r="D50" i="26"/>
  <c r="F18" i="10"/>
  <c r="F30" i="8"/>
  <c r="E39" i="6"/>
  <c r="E43" i="6" s="1"/>
  <c r="D129" i="9"/>
  <c r="G160" i="9"/>
  <c r="G158" i="9" s="1"/>
  <c r="D86" i="9"/>
  <c r="D92" i="9" s="1"/>
  <c r="F162" i="4"/>
  <c r="D26" i="26"/>
  <c r="E172" i="15"/>
  <c r="E184" i="15" s="1"/>
  <c r="R180" i="9"/>
  <c r="C26" i="26"/>
  <c r="D6" i="10"/>
  <c r="D6" i="11"/>
  <c r="G46" i="1"/>
  <c r="E42" i="1"/>
  <c r="E46" i="1" s="1"/>
  <c r="D71" i="15"/>
  <c r="E93" i="27"/>
  <c r="D24" i="26"/>
  <c r="F26" i="26"/>
  <c r="L38" i="26"/>
  <c r="L43" i="26" s="1"/>
  <c r="L44" i="26"/>
  <c r="L107" i="26" s="1"/>
  <c r="I51" i="15"/>
  <c r="P86" i="9"/>
  <c r="P92" i="9" s="1"/>
  <c r="E9" i="18"/>
  <c r="D8" i="18"/>
  <c r="I115" i="1"/>
  <c r="E111" i="1"/>
  <c r="E115" i="1" s="1"/>
  <c r="H38" i="15"/>
  <c r="D34" i="15"/>
  <c r="D38" i="15" s="1"/>
  <c r="H18" i="26"/>
  <c r="D3" i="26"/>
  <c r="C25" i="26"/>
  <c r="E26" i="26"/>
  <c r="O44" i="26"/>
  <c r="O107" i="26" s="1"/>
  <c r="D97" i="26"/>
  <c r="F106" i="26"/>
  <c r="F31" i="10"/>
  <c r="F12" i="11"/>
  <c r="D26" i="10"/>
  <c r="E135" i="3"/>
  <c r="E134" i="3" s="1"/>
  <c r="E35" i="17"/>
  <c r="F23" i="26"/>
  <c r="C30" i="2"/>
  <c r="G45" i="19"/>
  <c r="G46" i="19" s="1"/>
  <c r="G123" i="17"/>
  <c r="D96" i="17"/>
  <c r="F2" i="26"/>
  <c r="I47" i="1"/>
  <c r="I53" i="1" s="1"/>
  <c r="G47" i="15"/>
  <c r="D77" i="10"/>
  <c r="D44" i="11"/>
  <c r="D40" i="11" s="1"/>
  <c r="D34" i="35"/>
  <c r="D3" i="35" s="1"/>
  <c r="E84" i="1"/>
  <c r="G87" i="1"/>
  <c r="G118" i="1" s="1"/>
  <c r="G116" i="1" s="1"/>
  <c r="G136" i="1" s="1"/>
  <c r="I155" i="1"/>
  <c r="I162" i="1" s="1"/>
  <c r="E154" i="1"/>
  <c r="E155" i="1" s="1"/>
  <c r="E161" i="1"/>
  <c r="D114" i="15"/>
  <c r="D134" i="15" s="1"/>
  <c r="H134" i="15"/>
  <c r="J66" i="27"/>
  <c r="K66" i="27" s="1"/>
  <c r="L66" i="27"/>
  <c r="E18" i="26"/>
  <c r="AX44" i="26"/>
  <c r="AX107" i="26" s="1"/>
  <c r="BB38" i="26"/>
  <c r="BB43" i="26" s="1"/>
  <c r="BB44" i="26" s="1"/>
  <c r="BB107" i="26" s="1"/>
  <c r="BF44" i="26"/>
  <c r="BF107" i="26" s="1"/>
  <c r="BJ44" i="26"/>
  <c r="BJ107" i="26" s="1"/>
  <c r="BJ38" i="26"/>
  <c r="BJ43" i="26" s="1"/>
  <c r="P44" i="26"/>
  <c r="P107" i="26" s="1"/>
  <c r="R107" i="26"/>
  <c r="C4" i="21"/>
  <c r="F132" i="19"/>
  <c r="G33" i="17"/>
  <c r="K124" i="17"/>
  <c r="K150" i="17" s="1"/>
  <c r="H108" i="15"/>
  <c r="G44" i="6"/>
  <c r="C8" i="7"/>
  <c r="E8" i="7" s="1"/>
  <c r="D30" i="5"/>
  <c r="E30" i="5" s="1"/>
  <c r="E204" i="9"/>
  <c r="D37" i="11"/>
  <c r="D69" i="10"/>
  <c r="F69" i="10" s="1"/>
  <c r="D19" i="11"/>
  <c r="D14" i="20"/>
  <c r="D8" i="20" s="1"/>
  <c r="D33" i="20" s="1"/>
  <c r="D21" i="11"/>
  <c r="F17" i="20"/>
  <c r="C26" i="11"/>
  <c r="C14" i="20"/>
  <c r="C8" i="20" s="1"/>
  <c r="C33" i="20" s="1"/>
  <c r="E9" i="2"/>
  <c r="D8" i="2"/>
  <c r="E28" i="5"/>
  <c r="E11" i="14"/>
  <c r="C8" i="14"/>
  <c r="E25" i="14"/>
  <c r="C22" i="14"/>
  <c r="E6" i="1"/>
  <c r="G36" i="1"/>
  <c r="G35" i="1" s="1"/>
  <c r="D66" i="1"/>
  <c r="D76" i="1" s="1"/>
  <c r="F76" i="1"/>
  <c r="F137" i="1" s="1"/>
  <c r="E92" i="1"/>
  <c r="E110" i="1" s="1"/>
  <c r="E38" i="15"/>
  <c r="E40" i="15"/>
  <c r="E44" i="15" s="1"/>
  <c r="E45" i="15" s="1"/>
  <c r="G44" i="15"/>
  <c r="H74" i="15"/>
  <c r="D57" i="15"/>
  <c r="D74" i="15" s="1"/>
  <c r="F5" i="27"/>
  <c r="F119" i="27" s="1"/>
  <c r="L93" i="27"/>
  <c r="F15" i="26"/>
  <c r="D15" i="26" s="1"/>
  <c r="DL44" i="26"/>
  <c r="DL107" i="26" s="1"/>
  <c r="DP38" i="26"/>
  <c r="DP43" i="26" s="1"/>
  <c r="DP44" i="26" s="1"/>
  <c r="DP107" i="26" s="1"/>
  <c r="U46" i="19"/>
  <c r="U142" i="19" s="1"/>
  <c r="U168" i="19" s="1"/>
  <c r="E156" i="6"/>
  <c r="F53" i="1"/>
  <c r="F138" i="1" s="1"/>
  <c r="F164" i="1" s="1"/>
  <c r="H2" i="38"/>
  <c r="E21" i="11"/>
  <c r="E18" i="11" s="1"/>
  <c r="F31" i="20"/>
  <c r="E20" i="18"/>
  <c r="D46" i="12"/>
  <c r="G46" i="15"/>
  <c r="E46" i="15" s="1"/>
  <c r="H44" i="15"/>
  <c r="I74" i="15"/>
  <c r="E64" i="15"/>
  <c r="E117" i="15"/>
  <c r="E111" i="27"/>
  <c r="D13" i="26"/>
  <c r="C14" i="26"/>
  <c r="C17" i="26"/>
  <c r="AF38" i="26"/>
  <c r="AF43" i="26" s="1"/>
  <c r="AF44" i="26" s="1"/>
  <c r="N38" i="26"/>
  <c r="N43" i="26" s="1"/>
  <c r="N44" i="26" s="1"/>
  <c r="N107" i="26" s="1"/>
  <c r="S44" i="26"/>
  <c r="S107" i="26" s="1"/>
  <c r="AK44" i="26"/>
  <c r="AT44" i="26"/>
  <c r="AT107" i="26" s="1"/>
  <c r="AW44" i="26"/>
  <c r="AW107" i="26" s="1"/>
  <c r="BN44" i="26"/>
  <c r="BN107" i="26" s="1"/>
  <c r="BV44" i="26"/>
  <c r="BV107" i="26" s="1"/>
  <c r="BZ44" i="26"/>
  <c r="BZ107" i="26" s="1"/>
  <c r="CN107" i="26"/>
  <c r="CV107" i="26"/>
  <c r="C48" i="26"/>
  <c r="H48" i="26"/>
  <c r="H79" i="26"/>
  <c r="D75" i="26"/>
  <c r="D79" i="26" s="1"/>
  <c r="DE107" i="26"/>
  <c r="H53" i="1"/>
  <c r="H137" i="1"/>
  <c r="G113" i="19"/>
  <c r="G111" i="19" s="1"/>
  <c r="E76" i="9"/>
  <c r="D62" i="4"/>
  <c r="DN107" i="26"/>
  <c r="D63" i="27"/>
  <c r="E32" i="24"/>
  <c r="F119" i="38"/>
  <c r="F123" i="38" s="1"/>
  <c r="D4" i="38"/>
  <c r="D25" i="38"/>
  <c r="D111" i="38"/>
  <c r="F9" i="20"/>
  <c r="F11" i="20"/>
  <c r="E28" i="2"/>
  <c r="E28" i="18"/>
  <c r="D8" i="14"/>
  <c r="D30" i="14" s="1"/>
  <c r="D8" i="8"/>
  <c r="D30" i="8" s="1"/>
  <c r="D8" i="37"/>
  <c r="E8" i="37" s="1"/>
  <c r="I46" i="1"/>
  <c r="D94" i="1"/>
  <c r="E105" i="1"/>
  <c r="D119" i="1"/>
  <c r="H162" i="1"/>
  <c r="E9" i="12"/>
  <c r="J74" i="15"/>
  <c r="F85" i="15"/>
  <c r="F108" i="15"/>
  <c r="J108" i="15"/>
  <c r="J135" i="15" s="1"/>
  <c r="J136" i="15" s="1"/>
  <c r="J162" i="15" s="1"/>
  <c r="K134" i="15"/>
  <c r="K135" i="15" s="1"/>
  <c r="K136" i="15" s="1"/>
  <c r="K162" i="15" s="1"/>
  <c r="E129" i="15"/>
  <c r="J160" i="15"/>
  <c r="E39" i="28"/>
  <c r="C4" i="26"/>
  <c r="C5" i="26"/>
  <c r="G18" i="26"/>
  <c r="C11" i="26"/>
  <c r="D16" i="26"/>
  <c r="G23" i="26"/>
  <c r="C22" i="26"/>
  <c r="C23" i="26" s="1"/>
  <c r="O38" i="26"/>
  <c r="O43" i="26" s="1"/>
  <c r="CD44" i="26"/>
  <c r="CO44" i="26"/>
  <c r="CO107" i="26" s="1"/>
  <c r="DT44" i="26"/>
  <c r="DT107" i="26" s="1"/>
  <c r="H50" i="26"/>
  <c r="C50" i="26"/>
  <c r="K38" i="26"/>
  <c r="E87" i="1"/>
  <c r="D118" i="9"/>
  <c r="D110" i="1"/>
  <c r="AH107" i="26"/>
  <c r="D95" i="38"/>
  <c r="C5" i="35"/>
  <c r="C18" i="35" s="1"/>
  <c r="C3" i="35" s="1"/>
  <c r="F26" i="20"/>
  <c r="F28" i="20"/>
  <c r="D22" i="18"/>
  <c r="E20" i="37"/>
  <c r="E22" i="1"/>
  <c r="D42" i="1"/>
  <c r="D46" i="1" s="1"/>
  <c r="D47" i="1" s="1"/>
  <c r="D53" i="1" s="1"/>
  <c r="H110" i="1"/>
  <c r="E119" i="1"/>
  <c r="D155" i="1"/>
  <c r="D162" i="1" s="1"/>
  <c r="D161" i="1"/>
  <c r="E96" i="15"/>
  <c r="F134" i="15"/>
  <c r="K160" i="15"/>
  <c r="J5" i="28"/>
  <c r="J49" i="28" s="1"/>
  <c r="CH44" i="26"/>
  <c r="CL44" i="26"/>
  <c r="CL107" i="26" s="1"/>
  <c r="DD44" i="26"/>
  <c r="DD107" i="26" s="1"/>
  <c r="AP44" i="26"/>
  <c r="V44" i="26"/>
  <c r="AS44" i="26"/>
  <c r="AS107" i="26" s="1"/>
  <c r="CG44" i="26"/>
  <c r="CG107" i="26" s="1"/>
  <c r="H106" i="26"/>
  <c r="K123" i="17"/>
  <c r="E141" i="17"/>
  <c r="E148" i="17" s="1"/>
  <c r="C53" i="26"/>
  <c r="AL107" i="26"/>
  <c r="BC107" i="26"/>
  <c r="BG107" i="26"/>
  <c r="CU107" i="26"/>
  <c r="D55" i="26"/>
  <c r="DA107" i="26"/>
  <c r="E73" i="26"/>
  <c r="E88" i="26"/>
  <c r="D96" i="26"/>
  <c r="M32" i="17"/>
  <c r="M33" i="17" s="1"/>
  <c r="M39" i="17" s="1"/>
  <c r="M124" i="17" s="1"/>
  <c r="M150" i="17" s="1"/>
  <c r="D52" i="17"/>
  <c r="D62" i="17" s="1"/>
  <c r="F81" i="6"/>
  <c r="F131" i="6" s="1"/>
  <c r="F132" i="6" s="1"/>
  <c r="F158" i="6" s="1"/>
  <c r="F131" i="19"/>
  <c r="D111" i="19"/>
  <c r="D131" i="19" s="1"/>
  <c r="G8" i="7"/>
  <c r="H9" i="7"/>
  <c r="G25" i="11"/>
  <c r="G14" i="20"/>
  <c r="G8" i="20" s="1"/>
  <c r="G33" i="20" s="1"/>
  <c r="J33" i="20" s="1"/>
  <c r="O40" i="30"/>
  <c r="CP44" i="26"/>
  <c r="CP107" i="26" s="1"/>
  <c r="CT38" i="26"/>
  <c r="CT43" i="26" s="1"/>
  <c r="CT44" i="26" s="1"/>
  <c r="CT107" i="26" s="1"/>
  <c r="DG44" i="26"/>
  <c r="DG107" i="26" s="1"/>
  <c r="DK44" i="26"/>
  <c r="Q38" i="26"/>
  <c r="Q43" i="26" s="1"/>
  <c r="Q44" i="26" s="1"/>
  <c r="Q107" i="26" s="1"/>
  <c r="AI44" i="26"/>
  <c r="AI107" i="26" s="1"/>
  <c r="BL38" i="26"/>
  <c r="BL43" i="26" s="1"/>
  <c r="C28" i="26"/>
  <c r="C31" i="26"/>
  <c r="AA38" i="26"/>
  <c r="AA43" i="26" s="1"/>
  <c r="AA44" i="26" s="1"/>
  <c r="AA107" i="26" s="1"/>
  <c r="DQ44" i="26"/>
  <c r="DQ107" i="26" s="1"/>
  <c r="E53" i="26"/>
  <c r="D49" i="26"/>
  <c r="D51" i="26"/>
  <c r="D56" i="26"/>
  <c r="D72" i="26"/>
  <c r="D84" i="26"/>
  <c r="D90" i="26"/>
  <c r="D106" i="26" s="1"/>
  <c r="D99" i="26"/>
  <c r="F62" i="17"/>
  <c r="L62" i="17"/>
  <c r="E74" i="17"/>
  <c r="I96" i="17"/>
  <c r="I123" i="17" s="1"/>
  <c r="L96" i="17"/>
  <c r="H96" i="17"/>
  <c r="H123" i="17" s="1"/>
  <c r="H124" i="17" s="1"/>
  <c r="H150" i="17" s="1"/>
  <c r="D117" i="17"/>
  <c r="E59" i="4"/>
  <c r="E117" i="4"/>
  <c r="E135" i="4" s="1"/>
  <c r="E199" i="4"/>
  <c r="E211" i="4" s="1"/>
  <c r="E205" i="4"/>
  <c r="E18" i="6"/>
  <c r="G109" i="6"/>
  <c r="H130" i="6"/>
  <c r="I85" i="9"/>
  <c r="K118" i="9"/>
  <c r="K160" i="9" s="1"/>
  <c r="K158" i="9" s="1"/>
  <c r="K178" i="9" s="1"/>
  <c r="K179" i="9" s="1"/>
  <c r="K180" i="9" s="1"/>
  <c r="K206" i="9" s="1"/>
  <c r="K46" i="19"/>
  <c r="K142" i="19" s="1"/>
  <c r="K168" i="19" s="1"/>
  <c r="E34" i="19"/>
  <c r="E39" i="19" s="1"/>
  <c r="E40" i="19" s="1"/>
  <c r="U105" i="19"/>
  <c r="E96" i="19"/>
  <c r="E105" i="19" s="1"/>
  <c r="D15" i="23"/>
  <c r="F15" i="23" s="1"/>
  <c r="E117" i="25"/>
  <c r="F58" i="30" s="1"/>
  <c r="F95" i="30"/>
  <c r="F92" i="30" s="1"/>
  <c r="C7" i="10"/>
  <c r="J34" i="21"/>
  <c r="J91" i="30" s="1"/>
  <c r="J89" i="30" s="1"/>
  <c r="I42" i="20"/>
  <c r="I39" i="20" s="1"/>
  <c r="I12" i="11"/>
  <c r="I26" i="10"/>
  <c r="I5" i="10" s="1"/>
  <c r="J62" i="17"/>
  <c r="E59" i="17"/>
  <c r="E73" i="17"/>
  <c r="E70" i="17"/>
  <c r="J96" i="17"/>
  <c r="D87" i="17"/>
  <c r="J122" i="17"/>
  <c r="E105" i="17"/>
  <c r="E122" i="17" s="1"/>
  <c r="I148" i="17"/>
  <c r="G6" i="4"/>
  <c r="F62" i="4"/>
  <c r="F69" i="4" s="1"/>
  <c r="F75" i="4" s="1"/>
  <c r="F163" i="4" s="1"/>
  <c r="F189" i="4" s="1"/>
  <c r="D68" i="4"/>
  <c r="E98" i="4"/>
  <c r="I135" i="4"/>
  <c r="I143" i="4" s="1"/>
  <c r="I141" i="4" s="1"/>
  <c r="I161" i="4" s="1"/>
  <c r="I162" i="4" s="1"/>
  <c r="E144" i="4"/>
  <c r="E156" i="4"/>
  <c r="D60" i="6"/>
  <c r="D70" i="6" s="1"/>
  <c r="E88" i="6"/>
  <c r="E104" i="6" s="1"/>
  <c r="O152" i="9"/>
  <c r="O160" i="9" s="1"/>
  <c r="O158" i="9" s="1"/>
  <c r="O178" i="9" s="1"/>
  <c r="H23" i="8"/>
  <c r="F22" i="8"/>
  <c r="G20" i="30"/>
  <c r="G5" i="30" s="1"/>
  <c r="G4" i="30" s="1"/>
  <c r="G5" i="21"/>
  <c r="G5" i="20" s="1"/>
  <c r="J5" i="20" s="1"/>
  <c r="O31" i="30"/>
  <c r="O8" i="30"/>
  <c r="O11" i="30"/>
  <c r="O21" i="30"/>
  <c r="O46" i="30"/>
  <c r="O50" i="30"/>
  <c r="O57" i="30"/>
  <c r="O61" i="30"/>
  <c r="O65" i="30"/>
  <c r="O69" i="30"/>
  <c r="O78" i="30"/>
  <c r="O82" i="30"/>
  <c r="N26" i="11"/>
  <c r="O74" i="30"/>
  <c r="CX44" i="26"/>
  <c r="CX107" i="26" s="1"/>
  <c r="DI44" i="26"/>
  <c r="C67" i="26"/>
  <c r="D38" i="17"/>
  <c r="J73" i="17"/>
  <c r="J123" i="17" s="1"/>
  <c r="J124" i="17" s="1"/>
  <c r="J150" i="17" s="1"/>
  <c r="G96" i="17"/>
  <c r="D78" i="17"/>
  <c r="E84" i="17"/>
  <c r="E87" i="17"/>
  <c r="D97" i="17"/>
  <c r="D101" i="17" s="1"/>
  <c r="H122" i="17"/>
  <c r="D114" i="17"/>
  <c r="D122" i="17" s="1"/>
  <c r="L122" i="17"/>
  <c r="E140" i="17"/>
  <c r="D147" i="17"/>
  <c r="D148" i="17" s="1"/>
  <c r="E53" i="4"/>
  <c r="D98" i="4"/>
  <c r="F112" i="4"/>
  <c r="E109" i="4"/>
  <c r="E112" i="4" s="1"/>
  <c r="E123" i="4"/>
  <c r="D156" i="4"/>
  <c r="D161" i="4" s="1"/>
  <c r="D162" i="4" s="1"/>
  <c r="D180" i="4"/>
  <c r="D187" i="4" s="1"/>
  <c r="D186" i="4"/>
  <c r="E28" i="6"/>
  <c r="D11" i="6"/>
  <c r="D31" i="6" s="1"/>
  <c r="E60" i="6"/>
  <c r="E70" i="6" s="1"/>
  <c r="D71" i="6"/>
  <c r="H104" i="6"/>
  <c r="H131" i="6" s="1"/>
  <c r="D99" i="6"/>
  <c r="D104" i="6" s="1"/>
  <c r="I156" i="6"/>
  <c r="D168" i="6"/>
  <c r="D180" i="6" s="1"/>
  <c r="P152" i="9"/>
  <c r="D140" i="9"/>
  <c r="G22" i="8"/>
  <c r="O29" i="30"/>
  <c r="Q40" i="19"/>
  <c r="E62" i="19"/>
  <c r="E72" i="19" s="1"/>
  <c r="D80" i="19"/>
  <c r="D83" i="19" s="1"/>
  <c r="D132" i="19" s="1"/>
  <c r="N105" i="19"/>
  <c r="N132" i="19" s="1"/>
  <c r="T131" i="19"/>
  <c r="T132" i="19" s="1"/>
  <c r="T142" i="19" s="1"/>
  <c r="T168" i="19" s="1"/>
  <c r="O166" i="19"/>
  <c r="E158" i="25"/>
  <c r="F74" i="30" s="1"/>
  <c r="D68" i="39"/>
  <c r="H38" i="14"/>
  <c r="J59" i="10"/>
  <c r="I77" i="10"/>
  <c r="O32" i="30"/>
  <c r="O36" i="30"/>
  <c r="O9" i="30"/>
  <c r="O43" i="30"/>
  <c r="O47" i="30"/>
  <c r="O51" i="30"/>
  <c r="O58" i="30"/>
  <c r="O62" i="30"/>
  <c r="O66" i="30"/>
  <c r="O71" i="30"/>
  <c r="O79" i="30"/>
  <c r="O87" i="30"/>
  <c r="O85" i="30"/>
  <c r="K16" i="24"/>
  <c r="D149" i="6"/>
  <c r="D156" i="6" s="1"/>
  <c r="L79" i="9"/>
  <c r="E70" i="9"/>
  <c r="F85" i="9"/>
  <c r="F86" i="9" s="1"/>
  <c r="F92" i="9" s="1"/>
  <c r="F180" i="9" s="1"/>
  <c r="F206" i="9" s="1"/>
  <c r="L85" i="9"/>
  <c r="P85" i="9"/>
  <c r="D143" i="9"/>
  <c r="H204" i="9"/>
  <c r="N40" i="19"/>
  <c r="N46" i="19" s="1"/>
  <c r="E44" i="19"/>
  <c r="U72" i="19"/>
  <c r="U113" i="19" s="1"/>
  <c r="U111" i="19" s="1"/>
  <c r="U131" i="19" s="1"/>
  <c r="U132" i="19" s="1"/>
  <c r="E73" i="19"/>
  <c r="E83" i="19" s="1"/>
  <c r="D93" i="19"/>
  <c r="D105" i="19" s="1"/>
  <c r="P131" i="19"/>
  <c r="P132" i="19" s="1"/>
  <c r="P142" i="19" s="1"/>
  <c r="P168" i="19" s="1"/>
  <c r="D123" i="19"/>
  <c r="H166" i="19"/>
  <c r="H168" i="19" s="1"/>
  <c r="K166" i="19"/>
  <c r="P166" i="19"/>
  <c r="S166" i="19"/>
  <c r="S168" i="19" s="1"/>
  <c r="H192" i="19"/>
  <c r="E194" i="3"/>
  <c r="E178" i="3"/>
  <c r="F28" i="30" s="1"/>
  <c r="H7" i="3"/>
  <c r="H6" i="3" s="1"/>
  <c r="F86" i="3"/>
  <c r="F5" i="3" s="1"/>
  <c r="H20" i="11"/>
  <c r="G46" i="12"/>
  <c r="H37" i="37"/>
  <c r="J20" i="20"/>
  <c r="J48" i="20"/>
  <c r="J34" i="10"/>
  <c r="I69" i="10"/>
  <c r="I64" i="10" s="1"/>
  <c r="J96" i="10"/>
  <c r="J107" i="10"/>
  <c r="J58" i="11"/>
  <c r="O35" i="30"/>
  <c r="O27" i="30"/>
  <c r="O6" i="30"/>
  <c r="O14" i="30"/>
  <c r="O44" i="30"/>
  <c r="O48" i="30"/>
  <c r="O52" i="30"/>
  <c r="O55" i="30"/>
  <c r="O59" i="30"/>
  <c r="O63" i="30"/>
  <c r="O67" i="30"/>
  <c r="O72" i="30"/>
  <c r="O83" i="30"/>
  <c r="O86" i="30"/>
  <c r="O88" i="30"/>
  <c r="O15" i="30"/>
  <c r="N9" i="23"/>
  <c r="Y9" i="23" s="1"/>
  <c r="E125" i="6"/>
  <c r="E57" i="9"/>
  <c r="I88" i="9"/>
  <c r="E81" i="9"/>
  <c r="E85" i="9" s="1"/>
  <c r="N118" i="9"/>
  <c r="N179" i="9" s="1"/>
  <c r="N180" i="9" s="1"/>
  <c r="N206" i="9" s="1"/>
  <c r="E115" i="9"/>
  <c r="D126" i="9"/>
  <c r="M152" i="9"/>
  <c r="M179" i="9" s="1"/>
  <c r="D136" i="9"/>
  <c r="E140" i="9"/>
  <c r="E152" i="9" s="1"/>
  <c r="D147" i="9"/>
  <c r="H178" i="9"/>
  <c r="H179" i="9" s="1"/>
  <c r="H180" i="9" s="1"/>
  <c r="H206" i="9" s="1"/>
  <c r="P178" i="9"/>
  <c r="D165" i="9"/>
  <c r="D178" i="9" s="1"/>
  <c r="E170" i="9"/>
  <c r="R204" i="9"/>
  <c r="D16" i="19"/>
  <c r="D30" i="19" s="1"/>
  <c r="D40" i="19" s="1"/>
  <c r="D46" i="19" s="1"/>
  <c r="D142" i="19" s="1"/>
  <c r="D168" i="19" s="1"/>
  <c r="F39" i="19"/>
  <c r="F40" i="19" s="1"/>
  <c r="F46" i="19" s="1"/>
  <c r="F142" i="19" s="1"/>
  <c r="F168" i="19" s="1"/>
  <c r="E69" i="19"/>
  <c r="I132" i="19"/>
  <c r="I142" i="19" s="1"/>
  <c r="I168" i="19" s="1"/>
  <c r="E114" i="19"/>
  <c r="E123" i="19"/>
  <c r="E141" i="19"/>
  <c r="D20" i="31"/>
  <c r="D10" i="23"/>
  <c r="F13" i="30"/>
  <c r="E25" i="3"/>
  <c r="H9" i="12"/>
  <c r="H25" i="8"/>
  <c r="H11" i="7"/>
  <c r="G8" i="5"/>
  <c r="H20" i="2"/>
  <c r="G36" i="2"/>
  <c r="G46" i="2" s="1"/>
  <c r="G34" i="2" s="1"/>
  <c r="G32" i="2" s="1"/>
  <c r="G31" i="2" s="1"/>
  <c r="G35" i="2" s="1"/>
  <c r="H42" i="20"/>
  <c r="O37" i="30"/>
  <c r="O7" i="30"/>
  <c r="O10" i="30"/>
  <c r="O18" i="30"/>
  <c r="O45" i="30"/>
  <c r="O49" i="30"/>
  <c r="O53" i="30"/>
  <c r="O56" i="30"/>
  <c r="O60" i="30"/>
  <c r="O64" i="30"/>
  <c r="O68" i="30"/>
  <c r="O73" i="30"/>
  <c r="O77" i="30"/>
  <c r="N10" i="23"/>
  <c r="Y10" i="23" s="1"/>
  <c r="L7" i="23"/>
  <c r="H74" i="26"/>
  <c r="H37" i="8"/>
  <c r="I27" i="11"/>
  <c r="F36" i="11"/>
  <c r="D36" i="2"/>
  <c r="D46" i="2" s="1"/>
  <c r="E41" i="2"/>
  <c r="G36" i="18"/>
  <c r="G46" i="18" s="1"/>
  <c r="H31" i="11"/>
  <c r="I49" i="11"/>
  <c r="D74" i="26"/>
  <c r="E17" i="23"/>
  <c r="E12" i="23" s="1"/>
  <c r="F22" i="20"/>
  <c r="DJ107" i="26"/>
  <c r="L16" i="24"/>
  <c r="L15" i="24" s="1"/>
  <c r="L21" i="23"/>
  <c r="E18" i="24"/>
  <c r="E15" i="24" s="1"/>
  <c r="J11" i="23"/>
  <c r="C27" i="24"/>
  <c r="F27" i="24" s="1"/>
  <c r="N22" i="23"/>
  <c r="Y22" i="23" s="1"/>
  <c r="D35" i="11"/>
  <c r="H35" i="11"/>
  <c r="J38" i="11"/>
  <c r="J32" i="11"/>
  <c r="J7" i="11"/>
  <c r="G15" i="11"/>
  <c r="J17" i="11"/>
  <c r="G27" i="11"/>
  <c r="J36" i="11"/>
  <c r="J41" i="11"/>
  <c r="J57" i="11"/>
  <c r="F17" i="11"/>
  <c r="E27" i="11"/>
  <c r="C31" i="11"/>
  <c r="E35" i="11"/>
  <c r="F38" i="11"/>
  <c r="F57" i="11"/>
  <c r="B13" i="22" s="1"/>
  <c r="F50" i="11"/>
  <c r="F32" i="11"/>
  <c r="E31" i="11"/>
  <c r="F39" i="11"/>
  <c r="H26" i="24"/>
  <c r="H25" i="24" s="1"/>
  <c r="F34" i="24"/>
  <c r="J31" i="24"/>
  <c r="F31" i="24"/>
  <c r="D32" i="24"/>
  <c r="I32" i="24"/>
  <c r="J42" i="11"/>
  <c r="F8" i="11"/>
  <c r="D15" i="11"/>
  <c r="D10" i="11" s="1"/>
  <c r="F33" i="11"/>
  <c r="F41" i="11"/>
  <c r="F42" i="11"/>
  <c r="F49" i="11"/>
  <c r="B17" i="22" s="1"/>
  <c r="C35" i="11"/>
  <c r="H5" i="11"/>
  <c r="E48" i="11"/>
  <c r="E47" i="11" s="1"/>
  <c r="F34" i="11"/>
  <c r="I35" i="11"/>
  <c r="F16" i="11"/>
  <c r="F7" i="11"/>
  <c r="H15" i="11"/>
  <c r="H10" i="11" s="1"/>
  <c r="J16" i="11"/>
  <c r="J43" i="11"/>
  <c r="D31" i="11"/>
  <c r="J50" i="11"/>
  <c r="F28" i="24"/>
  <c r="D26" i="24"/>
  <c r="F33" i="24"/>
  <c r="H8" i="24"/>
  <c r="J20" i="23"/>
  <c r="F65" i="26"/>
  <c r="D26" i="11"/>
  <c r="C27" i="11"/>
  <c r="F15" i="20"/>
  <c r="E15" i="11"/>
  <c r="C15" i="11"/>
  <c r="F18" i="20"/>
  <c r="F20" i="20"/>
  <c r="J15" i="20"/>
  <c r="C5" i="30"/>
  <c r="C4" i="30" s="1"/>
  <c r="D45" i="20"/>
  <c r="E45" i="20"/>
  <c r="J44" i="20"/>
  <c r="F48" i="20"/>
  <c r="D8" i="24"/>
  <c r="C39" i="20"/>
  <c r="E39" i="20"/>
  <c r="I45" i="20"/>
  <c r="F43" i="20"/>
  <c r="F47" i="20"/>
  <c r="G45" i="20"/>
  <c r="H37" i="2"/>
  <c r="F25" i="11"/>
  <c r="E38" i="5"/>
  <c r="H41" i="5"/>
  <c r="G36" i="7"/>
  <c r="G46" i="7" s="1"/>
  <c r="F28" i="11"/>
  <c r="F42" i="18"/>
  <c r="H42" i="18" s="1"/>
  <c r="H38" i="18"/>
  <c r="E38" i="14"/>
  <c r="C42" i="14"/>
  <c r="E42" i="14" s="1"/>
  <c r="E38" i="8"/>
  <c r="J28" i="11"/>
  <c r="F22" i="11"/>
  <c r="G36" i="8"/>
  <c r="G46" i="8" s="1"/>
  <c r="E37" i="37"/>
  <c r="H38" i="37"/>
  <c r="H23" i="11"/>
  <c r="E37" i="8"/>
  <c r="C42" i="37"/>
  <c r="E42" i="37" s="1"/>
  <c r="F42" i="7"/>
  <c r="H42" i="7" s="1"/>
  <c r="H106" i="27"/>
  <c r="I106" i="27" s="1"/>
  <c r="H43" i="37"/>
  <c r="I80" i="39" s="1"/>
  <c r="H43" i="2"/>
  <c r="I74" i="39" s="1"/>
  <c r="H38" i="7"/>
  <c r="E43" i="7"/>
  <c r="F76" i="39" s="1"/>
  <c r="E38" i="37"/>
  <c r="H37" i="18"/>
  <c r="G103" i="27"/>
  <c r="H103" i="27" s="1"/>
  <c r="I103" i="27" s="1"/>
  <c r="J103" i="27" s="1"/>
  <c r="K103" i="27" s="1"/>
  <c r="K93" i="27" s="1"/>
  <c r="H42" i="2"/>
  <c r="E41" i="5"/>
  <c r="E43" i="37"/>
  <c r="F80" i="39" s="1"/>
  <c r="C42" i="2"/>
  <c r="G36" i="5"/>
  <c r="G46" i="5" s="1"/>
  <c r="E38" i="2"/>
  <c r="D36" i="5"/>
  <c r="E42" i="5"/>
  <c r="E37" i="7"/>
  <c r="E38" i="18"/>
  <c r="E43" i="14"/>
  <c r="F78" i="39" s="1"/>
  <c r="H43" i="8"/>
  <c r="I79" i="39" s="1"/>
  <c r="C36" i="18"/>
  <c r="C36" i="7"/>
  <c r="C46" i="7" s="1"/>
  <c r="E43" i="5"/>
  <c r="F75" i="39" s="1"/>
  <c r="E43" i="2"/>
  <c r="F74" i="39" s="1"/>
  <c r="E37" i="5"/>
  <c r="F42" i="37"/>
  <c r="F42" i="14"/>
  <c r="H42" i="14" s="1"/>
  <c r="E41" i="7"/>
  <c r="D36" i="18"/>
  <c r="H38" i="8"/>
  <c r="G46" i="14"/>
  <c r="G117" i="27"/>
  <c r="H117" i="27" s="1"/>
  <c r="I117" i="27" s="1"/>
  <c r="J117" i="27" s="1"/>
  <c r="H43" i="18"/>
  <c r="I77" i="39" s="1"/>
  <c r="D6" i="24"/>
  <c r="I81" i="39"/>
  <c r="H39" i="37"/>
  <c r="H37" i="7"/>
  <c r="H39" i="7"/>
  <c r="C42" i="18"/>
  <c r="E42" i="18" s="1"/>
  <c r="D36" i="8"/>
  <c r="G36" i="37"/>
  <c r="G46" i="37" s="1"/>
  <c r="F18" i="39"/>
  <c r="F49" i="39" s="1"/>
  <c r="F22" i="39"/>
  <c r="E57" i="25" s="1"/>
  <c r="I58" i="25"/>
  <c r="G23" i="23" s="1"/>
  <c r="C19" i="23"/>
  <c r="F19" i="23" s="1"/>
  <c r="D36" i="37"/>
  <c r="H39" i="5"/>
  <c r="H41" i="2"/>
  <c r="E37" i="18"/>
  <c r="H42" i="5"/>
  <c r="D36" i="7"/>
  <c r="E43" i="8"/>
  <c r="F79" i="39" s="1"/>
  <c r="H38" i="5"/>
  <c r="F36" i="2"/>
  <c r="F46" i="2" s="1"/>
  <c r="H5" i="24"/>
  <c r="H18" i="24"/>
  <c r="J47" i="20"/>
  <c r="I9" i="24"/>
  <c r="F37" i="23"/>
  <c r="G33" i="23"/>
  <c r="I29" i="24"/>
  <c r="J29" i="24" s="1"/>
  <c r="C32" i="24"/>
  <c r="G32" i="24"/>
  <c r="J28" i="24"/>
  <c r="J34" i="24"/>
  <c r="F37" i="11"/>
  <c r="J34" i="11"/>
  <c r="I170" i="25"/>
  <c r="H22" i="23" s="1"/>
  <c r="D33" i="31"/>
  <c r="D3" i="31" s="1"/>
  <c r="J18" i="30"/>
  <c r="G14" i="11"/>
  <c r="J14" i="11" s="1"/>
  <c r="J30" i="30"/>
  <c r="H135" i="3"/>
  <c r="H134" i="3" s="1"/>
  <c r="F36" i="37"/>
  <c r="H21" i="11"/>
  <c r="J21" i="11" s="1"/>
  <c r="J31" i="10"/>
  <c r="J9" i="23"/>
  <c r="I57" i="25"/>
  <c r="G22" i="23" s="1"/>
  <c r="J40" i="20"/>
  <c r="J41" i="20"/>
  <c r="J28" i="30"/>
  <c r="H102" i="3"/>
  <c r="F36" i="14"/>
  <c r="H36" i="14" s="1"/>
  <c r="F36" i="18"/>
  <c r="H57" i="3"/>
  <c r="F36" i="7"/>
  <c r="F36" i="5"/>
  <c r="J31" i="30"/>
  <c r="I52" i="39"/>
  <c r="I68" i="39" s="1"/>
  <c r="I50" i="25"/>
  <c r="I43" i="25" s="1"/>
  <c r="J46" i="20"/>
  <c r="I73" i="39" s="1"/>
  <c r="J19" i="23"/>
  <c r="G17" i="23"/>
  <c r="G26" i="10"/>
  <c r="G40" i="11"/>
  <c r="J84" i="10"/>
  <c r="G77" i="10"/>
  <c r="J77" i="10" s="1"/>
  <c r="H44" i="11"/>
  <c r="G31" i="11"/>
  <c r="J31" i="11" s="1"/>
  <c r="G161" i="4"/>
  <c r="G162" i="4" s="1"/>
  <c r="E141" i="4"/>
  <c r="E161" i="4" s="1"/>
  <c r="G178" i="9"/>
  <c r="G179" i="9" s="1"/>
  <c r="C94" i="10"/>
  <c r="G130" i="6"/>
  <c r="K43" i="26"/>
  <c r="K44" i="26" s="1"/>
  <c r="K107" i="26" s="1"/>
  <c r="H105" i="27"/>
  <c r="G39" i="17"/>
  <c r="G66" i="26"/>
  <c r="G131" i="19"/>
  <c r="G132" i="19" s="1"/>
  <c r="G142" i="19" s="1"/>
  <c r="G168" i="19" s="1"/>
  <c r="E111" i="19"/>
  <c r="I26" i="17"/>
  <c r="E24" i="17"/>
  <c r="E26" i="17" s="1"/>
  <c r="E33" i="17" s="1"/>
  <c r="I34" i="17"/>
  <c r="K33" i="27"/>
  <c r="K5" i="27" s="1"/>
  <c r="J5" i="27"/>
  <c r="E6" i="10"/>
  <c r="J49" i="11"/>
  <c r="D33" i="17"/>
  <c r="D39" i="17" s="1"/>
  <c r="O46" i="19"/>
  <c r="O142" i="19" s="1"/>
  <c r="O168" i="19" s="1"/>
  <c r="E74" i="9"/>
  <c r="G87" i="9"/>
  <c r="F14" i="11"/>
  <c r="AF107" i="26"/>
  <c r="DH44" i="26"/>
  <c r="DH107" i="26" s="1"/>
  <c r="E42" i="7"/>
  <c r="I112" i="6"/>
  <c r="I110" i="6" s="1"/>
  <c r="I130" i="6" s="1"/>
  <c r="I131" i="6" s="1"/>
  <c r="H66" i="26"/>
  <c r="I79" i="9"/>
  <c r="I86" i="9" s="1"/>
  <c r="I163" i="4"/>
  <c r="I189" i="4" s="1"/>
  <c r="C13" i="11"/>
  <c r="D5" i="27"/>
  <c r="D119" i="27" s="1"/>
  <c r="D136" i="1"/>
  <c r="C44" i="11"/>
  <c r="F84" i="10"/>
  <c r="AR44" i="26"/>
  <c r="AR107" i="26" s="1"/>
  <c r="I152" i="15"/>
  <c r="E75" i="15"/>
  <c r="E85" i="15" s="1"/>
  <c r="C30" i="12"/>
  <c r="E89" i="27"/>
  <c r="E80" i="27" s="1"/>
  <c r="DO107" i="26"/>
  <c r="BI38" i="26"/>
  <c r="D29" i="11"/>
  <c r="F45" i="10"/>
  <c r="F40" i="20"/>
  <c r="I108" i="15"/>
  <c r="G5" i="28"/>
  <c r="G49" i="28" s="1"/>
  <c r="H21" i="28"/>
  <c r="H5" i="28" s="1"/>
  <c r="H49" i="28" s="1"/>
  <c r="H23" i="26"/>
  <c r="AK107" i="26"/>
  <c r="CF44" i="26"/>
  <c r="CF107" i="26" s="1"/>
  <c r="CJ38" i="26"/>
  <c r="CJ43" i="26" s="1"/>
  <c r="CJ44" i="26" s="1"/>
  <c r="CJ107" i="26" s="1"/>
  <c r="AP107" i="26"/>
  <c r="V107" i="26"/>
  <c r="M79" i="9"/>
  <c r="M86" i="9" s="1"/>
  <c r="M92" i="9" s="1"/>
  <c r="M180" i="9" s="1"/>
  <c r="M206" i="9" s="1"/>
  <c r="C77" i="10"/>
  <c r="F77" i="10" s="1"/>
  <c r="C8" i="8"/>
  <c r="C43" i="10"/>
  <c r="E33" i="26"/>
  <c r="F73" i="26"/>
  <c r="I5" i="27"/>
  <c r="BU107" i="26"/>
  <c r="G116" i="15"/>
  <c r="G114" i="15" s="1"/>
  <c r="C22" i="7"/>
  <c r="F71" i="10"/>
  <c r="C19" i="11"/>
  <c r="C24" i="11"/>
  <c r="F24" i="11" s="1"/>
  <c r="H119" i="38"/>
  <c r="H123" i="38" s="1"/>
  <c r="F44" i="20"/>
  <c r="C22" i="18"/>
  <c r="D87" i="1"/>
  <c r="D8" i="12"/>
  <c r="D30" i="12" s="1"/>
  <c r="E20" i="12"/>
  <c r="E99" i="15"/>
  <c r="E108" i="15" s="1"/>
  <c r="C6" i="27"/>
  <c r="C5" i="27" s="1"/>
  <c r="C119" i="27" s="1"/>
  <c r="C7" i="26"/>
  <c r="C13" i="26"/>
  <c r="D21" i="26"/>
  <c r="D22" i="26"/>
  <c r="X44" i="26"/>
  <c r="X107" i="26" s="1"/>
  <c r="X38" i="26"/>
  <c r="X43" i="26" s="1"/>
  <c r="AU107" i="26"/>
  <c r="CA107" i="26"/>
  <c r="CD107" i="26"/>
  <c r="CR44" i="26"/>
  <c r="CR107" i="26" s="1"/>
  <c r="T107" i="26"/>
  <c r="F53" i="10"/>
  <c r="E14" i="20"/>
  <c r="D65" i="38"/>
  <c r="D2" i="38" s="1"/>
  <c r="E31" i="1"/>
  <c r="E73" i="1"/>
  <c r="I110" i="1"/>
  <c r="F44" i="15"/>
  <c r="F45" i="15" s="1"/>
  <c r="F51" i="15" s="1"/>
  <c r="D40" i="15"/>
  <c r="D44" i="15" s="1"/>
  <c r="E57" i="15"/>
  <c r="E74" i="15" s="1"/>
  <c r="E42" i="27"/>
  <c r="E5" i="27" s="1"/>
  <c r="C93" i="27"/>
  <c r="C3" i="26"/>
  <c r="C16" i="26"/>
  <c r="AC38" i="26"/>
  <c r="AC43" i="26" s="1"/>
  <c r="AC44" i="26" s="1"/>
  <c r="AC107" i="26" s="1"/>
  <c r="AJ107" i="26"/>
  <c r="AM44" i="26"/>
  <c r="AM107" i="26" s="1"/>
  <c r="CE107" i="26"/>
  <c r="CH107" i="26"/>
  <c r="CW44" i="26"/>
  <c r="CW107" i="26" s="1"/>
  <c r="DC44" i="26"/>
  <c r="DC107" i="26" s="1"/>
  <c r="Z44" i="26"/>
  <c r="Z107" i="26" s="1"/>
  <c r="BP34" i="26"/>
  <c r="BP38" i="26" s="1"/>
  <c r="H33" i="26"/>
  <c r="D33" i="26" s="1"/>
  <c r="C41" i="26"/>
  <c r="D47" i="26"/>
  <c r="D57" i="26"/>
  <c r="D83" i="26"/>
  <c r="D88" i="26" s="1"/>
  <c r="AZ44" i="26"/>
  <c r="AZ107" i="26" s="1"/>
  <c r="BH44" i="26"/>
  <c r="BH107" i="26" s="1"/>
  <c r="DF44" i="26"/>
  <c r="DF107" i="26" s="1"/>
  <c r="H32" i="26"/>
  <c r="H34" i="26" s="1"/>
  <c r="F32" i="26"/>
  <c r="D40" i="26"/>
  <c r="D54" i="26"/>
  <c r="D58" i="26"/>
  <c r="C59" i="26"/>
  <c r="D62" i="26"/>
  <c r="F88" i="26"/>
  <c r="H69" i="4"/>
  <c r="H75" i="4" s="1"/>
  <c r="H163" i="4" s="1"/>
  <c r="H189" i="4" s="1"/>
  <c r="L33" i="17"/>
  <c r="L39" i="17" s="1"/>
  <c r="D109" i="15"/>
  <c r="D113" i="15" s="1"/>
  <c r="L77" i="27"/>
  <c r="L5" i="27" s="1"/>
  <c r="L119" i="27" s="1"/>
  <c r="BD44" i="26"/>
  <c r="BD107" i="26" s="1"/>
  <c r="BL44" i="26"/>
  <c r="BL107" i="26" s="1"/>
  <c r="BX44" i="26"/>
  <c r="BX107" i="26" s="1"/>
  <c r="CQ44" i="26"/>
  <c r="CQ107" i="26" s="1"/>
  <c r="DS44" i="26"/>
  <c r="DS107" i="26" s="1"/>
  <c r="E66" i="26"/>
  <c r="H88" i="26"/>
  <c r="H43" i="6"/>
  <c r="D39" i="6"/>
  <c r="D43" i="6" s="1"/>
  <c r="D81" i="6"/>
  <c r="I107" i="26"/>
  <c r="M39" i="19"/>
  <c r="M40" i="19" s="1"/>
  <c r="M46" i="19" s="1"/>
  <c r="M142" i="19" s="1"/>
  <c r="M168" i="19" s="1"/>
  <c r="H11" i="37"/>
  <c r="F8" i="37"/>
  <c r="H25" i="7"/>
  <c r="H28" i="7"/>
  <c r="H20" i="5"/>
  <c r="F22" i="2"/>
  <c r="H22" i="2" s="1"/>
  <c r="H23" i="2"/>
  <c r="I8" i="24"/>
  <c r="J43" i="20"/>
  <c r="I238" i="25"/>
  <c r="G8" i="23"/>
  <c r="I32" i="17"/>
  <c r="F96" i="17"/>
  <c r="G186" i="4"/>
  <c r="G187" i="4" s="1"/>
  <c r="I37" i="6"/>
  <c r="I38" i="6" s="1"/>
  <c r="I44" i="6" s="1"/>
  <c r="D153" i="9"/>
  <c r="D157" i="9" s="1"/>
  <c r="R192" i="19"/>
  <c r="F8" i="12"/>
  <c r="H23" i="14"/>
  <c r="F22" i="14"/>
  <c r="G8" i="18"/>
  <c r="H9" i="18"/>
  <c r="H23" i="7"/>
  <c r="G22" i="7"/>
  <c r="H25" i="11"/>
  <c r="J21" i="20"/>
  <c r="I7" i="24"/>
  <c r="G45" i="10"/>
  <c r="J47" i="10"/>
  <c r="E6" i="6"/>
  <c r="E31" i="6" s="1"/>
  <c r="E38" i="6" s="1"/>
  <c r="E44" i="6" s="1"/>
  <c r="D33" i="6"/>
  <c r="D37" i="6" s="1"/>
  <c r="D105" i="6"/>
  <c r="D109" i="6" s="1"/>
  <c r="Q42" i="19"/>
  <c r="Q45" i="19" s="1"/>
  <c r="Q46" i="19" s="1"/>
  <c r="Q142" i="19" s="1"/>
  <c r="Q168" i="19" s="1"/>
  <c r="J192" i="19"/>
  <c r="D180" i="19"/>
  <c r="D192" i="19" s="1"/>
  <c r="E87" i="3"/>
  <c r="E86" i="3" s="1"/>
  <c r="E173" i="3"/>
  <c r="E199" i="3"/>
  <c r="F29" i="30" s="1"/>
  <c r="E242" i="25"/>
  <c r="H116" i="3"/>
  <c r="F39" i="8"/>
  <c r="G8" i="37"/>
  <c r="G30" i="37" s="1"/>
  <c r="H9" i="37"/>
  <c r="H20" i="8"/>
  <c r="G8" i="8"/>
  <c r="F22" i="5"/>
  <c r="H23" i="5"/>
  <c r="J18" i="20"/>
  <c r="H22" i="11"/>
  <c r="J22" i="11" s="1"/>
  <c r="J28" i="20"/>
  <c r="J31" i="20"/>
  <c r="G25" i="20"/>
  <c r="J25" i="20" s="1"/>
  <c r="H37" i="6"/>
  <c r="H38" i="6" s="1"/>
  <c r="H44" i="6" s="1"/>
  <c r="H132" i="6" s="1"/>
  <c r="H158" i="6" s="1"/>
  <c r="C8" i="24"/>
  <c r="E216" i="3"/>
  <c r="C39" i="12" s="1"/>
  <c r="E39" i="12" s="1"/>
  <c r="D17" i="24"/>
  <c r="F8" i="7"/>
  <c r="H23" i="12"/>
  <c r="F22" i="12"/>
  <c r="G30" i="18"/>
  <c r="H30" i="18" s="1"/>
  <c r="J41" i="23"/>
  <c r="F68" i="39"/>
  <c r="F92" i="39" s="1"/>
  <c r="I14" i="20"/>
  <c r="I8" i="20" s="1"/>
  <c r="I33" i="20" s="1"/>
  <c r="I7" i="25"/>
  <c r="J6" i="30" s="1"/>
  <c r="H10" i="23"/>
  <c r="I18" i="24"/>
  <c r="I15" i="24" s="1"/>
  <c r="E71" i="25"/>
  <c r="F25" i="30" s="1"/>
  <c r="E214" i="3"/>
  <c r="H121" i="3"/>
  <c r="J38" i="30" s="1"/>
  <c r="H183" i="3"/>
  <c r="J13" i="30" s="1"/>
  <c r="H19" i="11"/>
  <c r="J19" i="11" s="1"/>
  <c r="G22" i="12"/>
  <c r="G30" i="12" s="1"/>
  <c r="F8" i="14"/>
  <c r="F30" i="14" s="1"/>
  <c r="G22" i="14"/>
  <c r="G30" i="14" s="1"/>
  <c r="G22" i="5"/>
  <c r="H9" i="2"/>
  <c r="I21" i="23"/>
  <c r="H11" i="18"/>
  <c r="E238" i="25"/>
  <c r="F81" i="30"/>
  <c r="J27" i="30"/>
  <c r="H43" i="5"/>
  <c r="I75" i="39" s="1"/>
  <c r="H14" i="20"/>
  <c r="H8" i="20" s="1"/>
  <c r="H33" i="20" s="1"/>
  <c r="I240" i="25"/>
  <c r="G10" i="23"/>
  <c r="G6" i="24"/>
  <c r="G13" i="23"/>
  <c r="J13" i="23" s="1"/>
  <c r="J38" i="10"/>
  <c r="G35" i="11"/>
  <c r="J21" i="21"/>
  <c r="H11" i="2"/>
  <c r="O33" i="30"/>
  <c r="H39" i="2"/>
  <c r="J22" i="20"/>
  <c r="J81" i="30"/>
  <c r="H17" i="24"/>
  <c r="J71" i="10"/>
  <c r="O23" i="30"/>
  <c r="H69" i="10"/>
  <c r="O13" i="30"/>
  <c r="O80" i="30"/>
  <c r="O22" i="30"/>
  <c r="O92" i="30"/>
  <c r="D12" i="23"/>
  <c r="D5" i="24"/>
  <c r="H6" i="24"/>
  <c r="O81" i="30"/>
  <c r="F16" i="23"/>
  <c r="F9" i="23"/>
  <c r="E30" i="24"/>
  <c r="F30" i="24" s="1"/>
  <c r="J92" i="30"/>
  <c r="C32" i="23"/>
  <c r="C31" i="23" s="1"/>
  <c r="J24" i="23"/>
  <c r="F11" i="23"/>
  <c r="F29" i="23"/>
  <c r="J6" i="10"/>
  <c r="J7" i="10"/>
  <c r="G6" i="11"/>
  <c r="C68" i="26"/>
  <c r="C74" i="26" s="1"/>
  <c r="C75" i="26"/>
  <c r="G95" i="10"/>
  <c r="J102" i="10"/>
  <c r="J69" i="30"/>
  <c r="F24" i="23"/>
  <c r="C18" i="24"/>
  <c r="H80" i="27"/>
  <c r="H5" i="27" s="1"/>
  <c r="G5" i="27"/>
  <c r="F29" i="24"/>
  <c r="I30" i="24"/>
  <c r="I7" i="23"/>
  <c r="I87" i="39"/>
  <c r="F6" i="30"/>
  <c r="H11" i="12"/>
  <c r="H8" i="12"/>
  <c r="H8" i="14"/>
  <c r="F8" i="5"/>
  <c r="H8" i="5" s="1"/>
  <c r="H26" i="11"/>
  <c r="J26" i="11" s="1"/>
  <c r="H24" i="11"/>
  <c r="F8" i="2"/>
  <c r="G39" i="20"/>
  <c r="J20" i="30"/>
  <c r="C73" i="26"/>
  <c r="C69" i="26"/>
  <c r="G79" i="26"/>
  <c r="DK79" i="26"/>
  <c r="DK107" i="26" s="1"/>
  <c r="C98" i="26"/>
  <c r="C106" i="26" s="1"/>
  <c r="AE74" i="26"/>
  <c r="DI74" i="26"/>
  <c r="DI107" i="26" s="1"/>
  <c r="E67" i="26"/>
  <c r="C65" i="26"/>
  <c r="E68" i="26"/>
  <c r="G68" i="26"/>
  <c r="G74" i="26" s="1"/>
  <c r="E75" i="26"/>
  <c r="E79" i="26" s="1"/>
  <c r="AE79" i="26"/>
  <c r="C70" i="26"/>
  <c r="AE66" i="26"/>
  <c r="C78" i="26"/>
  <c r="H24" i="3"/>
  <c r="F44" i="12"/>
  <c r="J24" i="30"/>
  <c r="J25" i="30"/>
  <c r="J29" i="30"/>
  <c r="H187" i="3"/>
  <c r="H40" i="3"/>
  <c r="H12" i="23" l="1"/>
  <c r="J33" i="23"/>
  <c r="H16" i="24"/>
  <c r="F16" i="30"/>
  <c r="F8" i="23"/>
  <c r="G5" i="24"/>
  <c r="G16" i="24"/>
  <c r="E7" i="23"/>
  <c r="E30" i="23" s="1"/>
  <c r="H40" i="11"/>
  <c r="J29" i="11"/>
  <c r="I5" i="11"/>
  <c r="F9" i="11"/>
  <c r="J37" i="11"/>
  <c r="I10" i="11"/>
  <c r="I48" i="11"/>
  <c r="I47" i="11" s="1"/>
  <c r="J12" i="11"/>
  <c r="F10" i="23"/>
  <c r="J27" i="11"/>
  <c r="F46" i="20"/>
  <c r="C49" i="20"/>
  <c r="J25" i="11"/>
  <c r="F55" i="11"/>
  <c r="B12" i="22" s="1"/>
  <c r="F21" i="11"/>
  <c r="I18" i="11"/>
  <c r="D48" i="11"/>
  <c r="D47" i="11" s="1"/>
  <c r="J23" i="11"/>
  <c r="F26" i="11"/>
  <c r="G64" i="10"/>
  <c r="H5" i="10"/>
  <c r="J55" i="11"/>
  <c r="C26" i="10"/>
  <c r="F26" i="10" s="1"/>
  <c r="I110" i="10"/>
  <c r="J26" i="10"/>
  <c r="J13" i="11"/>
  <c r="E53" i="25"/>
  <c r="F17" i="30" s="1"/>
  <c r="C23" i="23"/>
  <c r="F70" i="39"/>
  <c r="D7" i="23"/>
  <c r="D7" i="24"/>
  <c r="L30" i="23"/>
  <c r="L44" i="23" s="1"/>
  <c r="F42" i="20"/>
  <c r="D39" i="20"/>
  <c r="D49" i="20" s="1"/>
  <c r="J31" i="21"/>
  <c r="J42" i="20"/>
  <c r="C36" i="2"/>
  <c r="E36" i="2" s="1"/>
  <c r="C6" i="24"/>
  <c r="F6" i="24" s="1"/>
  <c r="J93" i="27"/>
  <c r="J119" i="27" s="1"/>
  <c r="E39" i="37"/>
  <c r="E39" i="8"/>
  <c r="H36" i="18"/>
  <c r="E39" i="5"/>
  <c r="E36" i="14"/>
  <c r="D34" i="12"/>
  <c r="D32" i="12" s="1"/>
  <c r="D31" i="12" s="1"/>
  <c r="D35" i="12" s="1"/>
  <c r="E39" i="14"/>
  <c r="G111" i="27"/>
  <c r="H111" i="27" s="1"/>
  <c r="H93" i="27" s="1"/>
  <c r="H119" i="27" s="1"/>
  <c r="C46" i="37"/>
  <c r="H86" i="3"/>
  <c r="H220" i="3"/>
  <c r="H39" i="12"/>
  <c r="H36" i="7"/>
  <c r="E36" i="8"/>
  <c r="G34" i="12"/>
  <c r="G32" i="12" s="1"/>
  <c r="G31" i="12" s="1"/>
  <c r="G35" i="12" s="1"/>
  <c r="E9" i="24"/>
  <c r="E4" i="24" s="1"/>
  <c r="E24" i="24" s="1"/>
  <c r="D30" i="37"/>
  <c r="E30" i="37" s="1"/>
  <c r="D123" i="17"/>
  <c r="E123" i="17"/>
  <c r="C37" i="20"/>
  <c r="C35" i="20" s="1"/>
  <c r="E49" i="20"/>
  <c r="D25" i="24"/>
  <c r="N7" i="24"/>
  <c r="W7" i="24" s="1"/>
  <c r="L4" i="24"/>
  <c r="L24" i="24" s="1"/>
  <c r="L35" i="24" s="1"/>
  <c r="L18" i="11"/>
  <c r="N20" i="11"/>
  <c r="D152" i="9"/>
  <c r="N13" i="23"/>
  <c r="Y13" i="23" s="1"/>
  <c r="K12" i="23"/>
  <c r="N8" i="23"/>
  <c r="Y8" i="23" s="1"/>
  <c r="P179" i="9"/>
  <c r="E6" i="4"/>
  <c r="G58" i="4"/>
  <c r="G57" i="4" s="1"/>
  <c r="F135" i="15"/>
  <c r="H138" i="1"/>
  <c r="H164" i="1" s="1"/>
  <c r="D48" i="26"/>
  <c r="H53" i="26"/>
  <c r="E22" i="14"/>
  <c r="C30" i="14"/>
  <c r="E30" i="14" s="1"/>
  <c r="D64" i="10"/>
  <c r="D2" i="26"/>
  <c r="D18" i="26" s="1"/>
  <c r="F18" i="26"/>
  <c r="D30" i="18"/>
  <c r="R206" i="9"/>
  <c r="N6" i="24"/>
  <c r="W6" i="24" s="1"/>
  <c r="O19" i="30"/>
  <c r="G34" i="14"/>
  <c r="G32" i="14" s="1"/>
  <c r="G31" i="14" s="1"/>
  <c r="G35" i="14" s="1"/>
  <c r="E40" i="1"/>
  <c r="E47" i="1" s="1"/>
  <c r="G137" i="1"/>
  <c r="G124" i="17"/>
  <c r="G150" i="17" s="1"/>
  <c r="E30" i="11"/>
  <c r="F32" i="24"/>
  <c r="D135" i="15"/>
  <c r="F136" i="15"/>
  <c r="F162" i="15" s="1"/>
  <c r="O179" i="9"/>
  <c r="O180" i="9" s="1"/>
  <c r="O206" i="9" s="1"/>
  <c r="I93" i="10"/>
  <c r="H39" i="20"/>
  <c r="H49" i="20" s="1"/>
  <c r="E170" i="25"/>
  <c r="D22" i="23" s="1"/>
  <c r="C46" i="5"/>
  <c r="E36" i="5"/>
  <c r="J45" i="20"/>
  <c r="H22" i="8"/>
  <c r="E96" i="17"/>
  <c r="E8" i="2"/>
  <c r="D30" i="2"/>
  <c r="D34" i="2" s="1"/>
  <c r="D32" i="2" s="1"/>
  <c r="D31" i="2" s="1"/>
  <c r="D35" i="2" s="1"/>
  <c r="H135" i="15"/>
  <c r="E162" i="1"/>
  <c r="H45" i="15"/>
  <c r="H51" i="15" s="1"/>
  <c r="N5" i="30"/>
  <c r="G45" i="15"/>
  <c r="G51" i="15" s="1"/>
  <c r="G136" i="15" s="1"/>
  <c r="G162" i="15" s="1"/>
  <c r="D179" i="9"/>
  <c r="D180" i="9" s="1"/>
  <c r="D206" i="9" s="1"/>
  <c r="L124" i="17"/>
  <c r="L150" i="17" s="1"/>
  <c r="D53" i="26"/>
  <c r="D124" i="17"/>
  <c r="D150" i="17" s="1"/>
  <c r="E162" i="4"/>
  <c r="F7" i="10"/>
  <c r="C6" i="10"/>
  <c r="F6" i="10" s="1"/>
  <c r="C6" i="11"/>
  <c r="P180" i="9"/>
  <c r="P206" i="9" s="1"/>
  <c r="H7" i="24"/>
  <c r="D45" i="15"/>
  <c r="D51" i="15" s="1"/>
  <c r="D23" i="26"/>
  <c r="E79" i="9"/>
  <c r="E86" i="9" s="1"/>
  <c r="C66" i="26"/>
  <c r="E243" i="25"/>
  <c r="G4" i="21"/>
  <c r="H22" i="12"/>
  <c r="D38" i="6"/>
  <c r="D44" i="6" s="1"/>
  <c r="F123" i="17"/>
  <c r="F124" i="17" s="1"/>
  <c r="F150" i="17" s="1"/>
  <c r="E119" i="27"/>
  <c r="E131" i="19"/>
  <c r="E132" i="19" s="1"/>
  <c r="G131" i="6"/>
  <c r="G132" i="6" s="1"/>
  <c r="G158" i="6" s="1"/>
  <c r="E158" i="9"/>
  <c r="E178" i="9" s="1"/>
  <c r="E179" i="9" s="1"/>
  <c r="D34" i="14"/>
  <c r="D32" i="14" s="1"/>
  <c r="D31" i="14" s="1"/>
  <c r="D35" i="14" s="1"/>
  <c r="E24" i="3"/>
  <c r="E23" i="3" s="1"/>
  <c r="F30" i="30"/>
  <c r="E88" i="9"/>
  <c r="I91" i="9"/>
  <c r="I92" i="9" s="1"/>
  <c r="I180" i="9" s="1"/>
  <c r="I206" i="9" s="1"/>
  <c r="L86" i="9"/>
  <c r="L92" i="9" s="1"/>
  <c r="L180" i="9" s="1"/>
  <c r="L206" i="9" s="1"/>
  <c r="N11" i="23"/>
  <c r="Y11" i="23" s="1"/>
  <c r="N142" i="19"/>
  <c r="N168" i="19" s="1"/>
  <c r="L29" i="11"/>
  <c r="L123" i="17"/>
  <c r="D69" i="4"/>
  <c r="D75" i="4" s="1"/>
  <c r="D163" i="4" s="1"/>
  <c r="D189" i="4" s="1"/>
  <c r="G48" i="1"/>
  <c r="G40" i="1"/>
  <c r="G47" i="1" s="1"/>
  <c r="E35" i="1"/>
  <c r="E8" i="14"/>
  <c r="G50" i="15"/>
  <c r="E47" i="15"/>
  <c r="E50" i="15" s="1"/>
  <c r="E51" i="15" s="1"/>
  <c r="O16" i="30"/>
  <c r="D5" i="10"/>
  <c r="D93" i="10" s="1"/>
  <c r="E8" i="18"/>
  <c r="I30" i="23"/>
  <c r="H46" i="2"/>
  <c r="K47" i="2" s="1"/>
  <c r="J8" i="24"/>
  <c r="N23" i="23"/>
  <c r="Y23" i="23" s="1"/>
  <c r="K17" i="24"/>
  <c r="K15" i="24" s="1"/>
  <c r="C26" i="24"/>
  <c r="C25" i="24" s="1"/>
  <c r="K21" i="23"/>
  <c r="N38" i="23"/>
  <c r="Y38" i="23" s="1"/>
  <c r="M32" i="23"/>
  <c r="F18" i="24"/>
  <c r="O25" i="30"/>
  <c r="O75" i="30"/>
  <c r="O42" i="30" s="1"/>
  <c r="N42" i="30"/>
  <c r="N16" i="24"/>
  <c r="D18" i="11"/>
  <c r="F35" i="11"/>
  <c r="D30" i="11"/>
  <c r="I30" i="11"/>
  <c r="I4" i="11"/>
  <c r="I61" i="11" s="1"/>
  <c r="J32" i="24"/>
  <c r="F31" i="11"/>
  <c r="J40" i="11"/>
  <c r="B14" i="22"/>
  <c r="J15" i="11"/>
  <c r="F15" i="11"/>
  <c r="F8" i="24"/>
  <c r="D65" i="26"/>
  <c r="D66" i="26" s="1"/>
  <c r="F66" i="26"/>
  <c r="E10" i="11"/>
  <c r="E4" i="11" s="1"/>
  <c r="F45" i="20"/>
  <c r="J14" i="20"/>
  <c r="J47" i="11"/>
  <c r="F73" i="39"/>
  <c r="F82" i="39" s="1"/>
  <c r="G121" i="38"/>
  <c r="G123" i="38" s="1"/>
  <c r="D34" i="5"/>
  <c r="D32" i="5" s="1"/>
  <c r="D31" i="5" s="1"/>
  <c r="D35" i="5" s="1"/>
  <c r="E35" i="5" s="1"/>
  <c r="D46" i="5"/>
  <c r="F46" i="7"/>
  <c r="H46" i="7" s="1"/>
  <c r="K47" i="7" s="1"/>
  <c r="H36" i="37"/>
  <c r="G34" i="37"/>
  <c r="G32" i="37" s="1"/>
  <c r="G31" i="37" s="1"/>
  <c r="G35" i="37" s="1"/>
  <c r="F46" i="14"/>
  <c r="H46" i="14" s="1"/>
  <c r="K47" i="14" s="1"/>
  <c r="C46" i="14"/>
  <c r="E46" i="14" s="1"/>
  <c r="E42" i="2"/>
  <c r="K119" i="27"/>
  <c r="F46" i="18"/>
  <c r="H46" i="18" s="1"/>
  <c r="K47" i="18" s="1"/>
  <c r="K49" i="18" s="1"/>
  <c r="F46" i="37"/>
  <c r="H46" i="37" s="1"/>
  <c r="K47" i="37" s="1"/>
  <c r="D46" i="18"/>
  <c r="D34" i="18"/>
  <c r="D32" i="18" s="1"/>
  <c r="D31" i="18" s="1"/>
  <c r="D35" i="18" s="1"/>
  <c r="E36" i="18"/>
  <c r="H36" i="2"/>
  <c r="H42" i="37"/>
  <c r="E36" i="37"/>
  <c r="C46" i="18"/>
  <c r="I82" i="39"/>
  <c r="I91" i="39" s="1"/>
  <c r="C34" i="37"/>
  <c r="C32" i="37" s="1"/>
  <c r="D34" i="8"/>
  <c r="D32" i="8" s="1"/>
  <c r="D31" i="8" s="1"/>
  <c r="D35" i="8" s="1"/>
  <c r="D46" i="8"/>
  <c r="E46" i="8" s="1"/>
  <c r="C22" i="23"/>
  <c r="E26" i="24"/>
  <c r="E25" i="24" s="1"/>
  <c r="J5" i="24"/>
  <c r="G27" i="24"/>
  <c r="G26" i="24" s="1"/>
  <c r="G25" i="24" s="1"/>
  <c r="G32" i="23"/>
  <c r="G31" i="23" s="1"/>
  <c r="C17" i="23"/>
  <c r="I242" i="25"/>
  <c r="D46" i="7"/>
  <c r="D34" i="7" s="1"/>
  <c r="D32" i="7" s="1"/>
  <c r="D31" i="7" s="1"/>
  <c r="D35" i="7" s="1"/>
  <c r="E36" i="7"/>
  <c r="D46" i="37"/>
  <c r="D34" i="37"/>
  <c r="D32" i="37" s="1"/>
  <c r="D31" i="37" s="1"/>
  <c r="D35" i="37" s="1"/>
  <c r="I4" i="24"/>
  <c r="I24" i="24" s="1"/>
  <c r="G10" i="11"/>
  <c r="J10" i="11" s="1"/>
  <c r="F23" i="23"/>
  <c r="F34" i="18"/>
  <c r="F32" i="18" s="1"/>
  <c r="F31" i="18" s="1"/>
  <c r="F35" i="18" s="1"/>
  <c r="G7" i="24"/>
  <c r="F34" i="5"/>
  <c r="H56" i="3"/>
  <c r="H23" i="3"/>
  <c r="F46" i="5"/>
  <c r="H46" i="5" s="1"/>
  <c r="K47" i="5" s="1"/>
  <c r="H36" i="5"/>
  <c r="H7" i="23"/>
  <c r="H21" i="23"/>
  <c r="G12" i="23"/>
  <c r="J10" i="23"/>
  <c r="J17" i="23"/>
  <c r="I166" i="25"/>
  <c r="I243" i="25"/>
  <c r="I53" i="25"/>
  <c r="J17" i="30" s="1"/>
  <c r="H30" i="11"/>
  <c r="J44" i="11"/>
  <c r="BP43" i="26"/>
  <c r="BP44" i="26" s="1"/>
  <c r="BP107" i="26" s="1"/>
  <c r="H38" i="26"/>
  <c r="H43" i="26" s="1"/>
  <c r="D136" i="15"/>
  <c r="D162" i="15" s="1"/>
  <c r="G30" i="5"/>
  <c r="G34" i="5"/>
  <c r="G32" i="5" s="1"/>
  <c r="G31" i="5" s="1"/>
  <c r="G35" i="5" s="1"/>
  <c r="C18" i="11"/>
  <c r="F19" i="11"/>
  <c r="F43" i="10"/>
  <c r="E152" i="15"/>
  <c r="E153" i="15" s="1"/>
  <c r="E160" i="15" s="1"/>
  <c r="I153" i="15"/>
  <c r="I160" i="15" s="1"/>
  <c r="C40" i="11"/>
  <c r="F44" i="11"/>
  <c r="D119" i="38"/>
  <c r="E5" i="10"/>
  <c r="C47" i="11"/>
  <c r="F48" i="11"/>
  <c r="D9" i="24"/>
  <c r="J8" i="23"/>
  <c r="J6" i="24"/>
  <c r="J76" i="30"/>
  <c r="J20" i="21"/>
  <c r="J4" i="21" s="1"/>
  <c r="E220" i="3"/>
  <c r="C37" i="12"/>
  <c r="H22" i="5"/>
  <c r="H39" i="8"/>
  <c r="F36" i="8"/>
  <c r="I49" i="20"/>
  <c r="I37" i="20"/>
  <c r="I35" i="20" s="1"/>
  <c r="I34" i="20" s="1"/>
  <c r="I38" i="20" s="1"/>
  <c r="G30" i="7"/>
  <c r="G34" i="7" s="1"/>
  <c r="G32" i="7" s="1"/>
  <c r="G31" i="7" s="1"/>
  <c r="G35" i="7" s="1"/>
  <c r="H22" i="7"/>
  <c r="H8" i="18"/>
  <c r="G34" i="18"/>
  <c r="I132" i="6"/>
  <c r="I158" i="6" s="1"/>
  <c r="C7" i="24"/>
  <c r="D131" i="6"/>
  <c r="D132" i="6" s="1"/>
  <c r="D158" i="6" s="1"/>
  <c r="D32" i="26"/>
  <c r="D34" i="26" s="1"/>
  <c r="F34" i="26"/>
  <c r="I118" i="1"/>
  <c r="I116" i="1" s="1"/>
  <c r="E8" i="20"/>
  <c r="F14" i="20"/>
  <c r="E8" i="8"/>
  <c r="C30" i="8"/>
  <c r="F29" i="11"/>
  <c r="D27" i="11"/>
  <c r="C10" i="11"/>
  <c r="F13" i="11"/>
  <c r="E8" i="12"/>
  <c r="E42" i="19"/>
  <c r="E45" i="19" s="1"/>
  <c r="E46" i="19" s="1"/>
  <c r="E142" i="19" s="1"/>
  <c r="E168" i="19" s="1"/>
  <c r="I38" i="17"/>
  <c r="E34" i="17"/>
  <c r="E38" i="17" s="1"/>
  <c r="E39" i="17" s="1"/>
  <c r="G43" i="10"/>
  <c r="G20" i="11"/>
  <c r="J45" i="10"/>
  <c r="H8" i="37"/>
  <c r="F30" i="37"/>
  <c r="C30" i="18"/>
  <c r="E30" i="18" s="1"/>
  <c r="E22" i="18"/>
  <c r="C34" i="18"/>
  <c r="F30" i="5"/>
  <c r="H30" i="5" s="1"/>
  <c r="F30" i="12"/>
  <c r="H30" i="12" s="1"/>
  <c r="I92" i="39"/>
  <c r="I70" i="39"/>
  <c r="G30" i="11"/>
  <c r="J35" i="11"/>
  <c r="H8" i="7"/>
  <c r="F30" i="7"/>
  <c r="H30" i="7" s="1"/>
  <c r="J37" i="30"/>
  <c r="H109" i="3"/>
  <c r="F27" i="30"/>
  <c r="E151" i="3"/>
  <c r="E150" i="3" s="1"/>
  <c r="E22" i="7"/>
  <c r="C30" i="7"/>
  <c r="D73" i="26"/>
  <c r="F74" i="26"/>
  <c r="H44" i="26"/>
  <c r="H107" i="26" s="1"/>
  <c r="I116" i="15"/>
  <c r="I114" i="15" s="1"/>
  <c r="I134" i="15" s="1"/>
  <c r="I135" i="15" s="1"/>
  <c r="I136" i="15" s="1"/>
  <c r="BI43" i="26"/>
  <c r="BI44" i="26" s="1"/>
  <c r="BI107" i="26" s="1"/>
  <c r="G38" i="26"/>
  <c r="G43" i="26" s="1"/>
  <c r="G44" i="26" s="1"/>
  <c r="G107" i="26" s="1"/>
  <c r="E30" i="12"/>
  <c r="J18" i="24"/>
  <c r="G91" i="9"/>
  <c r="G92" i="9" s="1"/>
  <c r="G180" i="9" s="1"/>
  <c r="G206" i="9" s="1"/>
  <c r="E87" i="9"/>
  <c r="I105" i="27"/>
  <c r="I93" i="27" s="1"/>
  <c r="I119" i="27" s="1"/>
  <c r="E38" i="26"/>
  <c r="E110" i="6"/>
  <c r="E130" i="6" s="1"/>
  <c r="E131" i="6" s="1"/>
  <c r="E132" i="6" s="1"/>
  <c r="E158" i="6" s="1"/>
  <c r="F94" i="10"/>
  <c r="C34" i="20"/>
  <c r="G21" i="23"/>
  <c r="I244" i="25"/>
  <c r="J69" i="10"/>
  <c r="H64" i="10"/>
  <c r="J8" i="20"/>
  <c r="G30" i="8"/>
  <c r="H8" i="8"/>
  <c r="H22" i="14"/>
  <c r="C18" i="26"/>
  <c r="D137" i="1"/>
  <c r="D138" i="1" s="1"/>
  <c r="D164" i="1" s="1"/>
  <c r="G134" i="15"/>
  <c r="G135" i="15" s="1"/>
  <c r="C33" i="26"/>
  <c r="C34" i="26" s="1"/>
  <c r="E34" i="26"/>
  <c r="C64" i="10"/>
  <c r="F64" i="10" s="1"/>
  <c r="I33" i="17"/>
  <c r="I39" i="17" s="1"/>
  <c r="I124" i="17" s="1"/>
  <c r="I150" i="17" s="1"/>
  <c r="F38" i="26"/>
  <c r="J22" i="23"/>
  <c r="J23" i="23"/>
  <c r="G5" i="11"/>
  <c r="J6" i="11"/>
  <c r="C79" i="26"/>
  <c r="AE107" i="26"/>
  <c r="G94" i="10"/>
  <c r="J95" i="10"/>
  <c r="J48" i="11"/>
  <c r="J30" i="24"/>
  <c r="I26" i="24"/>
  <c r="H9" i="24"/>
  <c r="O17" i="30"/>
  <c r="H30" i="14"/>
  <c r="H18" i="11"/>
  <c r="J24" i="11"/>
  <c r="F30" i="2"/>
  <c r="H8" i="2"/>
  <c r="G37" i="20"/>
  <c r="G49" i="20"/>
  <c r="E74" i="26"/>
  <c r="G17" i="24"/>
  <c r="F42" i="12"/>
  <c r="H44" i="12"/>
  <c r="H151" i="3"/>
  <c r="J16" i="30"/>
  <c r="H39" i="3"/>
  <c r="J16" i="24" l="1"/>
  <c r="E6" i="25"/>
  <c r="H15" i="24"/>
  <c r="G9" i="24"/>
  <c r="D16" i="24"/>
  <c r="D15" i="24" s="1"/>
  <c r="C17" i="24"/>
  <c r="F17" i="24" s="1"/>
  <c r="C21" i="23"/>
  <c r="F39" i="20"/>
  <c r="F49" i="20"/>
  <c r="D37" i="20"/>
  <c r="D35" i="20" s="1"/>
  <c r="D34" i="20" s="1"/>
  <c r="D38" i="20" s="1"/>
  <c r="F7" i="24"/>
  <c r="W16" i="24"/>
  <c r="C5" i="10"/>
  <c r="D4" i="24"/>
  <c r="E166" i="25"/>
  <c r="E75" i="25" s="1"/>
  <c r="F26" i="24"/>
  <c r="F91" i="39"/>
  <c r="F22" i="23"/>
  <c r="D21" i="23"/>
  <c r="D30" i="23" s="1"/>
  <c r="D44" i="23" s="1"/>
  <c r="C46" i="2"/>
  <c r="C34" i="2" s="1"/>
  <c r="J39" i="20"/>
  <c r="E46" i="37"/>
  <c r="H47" i="37" s="1"/>
  <c r="F34" i="14"/>
  <c r="H34" i="14" s="1"/>
  <c r="F5" i="30"/>
  <c r="G93" i="27"/>
  <c r="G119" i="27" s="1"/>
  <c r="I89" i="39"/>
  <c r="E31" i="5"/>
  <c r="E46" i="5"/>
  <c r="E5" i="3"/>
  <c r="J7" i="24"/>
  <c r="K7" i="23"/>
  <c r="N7" i="23" s="1"/>
  <c r="Y7" i="23" s="1"/>
  <c r="K9" i="24"/>
  <c r="N5" i="24"/>
  <c r="W5" i="24" s="1"/>
  <c r="N8" i="24"/>
  <c r="W8" i="24" s="1"/>
  <c r="N18" i="11"/>
  <c r="O5" i="30"/>
  <c r="O4" i="30" s="1"/>
  <c r="E114" i="15"/>
  <c r="E134" i="15" s="1"/>
  <c r="E135" i="15" s="1"/>
  <c r="E136" i="15" s="1"/>
  <c r="E162" i="15" s="1"/>
  <c r="E91" i="9"/>
  <c r="E92" i="9" s="1"/>
  <c r="E180" i="9" s="1"/>
  <c r="E206" i="9" s="1"/>
  <c r="H37" i="20"/>
  <c r="H35" i="20" s="1"/>
  <c r="H34" i="20" s="1"/>
  <c r="H38" i="20" s="1"/>
  <c r="L27" i="11"/>
  <c r="N27" i="11" s="1"/>
  <c r="N29" i="11"/>
  <c r="F6" i="11"/>
  <c r="C5" i="11"/>
  <c r="F5" i="11" s="1"/>
  <c r="H136" i="15"/>
  <c r="H162" i="15" s="1"/>
  <c r="D110" i="10"/>
  <c r="E124" i="17"/>
  <c r="E150" i="17" s="1"/>
  <c r="G70" i="4"/>
  <c r="G62" i="4"/>
  <c r="G69" i="4" s="1"/>
  <c r="E57" i="4"/>
  <c r="E62" i="4" s="1"/>
  <c r="E69" i="4" s="1"/>
  <c r="N12" i="23"/>
  <c r="Y12" i="23" s="1"/>
  <c r="C16" i="24"/>
  <c r="C15" i="24" s="1"/>
  <c r="F18" i="11"/>
  <c r="E46" i="18"/>
  <c r="H47" i="18" s="1"/>
  <c r="H49" i="18" s="1"/>
  <c r="H47" i="14"/>
  <c r="G52" i="1"/>
  <c r="G53" i="1" s="1"/>
  <c r="G138" i="1" s="1"/>
  <c r="G164" i="1" s="1"/>
  <c r="E48" i="1"/>
  <c r="E52" i="1" s="1"/>
  <c r="E53" i="1" s="1"/>
  <c r="E30" i="2"/>
  <c r="E32" i="5"/>
  <c r="E34" i="5"/>
  <c r="I46" i="11"/>
  <c r="N4" i="30"/>
  <c r="N15" i="24"/>
  <c r="W15" i="24" s="1"/>
  <c r="N21" i="23"/>
  <c r="Y21" i="23" s="1"/>
  <c r="M31" i="23"/>
  <c r="N32" i="23"/>
  <c r="Y32" i="23" s="1"/>
  <c r="N17" i="24"/>
  <c r="F25" i="24"/>
  <c r="J30" i="11"/>
  <c r="E35" i="24"/>
  <c r="J49" i="20"/>
  <c r="C34" i="14"/>
  <c r="E34" i="14" s="1"/>
  <c r="F89" i="39"/>
  <c r="D121" i="38"/>
  <c r="D123" i="38" s="1"/>
  <c r="E46" i="7"/>
  <c r="H47" i="7" s="1"/>
  <c r="J27" i="24"/>
  <c r="J12" i="23"/>
  <c r="F17" i="23"/>
  <c r="C12" i="23"/>
  <c r="H34" i="5"/>
  <c r="F32" i="5"/>
  <c r="F31" i="5" s="1"/>
  <c r="E34" i="37"/>
  <c r="C32" i="2"/>
  <c r="E34" i="2"/>
  <c r="H47" i="5"/>
  <c r="I6" i="25"/>
  <c r="G4" i="24"/>
  <c r="F34" i="7"/>
  <c r="F32" i="7" s="1"/>
  <c r="H30" i="23"/>
  <c r="H44" i="23" s="1"/>
  <c r="J21" i="23"/>
  <c r="G7" i="23"/>
  <c r="J7" i="23" s="1"/>
  <c r="J9" i="24"/>
  <c r="J5" i="30"/>
  <c r="I75" i="25"/>
  <c r="J75" i="30"/>
  <c r="J42" i="30" s="1"/>
  <c r="C110" i="10"/>
  <c r="H110" i="10"/>
  <c r="H93" i="10"/>
  <c r="J64" i="10"/>
  <c r="H108" i="3"/>
  <c r="F27" i="11"/>
  <c r="D4" i="11"/>
  <c r="I162" i="15"/>
  <c r="N46" i="23"/>
  <c r="E30" i="7"/>
  <c r="C34" i="7"/>
  <c r="J20" i="11"/>
  <c r="G18" i="11"/>
  <c r="G4" i="11" s="1"/>
  <c r="F47" i="11"/>
  <c r="E93" i="10"/>
  <c r="E110" i="10"/>
  <c r="F110" i="10" s="1"/>
  <c r="F43" i="26"/>
  <c r="F44" i="26" s="1"/>
  <c r="F107" i="26" s="1"/>
  <c r="D38" i="26"/>
  <c r="D43" i="26" s="1"/>
  <c r="D44" i="26" s="1"/>
  <c r="D107" i="26" s="1"/>
  <c r="H30" i="37"/>
  <c r="F34" i="37"/>
  <c r="J43" i="10"/>
  <c r="G5" i="10"/>
  <c r="E30" i="8"/>
  <c r="C34" i="8"/>
  <c r="F8" i="20"/>
  <c r="E33" i="20"/>
  <c r="G32" i="18"/>
  <c r="H34" i="18"/>
  <c r="F5" i="10"/>
  <c r="C93" i="10"/>
  <c r="E32" i="37"/>
  <c r="C31" i="37"/>
  <c r="H36" i="8"/>
  <c r="F46" i="8"/>
  <c r="H46" i="8" s="1"/>
  <c r="F34" i="8"/>
  <c r="G34" i="8"/>
  <c r="G32" i="8" s="1"/>
  <c r="G31" i="8" s="1"/>
  <c r="G35" i="8" s="1"/>
  <c r="H30" i="8"/>
  <c r="C38" i="20"/>
  <c r="E43" i="26"/>
  <c r="E44" i="26" s="1"/>
  <c r="E107" i="26" s="1"/>
  <c r="C38" i="26"/>
  <c r="C43" i="26" s="1"/>
  <c r="C44" i="26" s="1"/>
  <c r="C107" i="26" s="1"/>
  <c r="C32" i="18"/>
  <c r="E34" i="18"/>
  <c r="E46" i="11"/>
  <c r="E61" i="11"/>
  <c r="F10" i="11"/>
  <c r="C4" i="11"/>
  <c r="I136" i="1"/>
  <c r="I137" i="1" s="1"/>
  <c r="I138" i="1" s="1"/>
  <c r="I164" i="1" s="1"/>
  <c r="E116" i="1"/>
  <c r="E136" i="1" s="1"/>
  <c r="E137" i="1" s="1"/>
  <c r="E37" i="12"/>
  <c r="C36" i="12"/>
  <c r="C5" i="24"/>
  <c r="F40" i="11"/>
  <c r="C30" i="11"/>
  <c r="F30" i="11" s="1"/>
  <c r="J5" i="11"/>
  <c r="J94" i="10"/>
  <c r="H4" i="24"/>
  <c r="J26" i="24"/>
  <c r="I25" i="24"/>
  <c r="H4" i="11"/>
  <c r="H61" i="11" s="1"/>
  <c r="F32" i="14"/>
  <c r="H30" i="2"/>
  <c r="F34" i="2"/>
  <c r="J37" i="20"/>
  <c r="G35" i="20"/>
  <c r="H42" i="12"/>
  <c r="F46" i="12"/>
  <c r="J17" i="24"/>
  <c r="G15" i="24"/>
  <c r="H150" i="3"/>
  <c r="D24" i="24" l="1"/>
  <c r="D35" i="24" s="1"/>
  <c r="E46" i="2"/>
  <c r="H47" i="2" s="1"/>
  <c r="W17" i="24"/>
  <c r="W18" i="11"/>
  <c r="W27" i="11"/>
  <c r="F75" i="30"/>
  <c r="F42" i="30" s="1"/>
  <c r="F4" i="30" s="1"/>
  <c r="F21" i="23"/>
  <c r="C32" i="14"/>
  <c r="H32" i="5"/>
  <c r="F16" i="24"/>
  <c r="K30" i="23"/>
  <c r="N30" i="23" s="1"/>
  <c r="Y30" i="23" s="1"/>
  <c r="H34" i="7"/>
  <c r="E138" i="1"/>
  <c r="E164" i="1" s="1"/>
  <c r="G75" i="4"/>
  <c r="G163" i="4" s="1"/>
  <c r="G189" i="4" s="1"/>
  <c r="N9" i="24"/>
  <c r="W9" i="24" s="1"/>
  <c r="F93" i="10"/>
  <c r="G74" i="4"/>
  <c r="E70" i="4"/>
  <c r="E74" i="4" s="1"/>
  <c r="E75" i="4" s="1"/>
  <c r="E163" i="4" s="1"/>
  <c r="E189" i="4" s="1"/>
  <c r="L4" i="11"/>
  <c r="K4" i="24"/>
  <c r="H47" i="8"/>
  <c r="K47" i="8"/>
  <c r="J50" i="20"/>
  <c r="N50" i="20"/>
  <c r="M44" i="23"/>
  <c r="N31" i="23"/>
  <c r="Y31" i="23" s="1"/>
  <c r="E32" i="14"/>
  <c r="C31" i="14"/>
  <c r="C9" i="24"/>
  <c r="F9" i="24" s="1"/>
  <c r="C7" i="23"/>
  <c r="F12" i="23"/>
  <c r="C31" i="2"/>
  <c r="E32" i="2"/>
  <c r="G30" i="23"/>
  <c r="G44" i="23" s="1"/>
  <c r="J18" i="11"/>
  <c r="J4" i="11"/>
  <c r="J4" i="30"/>
  <c r="E32" i="18"/>
  <c r="C31" i="18"/>
  <c r="J5" i="10"/>
  <c r="G93" i="10"/>
  <c r="J93" i="10" s="1"/>
  <c r="E34" i="7"/>
  <c r="C32" i="7"/>
  <c r="D46" i="11"/>
  <c r="D61" i="11"/>
  <c r="H46" i="11"/>
  <c r="G110" i="10"/>
  <c r="J110" i="10" s="1"/>
  <c r="F5" i="24"/>
  <c r="F33" i="20"/>
  <c r="E37" i="20"/>
  <c r="C61" i="11"/>
  <c r="C46" i="12"/>
  <c r="E36" i="12"/>
  <c r="F4" i="11"/>
  <c r="C46" i="11"/>
  <c r="C35" i="37"/>
  <c r="E35" i="37" s="1"/>
  <c r="E31" i="37"/>
  <c r="F32" i="37"/>
  <c r="H34" i="37"/>
  <c r="G31" i="18"/>
  <c r="H32" i="18"/>
  <c r="F32" i="8"/>
  <c r="H34" i="8"/>
  <c r="E34" i="8"/>
  <c r="C32" i="8"/>
  <c r="G46" i="11"/>
  <c r="G61" i="11"/>
  <c r="J61" i="11" s="1"/>
  <c r="J25" i="24"/>
  <c r="I35" i="24"/>
  <c r="H24" i="24"/>
  <c r="H35" i="24" s="1"/>
  <c r="J4" i="24"/>
  <c r="F15" i="24"/>
  <c r="F31" i="14"/>
  <c r="H32" i="14"/>
  <c r="H31" i="5"/>
  <c r="F35" i="5"/>
  <c r="H35" i="5" s="1"/>
  <c r="H34" i="2"/>
  <c r="F32" i="2"/>
  <c r="G34" i="20"/>
  <c r="J35" i="20"/>
  <c r="H46" i="12"/>
  <c r="F34" i="12"/>
  <c r="J15" i="24"/>
  <c r="G24" i="24"/>
  <c r="H5" i="3"/>
  <c r="H32" i="7"/>
  <c r="F31" i="7"/>
  <c r="K44" i="23" l="1"/>
  <c r="N44" i="23" s="1"/>
  <c r="B7" i="22"/>
  <c r="J111" i="10"/>
  <c r="N111" i="10"/>
  <c r="L46" i="11"/>
  <c r="N46" i="11" s="1"/>
  <c r="W46" i="11" s="1"/>
  <c r="L61" i="11"/>
  <c r="N61" i="11" s="1"/>
  <c r="N4" i="11"/>
  <c r="W4" i="11" s="1"/>
  <c r="N4" i="24"/>
  <c r="W4" i="24" s="1"/>
  <c r="K24" i="24"/>
  <c r="K47" i="12"/>
  <c r="B6" i="22"/>
  <c r="F46" i="11"/>
  <c r="C35" i="14"/>
  <c r="E35" i="14" s="1"/>
  <c r="E31" i="14"/>
  <c r="C4" i="24"/>
  <c r="F4" i="24" s="1"/>
  <c r="F7" i="23"/>
  <c r="C30" i="23"/>
  <c r="J30" i="23"/>
  <c r="C35" i="2"/>
  <c r="E35" i="2" s="1"/>
  <c r="E31" i="2"/>
  <c r="F61" i="11"/>
  <c r="J62" i="11" s="1"/>
  <c r="J46" i="11"/>
  <c r="E32" i="8"/>
  <c r="C31" i="8"/>
  <c r="C34" i="12"/>
  <c r="E46" i="12"/>
  <c r="H32" i="8"/>
  <c r="F31" i="8"/>
  <c r="G35" i="18"/>
  <c r="H35" i="18" s="1"/>
  <c r="H31" i="18"/>
  <c r="H32" i="37"/>
  <c r="F31" i="37"/>
  <c r="E35" i="20"/>
  <c r="F37" i="20"/>
  <c r="C31" i="7"/>
  <c r="E32" i="7"/>
  <c r="E31" i="18"/>
  <c r="C35" i="18"/>
  <c r="E35" i="18" s="1"/>
  <c r="H31" i="14"/>
  <c r="F35" i="14"/>
  <c r="H35" i="14" s="1"/>
  <c r="F31" i="2"/>
  <c r="H32" i="2"/>
  <c r="G38" i="20"/>
  <c r="J38" i="20" s="1"/>
  <c r="J34" i="20"/>
  <c r="G35" i="24"/>
  <c r="J35" i="24" s="1"/>
  <c r="J24" i="24"/>
  <c r="H34" i="12"/>
  <c r="I233" i="25" s="1"/>
  <c r="F32" i="12"/>
  <c r="F35" i="7"/>
  <c r="H35" i="7" s="1"/>
  <c r="H31" i="7"/>
  <c r="R45" i="23" l="1"/>
  <c r="Y44" i="23"/>
  <c r="R62" i="11"/>
  <c r="W61" i="11"/>
  <c r="N62" i="11"/>
  <c r="N24" i="24"/>
  <c r="W24" i="24" s="1"/>
  <c r="K35" i="24"/>
  <c r="N35" i="24" s="1"/>
  <c r="W35" i="24" s="1"/>
  <c r="N112" i="10"/>
  <c r="N47" i="23"/>
  <c r="C24" i="24"/>
  <c r="F24" i="24" s="1"/>
  <c r="F30" i="23"/>
  <c r="C44" i="23"/>
  <c r="B4" i="22"/>
  <c r="B21" i="22"/>
  <c r="F23" i="22" s="1"/>
  <c r="B2" i="22"/>
  <c r="B3" i="22" s="1"/>
  <c r="B20" i="22"/>
  <c r="E34" i="20"/>
  <c r="F35" i="20"/>
  <c r="H31" i="8"/>
  <c r="F35" i="8"/>
  <c r="H35" i="8" s="1"/>
  <c r="F35" i="37"/>
  <c r="H35" i="37" s="1"/>
  <c r="H31" i="37"/>
  <c r="E31" i="8"/>
  <c r="C35" i="8"/>
  <c r="E35" i="8" s="1"/>
  <c r="E31" i="7"/>
  <c r="C35" i="7"/>
  <c r="E35" i="7" s="1"/>
  <c r="E34" i="12"/>
  <c r="E233" i="25" s="1"/>
  <c r="C32" i="12"/>
  <c r="F35" i="2"/>
  <c r="H35" i="2" s="1"/>
  <c r="H31" i="2"/>
  <c r="F31" i="12"/>
  <c r="H32" i="12"/>
  <c r="I38" i="23"/>
  <c r="I232" i="25"/>
  <c r="N36" i="24" l="1"/>
  <c r="N38" i="24" s="1"/>
  <c r="R36" i="24"/>
  <c r="R38" i="24" s="1"/>
  <c r="N63" i="11"/>
  <c r="C35" i="24"/>
  <c r="F35" i="24" s="1"/>
  <c r="J36" i="24" s="1"/>
  <c r="B10" i="22"/>
  <c r="B9" i="22"/>
  <c r="E38" i="23"/>
  <c r="E232" i="25"/>
  <c r="E32" i="12"/>
  <c r="C31" i="12"/>
  <c r="E38" i="20"/>
  <c r="F38" i="20" s="1"/>
  <c r="F34" i="20"/>
  <c r="I5" i="25"/>
  <c r="I246" i="25"/>
  <c r="I247" i="25" s="1"/>
  <c r="I32" i="23"/>
  <c r="J38" i="23"/>
  <c r="F35" i="12"/>
  <c r="H35" i="12" s="1"/>
  <c r="H31" i="12"/>
  <c r="E246" i="25" l="1"/>
  <c r="E247" i="25" s="1"/>
  <c r="E5" i="25"/>
  <c r="E31" i="12"/>
  <c r="C35" i="12"/>
  <c r="E35" i="12" s="1"/>
  <c r="E32" i="23"/>
  <c r="F38" i="23"/>
  <c r="J46" i="23"/>
  <c r="I248" i="25"/>
  <c r="I249" i="25" s="1"/>
  <c r="I31" i="23"/>
  <c r="J32" i="23"/>
  <c r="F46" i="23" l="1"/>
  <c r="E31" i="23"/>
  <c r="F32" i="23"/>
  <c r="I44" i="23"/>
  <c r="J44" i="23" s="1"/>
  <c r="J31" i="23"/>
  <c r="N45" i="23" l="1"/>
  <c r="J112" i="10"/>
  <c r="E44" i="23"/>
  <c r="F44" i="23" s="1"/>
  <c r="F47" i="23" s="1"/>
  <c r="F31" i="23"/>
  <c r="J47" i="23"/>
  <c r="J45" i="23" l="1"/>
  <c r="T5" i="30"/>
  <c r="T4" i="30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lantoso</author>
  </authors>
  <commentList>
    <comment ref="A20" authorId="0" shapeId="0" xr:uid="{00000000-0006-0000-0000-000001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Kiss Pisti kérésére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lantoso</author>
  </authors>
  <commentList>
    <comment ref="G75" authorId="0" shapeId="0" xr:uid="{00000000-0006-0000-2300-000001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Teljesítés alapján indokoltnak látszik.</t>
        </r>
      </text>
    </comment>
    <comment ref="I173" authorId="0" shapeId="0" xr:uid="{00000000-0006-0000-2300-000002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Becsült, kb 550e/hó * 11 hó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lantoso</author>
  </authors>
  <commentList>
    <comment ref="G6" authorId="0" shapeId="0" xr:uid="{00000000-0006-0000-2400-000001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A helyettesítéseknél az beszámolt, aki többe kerül (Fridikné, Lászlóné Sebők kivéve)</t>
        </r>
      </text>
    </comment>
    <comment ref="M6" authorId="0" shapeId="0" xr:uid="{00000000-0006-0000-2400-000002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Madaras Helga kivéve, helyettese többet keres.</t>
        </r>
      </text>
    </comment>
    <comment ref="I26" authorId="0" shapeId="0" xr:uid="{00000000-0006-0000-2400-000003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7*12 = munkáltatói visszapótlása</t>
        </r>
      </text>
    </comment>
    <comment ref="M54" authorId="0" shapeId="0" xr:uid="{00000000-0006-0000-2400-000004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Keresztély, Illia, Megyaszai, fejenként havi 60 000 Ft/hó pluisz ktg.</t>
        </r>
      </text>
    </comment>
    <comment ref="O114" authorId="0" shapeId="0" xr:uid="{00000000-0006-0000-2400-000005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Konyhai felszerelések beszerzése</t>
        </r>
      </text>
    </comment>
    <comment ref="M139" authorId="0" shapeId="0" xr:uid="{00000000-0006-0000-2400-000006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1,5 millió épület, 1,0 millió udvari játszótér (pm engedélyétől függő)</t>
        </r>
      </text>
    </comment>
    <comment ref="M146" authorId="0" shapeId="0" xr:uid="{00000000-0006-0000-2400-000007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Dietetikus 30e/hó, gyermekorvos 70e/hó, egyéb 80e</t>
        </r>
      </text>
    </comment>
    <comment ref="O160" authorId="0" shapeId="0" xr:uid="{00000000-0006-0000-2400-000008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Csak 20% áfát terveztem, mert több élelmiszerféle alacsonyabb áfakulcsú!</t>
        </r>
      </text>
    </comment>
    <comment ref="Q160" authorId="0" shapeId="0" xr:uid="{00000000-0006-0000-2400-000009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A korai fejlesztés számlája várhatóan áfamentes lesz</t>
        </r>
      </text>
    </comment>
    <comment ref="M222" authorId="0" shapeId="0" xr:uid="{00000000-0006-0000-2400-00000A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A gondozási díj áfamentes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lantoso</author>
  </authors>
  <commentList>
    <comment ref="G6" authorId="0" shapeId="0" xr:uid="{00000000-0006-0000-2500-000001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Eltérítéssel, pm, alpm nélkül</t>
        </r>
      </text>
    </comment>
    <comment ref="M6" authorId="0" shapeId="0" xr:uid="{00000000-0006-0000-2500-000002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Madaras Helga kivéve, helyettese többet keres.</t>
        </r>
      </text>
    </comment>
    <comment ref="G9" authorId="0" shapeId="0" xr:uid="{00000000-0006-0000-2500-000003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Nagy Adrienn célfeladat, Klári táblája alapján</t>
        </r>
      </text>
    </comment>
    <comment ref="G14" authorId="0" shapeId="0" xr:uid="{00000000-0006-0000-2500-000004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Klári táblája szerint</t>
        </r>
      </text>
    </comment>
    <comment ref="G31" authorId="0" shapeId="0" xr:uid="{00000000-0006-0000-2500-000005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Önkormányzaton van tervezve</t>
        </r>
      </text>
    </comment>
    <comment ref="G35" authorId="0" shapeId="0" xr:uid="{00000000-0006-0000-2500-000006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Niklasz 3 000 000, Szabó Adrienn 922 000, egyéb keret 2 000 000</t>
        </r>
      </text>
    </comment>
    <comment ref="U37" authorId="0" shapeId="0" xr:uid="{00000000-0006-0000-2500-000007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Honosítás repije</t>
        </r>
      </text>
    </comment>
    <comment ref="U67" authorId="0" shapeId="0" xr:uid="{00000000-0006-0000-2500-000008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Anyakönyv vezetők részére ruha, fodrász</t>
        </r>
      </text>
    </comment>
    <comment ref="O92" authorId="0" shapeId="0" xr:uid="{00000000-0006-0000-2500-000009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100 ezer általános keret + nettó 55 ezer nyári gumi csere + nettó 40 ezer a két robogó karbantartása</t>
        </r>
      </text>
    </comment>
    <comment ref="G99" authorId="0" shapeId="0" xr:uid="{00000000-0006-0000-2500-00000A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Menczinger 550 000 Ft/hó * 12 hó = 6 600 000 Ft
Stylus Magister (Fáy Kisné) 250 000 Ft/hó * 12 hó = 3 000 000 Ft
Egyéb megrendelt szakértői tev. Re keret nettó = 3 400 000 Ft
</t>
        </r>
        <r>
          <rPr>
            <b/>
            <sz val="8"/>
            <color indexed="81"/>
            <rFont val="Tahoma"/>
            <family val="2"/>
            <charset val="238"/>
          </rPr>
          <t>Összesen 13 000 000 Ft</t>
        </r>
      </text>
    </comment>
    <comment ref="M99" authorId="0" shapeId="0" xr:uid="{00000000-0006-0000-2500-00000B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Dietetikus 30e/hó, gyermekorvos 70e/hó, egyéb 80e</t>
        </r>
      </text>
    </comment>
    <comment ref="U99" authorId="0" shapeId="0" xr:uid="{00000000-0006-0000-2500-00000C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Nem volt semmilyen teljesítés</t>
        </r>
      </text>
    </comment>
    <comment ref="O104" authorId="0" shapeId="0" xr:uid="{00000000-0006-0000-2500-00000D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Ebből továbbképzés kerete 150 000 Ft</t>
        </r>
      </text>
    </comment>
    <comment ref="U104" authorId="0" shapeId="0" xr:uid="{00000000-0006-0000-2500-00000E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NKE köztisztviselő továbbképzés 680 000 Ft * 3 alkalom</t>
        </r>
      </text>
    </comment>
    <comment ref="G127" authorId="0" shapeId="0" xr:uid="{00000000-0006-0000-2500-00000F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Cégautóadó</t>
        </r>
      </text>
    </comment>
    <comment ref="G128" authorId="0" shapeId="0" xr:uid="{00000000-0006-0000-2500-000010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Eljárási díjak (pl. hitelezői nyilvántartásba vétel)</t>
        </r>
      </text>
    </comment>
    <comment ref="S141" authorId="0" shapeId="0" xr:uid="{00000000-0006-0000-2500-000011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2016-ban már nem lesz jegyzői hatáskörbe tartozó segély?</t>
        </r>
      </text>
    </comment>
    <comment ref="G153" authorId="0" shapeId="0" xr:uid="{00000000-0006-0000-2500-000012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Számítástechn eszköz besz. keret</t>
        </r>
      </text>
    </comment>
    <comment ref="G154" authorId="0" shapeId="0" xr:uid="{00000000-0006-0000-2500-000013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Keret (pl. bútorbeszerzés, kis értékű egyéb eszközök)</t>
        </r>
      </text>
    </comment>
    <comment ref="U154" authorId="0" shapeId="0" xr:uid="{00000000-0006-0000-2500-000014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CD lejátszó a házasságkötőbe</t>
        </r>
      </text>
    </comment>
    <comment ref="M186" authorId="0" shapeId="0" xr:uid="{00000000-0006-0000-2500-000015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A gondozási díj áfamentes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Volosin Katalin</author>
  </authors>
  <commentList>
    <comment ref="D21" authorId="0" shapeId="0" xr:uid="{00000000-0006-0000-0200-000001000000}">
      <text>
        <r>
          <rPr>
            <b/>
            <sz val="9"/>
            <color indexed="81"/>
            <rFont val="Tahoma"/>
            <family val="2"/>
            <charset val="238"/>
          </rPr>
          <t>Volosin Katalin:</t>
        </r>
        <r>
          <rPr>
            <sz val="9"/>
            <color indexed="81"/>
            <rFont val="Tahoma"/>
            <family val="2"/>
            <charset val="238"/>
          </rPr>
          <t xml:space="preserve">
ÉTV bérleti díj</t>
        </r>
      </text>
    </comment>
    <comment ref="H21" authorId="0" shapeId="0" xr:uid="{00000000-0006-0000-0200-000002000000}">
      <text>
        <r>
          <rPr>
            <b/>
            <sz val="9"/>
            <color indexed="81"/>
            <rFont val="Tahoma"/>
            <family val="2"/>
            <charset val="238"/>
          </rPr>
          <t>Volosin Katalin:</t>
        </r>
        <r>
          <rPr>
            <sz val="9"/>
            <color indexed="81"/>
            <rFont val="Tahoma"/>
            <family val="2"/>
            <charset val="238"/>
          </rPr>
          <t xml:space="preserve">
ÉTV bérleti díj</t>
        </r>
      </text>
    </comment>
    <comment ref="L21" authorId="0" shapeId="0" xr:uid="{00000000-0006-0000-0200-000003000000}">
      <text>
        <r>
          <rPr>
            <b/>
            <sz val="9"/>
            <color indexed="81"/>
            <rFont val="Tahoma"/>
            <family val="2"/>
            <charset val="238"/>
          </rPr>
          <t>Volosin Katalin:</t>
        </r>
        <r>
          <rPr>
            <sz val="9"/>
            <color indexed="81"/>
            <rFont val="Tahoma"/>
            <family val="2"/>
            <charset val="238"/>
          </rPr>
          <t xml:space="preserve">
ÉTV bérleti díj</t>
        </r>
      </text>
    </comment>
    <comment ref="P21" authorId="0" shapeId="0" xr:uid="{C6D71596-DDC6-471E-8752-A724FD1C57C9}">
      <text>
        <r>
          <rPr>
            <b/>
            <sz val="9"/>
            <color indexed="81"/>
            <rFont val="Tahoma"/>
            <family val="2"/>
            <charset val="238"/>
          </rPr>
          <t>Volosin Katalin:</t>
        </r>
        <r>
          <rPr>
            <sz val="9"/>
            <color indexed="81"/>
            <rFont val="Tahoma"/>
            <family val="2"/>
            <charset val="238"/>
          </rPr>
          <t xml:space="preserve">
ÉTV bérleti díj</t>
        </r>
      </text>
    </comment>
    <comment ref="T21" authorId="0" shapeId="0" xr:uid="{6D1C7DD7-F337-421C-AC5F-5D7959E9D192}">
      <text>
        <r>
          <rPr>
            <b/>
            <sz val="9"/>
            <color indexed="81"/>
            <rFont val="Tahoma"/>
            <family val="2"/>
            <charset val="238"/>
          </rPr>
          <t>Volosin Katalin:</t>
        </r>
        <r>
          <rPr>
            <sz val="9"/>
            <color indexed="81"/>
            <rFont val="Tahoma"/>
            <family val="2"/>
            <charset val="238"/>
          </rPr>
          <t xml:space="preserve">
ÉTV bérleti díj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lantoso</author>
  </authors>
  <commentList>
    <comment ref="B32" authorId="0" shapeId="0" xr:uid="{00000000-0006-0000-0B00-000001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SOLVEX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lantoso</author>
  </authors>
  <commentList>
    <comment ref="G77" authorId="0" shapeId="0" xr:uid="{00000000-0006-0000-1700-000001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Ebből honlap projekt 100 E Ft.</t>
        </r>
      </text>
    </comment>
    <comment ref="G95" authorId="0" shapeId="0" xr:uid="{00000000-0006-0000-1700-000002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Human T. ép.üzemeltetés 762E Ft, lift karbantartás 114E Ft (rendelk állás), lift nagyjavítása, 200E egyéb javítási munkákra</t>
        </r>
      </text>
    </comment>
    <comment ref="G102" authorId="0" shapeId="0" xr:uid="{00000000-0006-0000-1700-000003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Ebből Rácz Judit tiszteletdíja 40000 Ft</t>
        </r>
      </text>
    </comment>
    <comment ref="G106" authorId="0" shapeId="0" xr:uid="{00000000-0006-0000-1700-000004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Volf György verseny buszktg</t>
        </r>
      </text>
    </comment>
    <comment ref="G147" authorId="0" shapeId="0" xr:uid="{00000000-0006-0000-1700-000005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Laptop nettó 200 ezer</t>
        </r>
      </text>
    </comment>
    <comment ref="G148" authorId="0" shapeId="0" xr:uid="{00000000-0006-0000-1700-000006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szünetmentes akkumlátor csere</t>
        </r>
      </text>
    </comment>
    <comment ref="I152" authorId="0" shapeId="0" xr:uid="{00000000-0006-0000-1700-000007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A könyvbeszerzésekre tekintettel 12% áfát számol átlagosan a képlet. Ne másold!!!!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Volosin Katalin</author>
  </authors>
  <commentList>
    <comment ref="C7" authorId="0" shapeId="0" xr:uid="{00000000-0006-0000-1A00-000001000000}">
      <text>
        <r>
          <rPr>
            <b/>
            <sz val="9"/>
            <color indexed="81"/>
            <rFont val="Tahoma"/>
            <family val="2"/>
            <charset val="238"/>
          </rPr>
          <t>Volosin Katalin:</t>
        </r>
        <r>
          <rPr>
            <sz val="9"/>
            <color indexed="81"/>
            <rFont val="Tahoma"/>
            <family val="2"/>
            <charset val="238"/>
          </rPr>
          <t xml:space="preserve">
15 mFt kertészetre, de még nincs szerződés
</t>
        </r>
      </text>
    </comment>
    <comment ref="C11" authorId="0" shapeId="0" xr:uid="{00000000-0006-0000-1A00-000002000000}">
      <text>
        <r>
          <rPr>
            <b/>
            <sz val="9"/>
            <color indexed="81"/>
            <rFont val="Tahoma"/>
            <family val="2"/>
            <charset val="238"/>
          </rPr>
          <t>Volosin Katalin:</t>
        </r>
        <r>
          <rPr>
            <sz val="9"/>
            <color indexed="81"/>
            <rFont val="Tahoma"/>
            <family val="2"/>
            <charset val="238"/>
          </rPr>
          <t xml:space="preserve">
forgalomtechnika felülvizsgálata városi szinten</t>
        </r>
      </text>
    </comment>
    <comment ref="C12" authorId="0" shapeId="0" xr:uid="{00000000-0006-0000-1A00-000003000000}">
      <text>
        <r>
          <rPr>
            <b/>
            <sz val="9"/>
            <color indexed="81"/>
            <rFont val="Tahoma"/>
            <family val="2"/>
            <charset val="238"/>
          </rPr>
          <t>Volosin Katalin:</t>
        </r>
        <r>
          <rPr>
            <sz val="9"/>
            <color indexed="81"/>
            <rFont val="Tahoma"/>
            <family val="2"/>
            <charset val="238"/>
          </rPr>
          <t xml:space="preserve">
szomor és tsa - a szerződés él, de nem fizetünk, egyezségre várunk</t>
        </r>
      </text>
    </comment>
    <comment ref="C14" authorId="0" shapeId="0" xr:uid="{00000000-0006-0000-1A00-000004000000}">
      <text>
        <r>
          <rPr>
            <b/>
            <sz val="9"/>
            <color indexed="81"/>
            <rFont val="Tahoma"/>
            <family val="2"/>
            <charset val="238"/>
          </rPr>
          <t>Volosin Katalin:</t>
        </r>
        <r>
          <rPr>
            <sz val="9"/>
            <color indexed="81"/>
            <rFont val="Tahoma"/>
            <family val="2"/>
            <charset val="238"/>
          </rPr>
          <t xml:space="preserve">
L.N.Éva szerint tervezésre kel 4.000 eFt
20 milliót áttettünk az útalapból</t>
        </r>
      </text>
    </comment>
    <comment ref="C41" authorId="0" shapeId="0" xr:uid="{00000000-0006-0000-1A00-000005000000}">
      <text>
        <r>
          <rPr>
            <b/>
            <sz val="9"/>
            <color indexed="81"/>
            <rFont val="Tahoma"/>
            <family val="2"/>
            <charset val="238"/>
          </rPr>
          <t>Volosin Katalin:</t>
        </r>
        <r>
          <rPr>
            <sz val="9"/>
            <color indexed="81"/>
            <rFont val="Tahoma"/>
            <family val="2"/>
            <charset val="238"/>
          </rPr>
          <t xml:space="preserve">
nincs szerződés</t>
        </r>
      </text>
    </comment>
    <comment ref="C45" authorId="0" shapeId="0" xr:uid="{00000000-0006-0000-1A00-000006000000}">
      <text>
        <r>
          <rPr>
            <b/>
            <sz val="9"/>
            <color indexed="81"/>
            <rFont val="Tahoma"/>
            <family val="2"/>
            <charset val="238"/>
          </rPr>
          <t>Volosin Katalin:</t>
        </r>
        <r>
          <rPr>
            <sz val="9"/>
            <color indexed="81"/>
            <rFont val="Tahoma"/>
            <family val="2"/>
            <charset val="238"/>
          </rPr>
          <t xml:space="preserve">
Walla óvi előtti parkoló</t>
        </r>
      </text>
    </comment>
    <comment ref="C51" authorId="0" shapeId="0" xr:uid="{00000000-0006-0000-1A00-000007000000}">
      <text>
        <r>
          <rPr>
            <b/>
            <sz val="9"/>
            <color indexed="81"/>
            <rFont val="Tahoma"/>
            <family val="2"/>
            <charset val="238"/>
          </rPr>
          <t>Volosin Katalin:</t>
        </r>
        <r>
          <rPr>
            <sz val="9"/>
            <color indexed="81"/>
            <rFont val="Tahoma"/>
            <family val="2"/>
            <charset val="238"/>
          </rPr>
          <t xml:space="preserve">
argon-geo tervezési díja
</t>
        </r>
      </text>
    </comment>
    <comment ref="C72" authorId="0" shapeId="0" xr:uid="{00000000-0006-0000-1A00-000008000000}">
      <text>
        <r>
          <rPr>
            <b/>
            <sz val="9"/>
            <color indexed="81"/>
            <rFont val="Tahoma"/>
            <family val="2"/>
            <charset val="238"/>
          </rPr>
          <t>Volosin Katalin:</t>
        </r>
        <r>
          <rPr>
            <sz val="9"/>
            <color indexed="81"/>
            <rFont val="Tahoma"/>
            <family val="2"/>
            <charset val="238"/>
          </rPr>
          <t xml:space="preserve">
Annahegy vízelvezetés tervezése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Volosin Katalin</author>
  </authors>
  <commentList>
    <comment ref="C41" authorId="0" shapeId="0" xr:uid="{00000000-0006-0000-1B00-000001000000}">
      <text>
        <r>
          <rPr>
            <b/>
            <sz val="9"/>
            <color indexed="81"/>
            <rFont val="Tahoma"/>
            <family val="2"/>
            <charset val="238"/>
          </rPr>
          <t>Volosin Katalin:</t>
        </r>
        <r>
          <rPr>
            <sz val="9"/>
            <color indexed="81"/>
            <rFont val="Tahoma"/>
            <family val="2"/>
            <charset val="238"/>
          </rPr>
          <t xml:space="preserve">
áthúzódódban 22.888 és plusz 35.000
</t>
        </r>
      </text>
    </comment>
    <comment ref="G41" authorId="0" shapeId="0" xr:uid="{00000000-0006-0000-1B00-000002000000}">
      <text>
        <r>
          <rPr>
            <b/>
            <sz val="9"/>
            <color indexed="81"/>
            <rFont val="Tahoma"/>
            <family val="2"/>
            <charset val="238"/>
          </rPr>
          <t>Volosin Katalin:</t>
        </r>
        <r>
          <rPr>
            <sz val="9"/>
            <color indexed="81"/>
            <rFont val="Tahoma"/>
            <family val="2"/>
            <charset val="238"/>
          </rPr>
          <t xml:space="preserve">
áthúzódódban 22.888 és plusz 35.000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lantoso</author>
  </authors>
  <commentList>
    <comment ref="R2" authorId="0" shapeId="0" xr:uid="{00000000-0006-0000-2000-000001000000}">
      <text>
        <r>
          <rPr>
            <b/>
            <sz val="8"/>
            <color indexed="81"/>
            <rFont val="Tahoma"/>
            <family val="2"/>
            <charset val="238"/>
          </rPr>
          <t>lantoso:
Klári táblája alapján + 1 000 e ft Ács Ildikó szabi plusz bér</t>
        </r>
      </text>
    </comment>
    <comment ref="Q8" authorId="0" shapeId="0" xr:uid="{00000000-0006-0000-2000-000002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Kajajegy</t>
        </r>
      </text>
    </comment>
    <comment ref="R8" authorId="0" shapeId="0" xr:uid="{00000000-0006-0000-2000-000003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7 fő * 8000 Ft/hó/fő * 12 hó</t>
        </r>
      </text>
    </comment>
    <comment ref="DT14" authorId="0" shapeId="0" xr:uid="{00000000-0006-0000-2000-000004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E/178/2014 szerződés, éves keret, ha megmarad (időarányosan szeptemberig 15543000 lenne.</t>
        </r>
      </text>
    </comment>
    <comment ref="AF15" authorId="0" shapeId="0" xr:uid="{00000000-0006-0000-2000-000005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Képviselők 23776
Bizottsági tagok 6660
Pm, apm ktgtér 1696
pm illetmény 6282
apm illetmény 5767</t>
        </r>
      </text>
    </comment>
    <comment ref="Q17" authorId="0" shapeId="0" xr:uid="{00000000-0006-0000-2000-000006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Csak repi</t>
        </r>
      </text>
    </comment>
    <comment ref="AT17" authorId="0" shapeId="0" xr:uid="{00000000-0006-0000-2000-000007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Szociális tanulmányi 2 millió, egyéb tanulmányi 1,2 millió</t>
        </r>
      </text>
    </comment>
    <comment ref="DH17" authorId="0" shapeId="0" xr:uid="{00000000-0006-0000-2000-000008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6 millió adóköteles juttatás keret + 2 millió szoc tanulmányi ösztöndíj</t>
        </r>
      </text>
    </comment>
    <comment ref="AT19" authorId="0" shapeId="0" xr:uid="{00000000-0006-0000-2000-000009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Járulékmentes volt 2015. évben</t>
        </r>
      </text>
    </comment>
    <comment ref="R20" authorId="0" shapeId="0" xr:uid="{00000000-0006-0000-2000-00000A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2 db Lang II sztereoteszt 53, 1 db színlátás vizsgáló teszt 41, 1 db mellvizsgálati modell 52 + 30 keret egyébre</t>
        </r>
      </text>
    </comment>
    <comment ref="AD21" authorId="0" shapeId="0" xr:uid="{00000000-0006-0000-2000-00000B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Tavalyi keret</t>
        </r>
      </text>
    </comment>
    <comment ref="AF21" authorId="0" shapeId="0" xr:uid="{00000000-0006-0000-2000-00000C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Sztahó Csaba fapótlás áthúzódó</t>
        </r>
      </text>
    </comment>
    <comment ref="DN21" authorId="0" shapeId="0" xr:uid="{00000000-0006-0000-2000-00000D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Informális ülés döntése</t>
        </r>
      </text>
    </comment>
    <comment ref="L24" authorId="0" shapeId="0" xr:uid="{00000000-0006-0000-2000-00000E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Digitális alaptérkép frissítése</t>
        </r>
      </text>
    </comment>
    <comment ref="Q24" authorId="0" shapeId="0" xr:uid="{00000000-0006-0000-2000-00000F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Védőniői szoftver (Stefánia) 41 ezer/n. év *4 n.év = 164 ezer</t>
        </r>
      </text>
    </comment>
    <comment ref="R24" authorId="0" shapeId="0" xr:uid="{00000000-0006-0000-2000-000010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Stefánia védőnői szoftver</t>
        </r>
      </text>
    </comment>
    <comment ref="O27" authorId="0" shapeId="0" xr:uid="{00000000-0006-0000-2000-000011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Víg patika rezsi</t>
        </r>
      </text>
    </comment>
    <comment ref="P27" authorId="0" shapeId="0" xr:uid="{00000000-0006-0000-2000-000012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Víg patika rezsije</t>
        </r>
      </text>
    </comment>
    <comment ref="P29" authorId="0" shapeId="0" xr:uid="{00000000-0006-0000-2000-000013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Medicatus helyett Olajág bérleti díj 90000 Ft/hó, Víg patika nettó 73000 FT/hó</t>
        </r>
      </text>
    </comment>
    <comment ref="BK30" authorId="0" shapeId="0" xr:uid="{00000000-0006-0000-2000-000014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ERANDO: karbantartás 298 ezer/negyedév, üzemeltetés 37 ezer/hó + karbantartási keret 500 ezer forint.</t>
        </r>
      </text>
    </comment>
    <comment ref="BL30" authorId="0" shapeId="0" xr:uid="{00000000-0006-0000-2000-000015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ERANDO szerződések megszűntek, karbantartási keretet sem terveztünk jegyző asszonnyal egyeztetve</t>
        </r>
      </text>
    </comment>
    <comment ref="K32" authorId="0" shapeId="0" xr:uid="{00000000-0006-0000-2000-000016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Csenger Zalán 6600, Kálnoki 1350, egyéb 200 ezer</t>
        </r>
      </text>
    </comment>
    <comment ref="L32" authorId="0" shapeId="0" xr:uid="{00000000-0006-0000-2000-000017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Főépítészi feladatok nettó 550000 Ft/hó, egyéb szakértői díj 500000</t>
        </r>
      </text>
    </comment>
    <comment ref="P32" authorId="0" shapeId="0" xr:uid="{00000000-0006-0000-2000-000018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Iskolaeü 1480, Europmed 14300</t>
        </r>
      </text>
    </comment>
    <comment ref="Q32" authorId="0" shapeId="0" xr:uid="{00000000-0006-0000-2000-000019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Továbbképzésekre</t>
        </r>
      </text>
    </comment>
    <comment ref="R32" authorId="0" shapeId="0" xr:uid="{00000000-0006-0000-2000-00001A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Továbbképzésekre</t>
        </r>
      </text>
    </comment>
    <comment ref="AX32" authorId="0" shapeId="0" xr:uid="{00000000-0006-0000-2000-00001B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Sorsunk 8 fő *700 Ft/fő/nap * 365 nap és Lea 3 fő * 700 Ft/fő/nap *365 nap</t>
        </r>
      </text>
    </comment>
    <comment ref="AZ32" authorId="0" shapeId="0" xr:uid="{00000000-0006-0000-2000-00001C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Fészek 500000 Ft készenléti díj/év + 1 fh * 3000 Ft/fh/nap*365 nap</t>
        </r>
      </text>
    </comment>
    <comment ref="BD32" authorId="0" shapeId="0" xr:uid="{00000000-0006-0000-2000-00001D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Élő szerződés nincs!!!!</t>
        </r>
      </text>
    </comment>
    <comment ref="BF32" authorId="0" shapeId="0" xr:uid="{00000000-0006-0000-2000-00001E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120000 Ft/hó*12 hó, élő szerződés csak 2016.04.30-ig</t>
        </r>
      </text>
    </comment>
    <comment ref="BM32" authorId="0" shapeId="0" xr:uid="{00000000-0006-0000-2000-00001F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Szárszói ülés alapján megállapított keret</t>
        </r>
      </text>
    </comment>
    <comment ref="DD32" authorId="0" shapeId="0" xr:uid="{00000000-0006-0000-2000-000020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Újbudai Habilitációs Kp-tal szerződés E/170/2014. 2015.12.31-én lejár. 1 fő gondozása.</t>
        </r>
      </text>
    </comment>
    <comment ref="M33" authorId="0" shapeId="0" xr:uid="{00000000-0006-0000-2000-000021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2015 évben BUXUS, PQS két hóra, 2015 márciustól Városgondnokságnál</t>
        </r>
      </text>
    </comment>
    <comment ref="N33" authorId="0" shapeId="0" xr:uid="{00000000-0006-0000-2000-000022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Keretjellegű tétel, áthúzódók nincsenek mögötte!</t>
        </r>
      </text>
    </comment>
    <comment ref="Q33" authorId="0" shapeId="0" xr:uid="{00000000-0006-0000-2000-000023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biztosítás, postaktg, egyéb üzemeltetési szolgáltatás kerete</t>
        </r>
      </text>
    </comment>
    <comment ref="Y33" authorId="0" shapeId="0" xr:uid="{00000000-0006-0000-2000-000024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Parlagfű irtás nettó 788 (áfa nem képletes!)</t>
        </r>
      </text>
    </comment>
    <comment ref="Z33" authorId="0" shapeId="0" xr:uid="{00000000-0006-0000-2000-000025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Parlagfű irtásra induló keret bruttó 1 millió, (áfa nem képletes!)</t>
        </r>
      </text>
    </comment>
    <comment ref="AA33" authorId="0" shapeId="0" xr:uid="{00000000-0006-0000-2000-000026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250/2014 (VII.21) ÖK hat alapján Kerekdomb és környéke botanikus kert bruttó 3 millió = nettó 2362 e ft + veszélyes hulladék 1500 + áfa.</t>
        </r>
      </text>
    </comment>
    <comment ref="AB33" authorId="0" shapeId="0" xr:uid="{00000000-0006-0000-2000-000027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250/2014. (VII.21.) ÖK hat. Botanikus kert 3 millió/év, A veszélyes hulladék elszállítását Városgondnokság tervezte 1,5 millió forinttal)</t>
        </r>
      </text>
    </comment>
    <comment ref="AD33" authorId="0" shapeId="0" xr:uid="{00000000-0006-0000-2000-000028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Tavalyi keret</t>
        </r>
      </text>
    </comment>
    <comment ref="BH33" authorId="0" shapeId="0" xr:uid="{00000000-0006-0000-2000-000029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Boldog Gizella Alapítvány E/55/2013 tapasztalati adatok alapján becsült keret, 2008-ig visszamenőleg 2 millió volt a legnagyobb igénybevét (2010-ben)</t>
        </r>
      </text>
    </comment>
    <comment ref="BJ33" authorId="0" shapeId="0" xr:uid="{00000000-0006-0000-2000-00002A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Leopart, a szerződés lejár 2015.12.31</t>
        </r>
      </text>
    </comment>
    <comment ref="BO33" authorId="0" shapeId="0" xr:uid="{00000000-0006-0000-2000-00002B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Szárszói ülés alapján visszavett keret</t>
        </r>
      </text>
    </comment>
    <comment ref="BP33" authorId="0" shapeId="0" xr:uid="{00000000-0006-0000-2000-00002C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A nettó kiadások összetevői: 4724000 (bruttó 6m) helyi újság, havi 700000*12hó TV</t>
        </r>
      </text>
    </comment>
    <comment ref="CK38" authorId="0" shapeId="0" xr:uid="{00000000-0006-0000-2000-00002D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27150*0,27 = 7331</t>
        </r>
      </text>
    </comment>
    <comment ref="L42" authorId="0" shapeId="0" xr:uid="{00000000-0006-0000-2000-00002E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Főépítészi feladatok évközi tartaléka</t>
        </r>
      </text>
    </comment>
    <comment ref="X42" authorId="0" shapeId="0" xr:uid="{00000000-0006-0000-2000-00002F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Karbantartásra, vagy kis értékű beruházásra keret</t>
        </r>
      </text>
    </comment>
    <comment ref="AA42" authorId="0" shapeId="0" xr:uid="{00000000-0006-0000-2000-000030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Duna-Vértes tagdíj</t>
        </r>
      </text>
    </comment>
    <comment ref="AD42" authorId="0" shapeId="0" xr:uid="{00000000-0006-0000-2000-000031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Tavalyi keret</t>
        </r>
      </text>
    </comment>
    <comment ref="AF42" authorId="0" shapeId="0" xr:uid="{00000000-0006-0000-2000-000032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16 milliós keret energetikai projektek előkészítésére (testületi határozat alapján), záportározó működtetésére 2 millió keret, a 318/2015 (XII.10. ) ÖK hat. Alapján.</t>
        </r>
      </text>
    </comment>
    <comment ref="BP42" authorId="0" shapeId="0" xr:uid="{00000000-0006-0000-2000-000033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Egyéb felmerülő kiadásokra keret</t>
        </r>
      </text>
    </comment>
    <comment ref="AI46" authorId="0" shapeId="0" xr:uid="{00000000-0006-0000-2000-000034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helyi megáll gyermekvédelmi tám 8500 e ft, egyéb (pl gyermekétk) 2500 e ft</t>
        </r>
      </text>
    </comment>
    <comment ref="DF46" authorId="0" shapeId="0" xr:uid="{00000000-0006-0000-2000-000035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Étkezési tám 2500000</t>
        </r>
      </text>
    </comment>
    <comment ref="DE48" authorId="0" shapeId="0" xr:uid="{00000000-0006-0000-2000-000036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Helyi megállapítású közgyógy, új néven gyógyszertám 5000</t>
        </r>
      </text>
    </comment>
    <comment ref="DF48" authorId="0" shapeId="0" xr:uid="{00000000-0006-0000-2000-000037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Ápolási díj 6000000, gyógszertám 1500000</t>
        </r>
      </text>
    </comment>
    <comment ref="DE50" authorId="0" shapeId="0" xr:uid="{00000000-0006-0000-2000-000038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Adósságkezelés 4004, tüzelőtám 5928, lakbértám 88</t>
        </r>
      </text>
    </comment>
    <comment ref="DF50" authorId="0" shapeId="0" xr:uid="{00000000-0006-0000-2000-000039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lakhatási tám 6840000 Adósságcsökk tám 2000000</t>
        </r>
      </text>
    </comment>
    <comment ref="AI52" authorId="0" shapeId="0" xr:uid="{00000000-0006-0000-2000-00003A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Rendkívüli települési támogatás (korábbi r. gyerm.véd. Tám, átmeneti segély, temetési segély) 23000, köztemetés 1000</t>
        </r>
      </text>
    </comment>
    <comment ref="AJ52" authorId="0" shapeId="0" xr:uid="{00000000-0006-0000-2000-00003B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Rendkívüli települési támogatás 21 millió, köztemetés 1,6 millió</t>
        </r>
      </text>
    </comment>
    <comment ref="DE52" authorId="0" shapeId="0" xr:uid="{00000000-0006-0000-2000-00003C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Lakhatási támogatás 9000, adósságcsökkentési támogatás 4000, ápolási támogatás 12000 étkezési térítési támogatás 2000</t>
        </r>
      </text>
    </comment>
    <comment ref="BR59" authorId="0" shapeId="0" xr:uid="{00000000-0006-0000-2000-00003D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Aljegyző által 2015.11.19-ei e-mail alapján tervezet:
Jelzőrendszeres: 2 559 000
Támogató szolg:  5 604 000
Összesen:            </t>
        </r>
      </text>
    </comment>
    <comment ref="BT59" authorId="0" shapeId="0" xr:uid="{00000000-0006-0000-2000-00003E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A 303/2015. (XII.10.) ÖK hat. Alapján 1 830 ezer forint 1 fő státusz finanszírozásához. Azóta érkezett kérelem 2363000 Ft támogatásra</t>
        </r>
      </text>
    </comment>
    <comment ref="BU59" authorId="0" shapeId="0" xr:uid="{00000000-0006-0000-2000-00003F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3 millió visszafogásával, nem végleges)</t>
        </r>
      </text>
    </comment>
    <comment ref="BV59" authorId="0" shapeId="0" xr:uid="{00000000-0006-0000-2000-000040000000}">
      <text>
        <r>
          <rPr>
            <b/>
            <sz val="8"/>
            <color indexed="81"/>
            <rFont val="Tahoma"/>
            <family val="2"/>
            <charset val="238"/>
          </rPr>
          <t xml:space="preserve">lantoso:
</t>
        </r>
        <r>
          <rPr>
            <sz val="8"/>
            <color indexed="81"/>
            <rFont val="Tahoma"/>
            <family val="2"/>
            <charset val="238"/>
          </rPr>
          <t>A 2014-es adatok (5 millió a német ÖK-nak, 14,12 millió az óvoda fenntartásához). Jövőre lehet, hogy több kell, a Csupaszívnek még nincs kész a terve</t>
        </r>
      </text>
    </comment>
    <comment ref="BW59" authorId="0" shapeId="0" xr:uid="{00000000-0006-0000-2000-000041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504 ezer forinttal visszafogott támogatás. Még nem végleges.</t>
        </r>
      </text>
    </comment>
    <comment ref="BX59" authorId="0" shapeId="0" xr:uid="{00000000-0006-0000-2000-000042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A tavalyi szinttel egyező</t>
        </r>
      </text>
    </comment>
    <comment ref="BY59" authorId="0" shapeId="0" xr:uid="{00000000-0006-0000-2000-000043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státusz: 2766, személyi és tárgyi feltételek biztosítása 1000</t>
        </r>
      </text>
    </comment>
    <comment ref="BZ59" authorId="0" shapeId="0" xr:uid="{00000000-0006-0000-2000-000044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A státusz finanszírozása nélküli tavalyi keret (P. Boros I. már nálunk van).</t>
        </r>
      </text>
    </comment>
    <comment ref="CA64" authorId="0" shapeId="0" xr:uid="{00000000-0006-0000-2000-000045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Areté 260*12= 3120, Haraszty 125*12 = 1500, lévay 60*12 = 720, SF 60*12=720, Urgent 125*12 = 1500, össz = 7560</t>
        </r>
      </text>
    </comment>
    <comment ref="CB64" authorId="0" shapeId="0" xr:uid="{00000000-0006-0000-2000-000046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SF 720000, Lévai 720000, Urgent 1500000 Haraszty 1500000 Areté 1560000 jelenleg.
Úgy tudom, az Areté (7 sz. körzet) jövőre már nem igényel támogatást.</t>
        </r>
      </text>
    </comment>
    <comment ref="CC64" authorId="0" shapeId="0" xr:uid="{00000000-0006-0000-2000-000047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Városőrség 5558  Hegyőrség 450 = 6008</t>
        </r>
      </text>
    </comment>
    <comment ref="CE64" authorId="0" shapeId="0" xr:uid="{00000000-0006-0000-2000-000048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Városőrség 5558  Hegyőrség 450 = 6008</t>
        </r>
      </text>
    </comment>
    <comment ref="CG64" authorId="0" shapeId="0" xr:uid="{00000000-0006-0000-2000-000049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Áthúzódó 2013. évről</t>
        </r>
      </text>
    </comment>
    <comment ref="CI64" authorId="0" shapeId="0" xr:uid="{00000000-0006-0000-2000-00004A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2014. december 18-ai testületi ülés alapján</t>
        </r>
      </text>
    </comment>
    <comment ref="CJ64" authorId="0" shapeId="0" xr:uid="{00000000-0006-0000-2000-00004B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A tám szerződés szerint a KSH 2015. szeptemberi, előző évhez viszonyított fogy. Árindexe szerint növekszik. Ez 99,6%, vagyis marad a tám. + 2015. október-2015. december áthúzódó kifizetése </t>
        </r>
      </text>
    </comment>
    <comment ref="CK64" authorId="0" shapeId="0" xr:uid="{00000000-0006-0000-2000-00004C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2014. évi 10%-os visszafogásával (ld. Tervezési anyagok)</t>
        </r>
      </text>
    </comment>
    <comment ref="CM64" authorId="0" shapeId="0" xr:uid="{00000000-0006-0000-2000-00004D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Turay Ida színház 3 M a 217/2013 (Vi.27.) ÖK hat és az E/164/2013 szerz alapján</t>
        </r>
      </text>
    </comment>
    <comment ref="CN64" authorId="0" shapeId="0" xr:uid="{00000000-0006-0000-2000-00004E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E/146/2013 Turay Ida színház szerződés alapján</t>
        </r>
      </text>
    </comment>
    <comment ref="CO64" authorId="0" shapeId="0" xr:uid="{00000000-0006-0000-2000-00004F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civil 10 000 ft (Elite Basket a sportszervezeteknél)</t>
        </r>
      </text>
    </comment>
    <comment ref="CP64" authorId="0" shapeId="0" xr:uid="{00000000-0006-0000-2000-000050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A tavalyi keret továbbvezetése</t>
        </r>
      </text>
    </comment>
    <comment ref="CQ64" authorId="0" shapeId="0" xr:uid="{00000000-0006-0000-2000-000051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A tavalyi előirányzat 10%-kal csökkentett összege</t>
        </r>
      </text>
    </comment>
    <comment ref="CR64" authorId="0" shapeId="0" xr:uid="{00000000-0006-0000-2000-000052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A tavalyi keret továbbvezetése</t>
        </r>
      </text>
    </comment>
    <comment ref="CS64" authorId="0" shapeId="0" xr:uid="{00000000-0006-0000-2000-000053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A tavalyi</t>
        </r>
      </text>
    </comment>
    <comment ref="CU64" authorId="0" shapeId="0" xr:uid="{00000000-0006-0000-2000-000054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Foci 12 000, Kosárlabda 6 000, Kenu 3 000, egyéb sportág 4500</t>
        </r>
      </text>
    </comment>
    <comment ref="CV64" authorId="0" shapeId="0" xr:uid="{00000000-0006-0000-2000-000055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Tavalyi keret továbbvezetése</t>
        </r>
      </text>
    </comment>
    <comment ref="CX64" authorId="0" shapeId="0" xr:uid="{00000000-0006-0000-2000-000056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Még nincs info, ha lesz, 100%-ban támogatás fogja fedezni. Előző évről áthúzódó 760 e Ft!!!!</t>
        </r>
      </text>
    </comment>
    <comment ref="CY64" authorId="0" shapeId="0" xr:uid="{00000000-0006-0000-2000-000057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A tavalyi</t>
        </r>
      </text>
    </comment>
    <comment ref="K67" authorId="0" shapeId="0" xr:uid="{00000000-0006-0000-2000-000058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TSZT/HÉSZ 2820 ezer áthúzódó</t>
        </r>
      </text>
    </comment>
    <comment ref="L67" authorId="0" shapeId="0" xr:uid="{00000000-0006-0000-2000-000059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HÉSZ módosítása (Mechanikai művek) nettó 4724000 (bruttó 6M) + Településfejlesztési koncepció, városmarketing stratégia bruttó 4 millió</t>
        </r>
      </text>
    </comment>
    <comment ref="Z67" authorId="0" shapeId="0" xr:uid="{00000000-0006-0000-2000-00005A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Parkosítás</t>
        </r>
      </text>
    </comment>
    <comment ref="K68" authorId="0" shapeId="0" xr:uid="{00000000-0006-0000-2000-00005B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Értékvédelmi keret (5millió) nettó összege</t>
        </r>
      </text>
    </comment>
    <comment ref="N68" authorId="0" shapeId="0" xr:uid="{00000000-0006-0000-2000-00005C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Parkosítás bruttó 1 500</t>
        </r>
      </text>
    </comment>
    <comment ref="Z68" authorId="0" shapeId="0" xr:uid="{00000000-0006-0000-2000-00005D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7801 hrsz-ú ingatlan rekultivációja bruttó 526</t>
        </r>
      </text>
    </comment>
    <comment ref="Z70" authorId="0" shapeId="0" xr:uid="{00000000-0006-0000-2000-00005E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Zajvédelmi terv végrehajtása</t>
        </r>
      </text>
    </comment>
    <comment ref="L87" authorId="0" shapeId="0" xr:uid="{00000000-0006-0000-2000-00005F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Dózsa Gy. U. 13. vápa 600 000
Hadik ház felújítása    1 200 000
</t>
        </r>
        <r>
          <rPr>
            <b/>
            <sz val="8"/>
            <color indexed="81"/>
            <rFont val="Tahoma"/>
            <family val="2"/>
            <charset val="238"/>
          </rPr>
          <t>Összesen                1 800 000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lantoso</author>
  </authors>
  <commentList>
    <comment ref="I6" authorId="0" shapeId="0" xr:uid="{00000000-0006-0000-2100-000001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Munkáltatói döntések visszapótlása (Takácsné, Kovácsné, Kökéy, Kusnyér, Strasszer)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lantoso</author>
  </authors>
  <commentList>
    <comment ref="I204" authorId="0" shapeId="0" xr:uid="{00000000-0006-0000-2200-000001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becsült, kb 400 e ft /hó * 11 hó</t>
        </r>
      </text>
    </comment>
  </commentList>
</comments>
</file>

<file path=xl/sharedStrings.xml><?xml version="1.0" encoding="utf-8"?>
<sst xmlns="http://schemas.openxmlformats.org/spreadsheetml/2006/main" count="6114" uniqueCount="1830">
  <si>
    <t>rovat</t>
  </si>
  <si>
    <t>főkönyvi szám</t>
  </si>
  <si>
    <t>megnevezés</t>
  </si>
  <si>
    <t>SZEMÉLYI JUTTATÁSOK ÉS JÁRULÉKOK</t>
  </si>
  <si>
    <t>K1101</t>
  </si>
  <si>
    <t>0511011</t>
  </si>
  <si>
    <t>Törvény szerinti illetmények, munkabérek</t>
  </si>
  <si>
    <t>K1102</t>
  </si>
  <si>
    <t>0511021</t>
  </si>
  <si>
    <t>Normatív jutalmak</t>
  </si>
  <si>
    <t>K1103</t>
  </si>
  <si>
    <t>0511031</t>
  </si>
  <si>
    <t>Céljuttatás, projektprémium</t>
  </si>
  <si>
    <t>K1104</t>
  </si>
  <si>
    <t>0511041</t>
  </si>
  <si>
    <t>Készenlét, ügyelet, helyettesítés, túlóra</t>
  </si>
  <si>
    <t>Készenléti, ügyeleti, helyettesítési díj</t>
  </si>
  <si>
    <t>Túlóra, túlszolgálat</t>
  </si>
  <si>
    <t>K1105</t>
  </si>
  <si>
    <t>0511051</t>
  </si>
  <si>
    <t>Végkielégítés</t>
  </si>
  <si>
    <t>K1106</t>
  </si>
  <si>
    <t>0511061</t>
  </si>
  <si>
    <t>Jubileumi jutalom</t>
  </si>
  <si>
    <t>K1107</t>
  </si>
  <si>
    <t>0511071</t>
  </si>
  <si>
    <t>Béren kívüli juttatások</t>
  </si>
  <si>
    <t>K1108</t>
  </si>
  <si>
    <t>0511081</t>
  </si>
  <si>
    <t>Ruházati költségtérítés</t>
  </si>
  <si>
    <t>K1109</t>
  </si>
  <si>
    <t>0511091</t>
  </si>
  <si>
    <t>Közlekedési költségtérítés</t>
  </si>
  <si>
    <t>K1110</t>
  </si>
  <si>
    <t>0511101</t>
  </si>
  <si>
    <t>Egyéb költségtérítések</t>
  </si>
  <si>
    <t>K1111</t>
  </si>
  <si>
    <t>0511111</t>
  </si>
  <si>
    <t>Lakhatási támogatások</t>
  </si>
  <si>
    <t>K1112</t>
  </si>
  <si>
    <t>0511121</t>
  </si>
  <si>
    <t>Szociális támogatások</t>
  </si>
  <si>
    <t>K1113</t>
  </si>
  <si>
    <t>0511131</t>
  </si>
  <si>
    <t>Foglalkoztatottak egyéb személyi juttatásai</t>
  </si>
  <si>
    <t>K11</t>
  </si>
  <si>
    <t>0511</t>
  </si>
  <si>
    <t>Foglalkoztatottak személyi juttatásai</t>
  </si>
  <si>
    <t>K121</t>
  </si>
  <si>
    <t>051211</t>
  </si>
  <si>
    <t>Választott tisztviselők juttatásai</t>
  </si>
  <si>
    <t>K122</t>
  </si>
  <si>
    <t>051221</t>
  </si>
  <si>
    <t>Nem saját foglalkoztatottnak fizetett jutt</t>
  </si>
  <si>
    <t>K123</t>
  </si>
  <si>
    <t>051231</t>
  </si>
  <si>
    <t>K12</t>
  </si>
  <si>
    <t>0512</t>
  </si>
  <si>
    <t>Külső személyi juttatások</t>
  </si>
  <si>
    <t>K1</t>
  </si>
  <si>
    <t>051</t>
  </si>
  <si>
    <t>Egészségügyi hozzájárulás</t>
  </si>
  <si>
    <t>Rehabilitációs hozzájárulás</t>
  </si>
  <si>
    <t>Munkáltatót terhelő SZJA</t>
  </si>
  <si>
    <t>K2</t>
  </si>
  <si>
    <t>052</t>
  </si>
  <si>
    <t>SZEMÉLYI JUTTATÁSOK ÉS JÁRULÉKOK ÖSSZESEN:</t>
  </si>
  <si>
    <t>K311</t>
  </si>
  <si>
    <t>053111</t>
  </si>
  <si>
    <t>Szakmai anyagok beszerzése összesen</t>
  </si>
  <si>
    <t>Gyógyszerbeszerzés</t>
  </si>
  <si>
    <t>Vegyszerbeszerzés</t>
  </si>
  <si>
    <t>Könyvbeszerzés</t>
  </si>
  <si>
    <t>Folyóirat-beszerzés</t>
  </si>
  <si>
    <t>Egyéb információhordozó beszerzés</t>
  </si>
  <si>
    <t>Egyéb szakmai anyagbeszerzés</t>
  </si>
  <si>
    <t>K312</t>
  </si>
  <si>
    <t>053121</t>
  </si>
  <si>
    <t>Üzemeltetési anyagok beszerzése összesen</t>
  </si>
  <si>
    <t>Élelmiszer-beszerzés</t>
  </si>
  <si>
    <t>Irodaszer-nyomtatvány beszerzés</t>
  </si>
  <si>
    <t>Tüzelőanyag-beszerzés</t>
  </si>
  <si>
    <t>Hajtó- és kenőanyag beszerzés</t>
  </si>
  <si>
    <t>Munkaruha, védőruha, formaruha, egyenruha</t>
  </si>
  <si>
    <t>Egyéb üzemeltetési, fennt anyagbeszerzés</t>
  </si>
  <si>
    <t>K313</t>
  </si>
  <si>
    <t>053131</t>
  </si>
  <si>
    <t>Árubeszerzés összesen</t>
  </si>
  <si>
    <t>Árubeszerzés</t>
  </si>
  <si>
    <t>Göngyölegbeszerzés</t>
  </si>
  <si>
    <t>K31</t>
  </si>
  <si>
    <t>0531</t>
  </si>
  <si>
    <t>Készletbeszerzés összesen</t>
  </si>
  <si>
    <t>K321</t>
  </si>
  <si>
    <t>053211</t>
  </si>
  <si>
    <t>Informatikai szolgáltatások igénybevétele</t>
  </si>
  <si>
    <t>Informatikai tanácsadás, üzembehelyezés</t>
  </si>
  <si>
    <t>Informatikai szolgáltatások</t>
  </si>
  <si>
    <t>Informatikai eszköz, szolg bérlése, lízing</t>
  </si>
  <si>
    <t>Informatikai eszközök karbantartása</t>
  </si>
  <si>
    <t>Adatátviteli célú távközlési díjak</t>
  </si>
  <si>
    <t>Egyéb informatikai szolgáltatás</t>
  </si>
  <si>
    <t>K322</t>
  </si>
  <si>
    <t>053221</t>
  </si>
  <si>
    <t>Egyéb kommunikációs szolg összesen</t>
  </si>
  <si>
    <t>Nem adatátviteli célú távközlési díjak</t>
  </si>
  <si>
    <t>Egyéb kommunikációs szolgáltatások</t>
  </si>
  <si>
    <t>K32</t>
  </si>
  <si>
    <t>0532</t>
  </si>
  <si>
    <t>Kommunikációs szolgáltatások összesen</t>
  </si>
  <si>
    <t>K331</t>
  </si>
  <si>
    <t>053311</t>
  </si>
  <si>
    <t>Közüzemi díjak összesen</t>
  </si>
  <si>
    <t>Villamos energia szolgáltatási díjak</t>
  </si>
  <si>
    <t>Gázenergia szolgáltatási díjak</t>
  </si>
  <si>
    <t>Víz- és csatorna díjak</t>
  </si>
  <si>
    <t>K332</t>
  </si>
  <si>
    <t>053321</t>
  </si>
  <si>
    <t>Vásárolt élelmezés</t>
  </si>
  <si>
    <t>K333</t>
  </si>
  <si>
    <t>053331</t>
  </si>
  <si>
    <t>Bérleti és lízing-díjak összesen</t>
  </si>
  <si>
    <t>PPP konstrukcióhoz kapcsolódó szolg díjak</t>
  </si>
  <si>
    <t>Egyéb bérleti és lízing díjak</t>
  </si>
  <si>
    <t>K334</t>
  </si>
  <si>
    <t>053341</t>
  </si>
  <si>
    <t>Karbantartási, kisjavítási szolgáltatások</t>
  </si>
  <si>
    <t>K335</t>
  </si>
  <si>
    <t>053351</t>
  </si>
  <si>
    <t>Közvetített szolgáltatások összesen</t>
  </si>
  <si>
    <t>Államháztartások belüli közvetített szolg</t>
  </si>
  <si>
    <t>Államháztartások kívüli közvetített szolg</t>
  </si>
  <si>
    <t>K336</t>
  </si>
  <si>
    <t>053361</t>
  </si>
  <si>
    <t>Szakmai tevékenységet segítő szolgáltatások</t>
  </si>
  <si>
    <t>Vásárolt közszolgáltatások</t>
  </si>
  <si>
    <t>Számlázott szellemi tevékenységek</t>
  </si>
  <si>
    <t>Egyéb szakmai szolgáltatások</t>
  </si>
  <si>
    <t>K337</t>
  </si>
  <si>
    <t>053371</t>
  </si>
  <si>
    <t>Egyéb szolgáltatások összesen</t>
  </si>
  <si>
    <t>Biztosítási szolgáltatási díjak</t>
  </si>
  <si>
    <t>Pénzügyi szolgáltatási díjak</t>
  </si>
  <si>
    <t>Szállítási szolgáltatási díjak</t>
  </si>
  <si>
    <t>Egyéb üzemeltetési, fennt szolgáltatások</t>
  </si>
  <si>
    <t>K33</t>
  </si>
  <si>
    <t>0533</t>
  </si>
  <si>
    <t>Szolgáltatási kiadások összesen</t>
  </si>
  <si>
    <t>K341</t>
  </si>
  <si>
    <t>053411</t>
  </si>
  <si>
    <t>Kiküldetések kiadásai összesen</t>
  </si>
  <si>
    <t>Belföldi kiküldetések kiadásai</t>
  </si>
  <si>
    <t>Külföldi kiküldetések kiadásai</t>
  </si>
  <si>
    <t>K342</t>
  </si>
  <si>
    <t>053421</t>
  </si>
  <si>
    <t>Reklám- és propaganda kiadások</t>
  </si>
  <si>
    <t>K34</t>
  </si>
  <si>
    <t>0534</t>
  </si>
  <si>
    <t>Kiküldetés, reklám, propaganda összesen</t>
  </si>
  <si>
    <t>K351</t>
  </si>
  <si>
    <t>053511</t>
  </si>
  <si>
    <t>Működési célú ÁFA összesen</t>
  </si>
  <si>
    <t>Működési célú felszám, levonható ÁFA</t>
  </si>
  <si>
    <t>Működési célú felszám, le nem vonható ÁFA</t>
  </si>
  <si>
    <t>K352</t>
  </si>
  <si>
    <t>053521</t>
  </si>
  <si>
    <t>Fizetendő ÁFA összesen</t>
  </si>
  <si>
    <t>ÁFA befizetés</t>
  </si>
  <si>
    <t>Ért tárgyi eszk, imm javak egyenes ÁFA bef</t>
  </si>
  <si>
    <t>Fordított ÁFA befizetése</t>
  </si>
  <si>
    <t>K353</t>
  </si>
  <si>
    <t>053531</t>
  </si>
  <si>
    <t>Kamatkiadások</t>
  </si>
  <si>
    <t>Államháztartáson belüli egyéb kamat</t>
  </si>
  <si>
    <t>Hitelek kamatai</t>
  </si>
  <si>
    <t>Pénzügyi lízing kiadások</t>
  </si>
  <si>
    <t>Államháztartáson kívüli egyéb kamatok</t>
  </si>
  <si>
    <t>K354</t>
  </si>
  <si>
    <t>053541</t>
  </si>
  <si>
    <t>Egyéb pénzügyi műveletek kiadásai</t>
  </si>
  <si>
    <t>Árfolyamveszteség</t>
  </si>
  <si>
    <t>Egyéb, különféle pénzügyi műveletek kiad</t>
  </si>
  <si>
    <t>K355</t>
  </si>
  <si>
    <t>053551</t>
  </si>
  <si>
    <t>Egyéb dologi kiadások</t>
  </si>
  <si>
    <t>Adók, adójellegű befizetések</t>
  </si>
  <si>
    <t>Díjak, egyéb befizetések</t>
  </si>
  <si>
    <t>Késedelmi kamat, kötbér, egyéb kártérítés</t>
  </si>
  <si>
    <t>Egyéb különféle dologi kiadások</t>
  </si>
  <si>
    <t>K35</t>
  </si>
  <si>
    <t>0535</t>
  </si>
  <si>
    <t>Különféle befizetések, egyéb dologi kiadások</t>
  </si>
  <si>
    <t>K3</t>
  </si>
  <si>
    <t>053</t>
  </si>
  <si>
    <t>FELHALMOZÁSI KIADÁSOK</t>
  </si>
  <si>
    <t>K61</t>
  </si>
  <si>
    <t>056111</t>
  </si>
  <si>
    <t>Immateriális javak beszerzése, létesítése</t>
  </si>
  <si>
    <t>K62</t>
  </si>
  <si>
    <t>056211</t>
  </si>
  <si>
    <t>Ingatlanok beszerzése, létesítése</t>
  </si>
  <si>
    <t>K63</t>
  </si>
  <si>
    <t>056311</t>
  </si>
  <si>
    <t>Informatikai eszközök beszerzése, létesítése</t>
  </si>
  <si>
    <t>K64</t>
  </si>
  <si>
    <t>056411</t>
  </si>
  <si>
    <t>Egyéb tárgyi eszköz beszerzése, létesítése</t>
  </si>
  <si>
    <t>056415</t>
  </si>
  <si>
    <t>Jármű beszerzés</t>
  </si>
  <si>
    <t>K65</t>
  </si>
  <si>
    <t>056511</t>
  </si>
  <si>
    <t>Részesedések beszerzése</t>
  </si>
  <si>
    <t>K66</t>
  </si>
  <si>
    <t>056611</t>
  </si>
  <si>
    <t>Meglévő részesedések növeléséhez kapcs kiad</t>
  </si>
  <si>
    <t>K67</t>
  </si>
  <si>
    <t>05671</t>
  </si>
  <si>
    <t>Beruházási célú előzetesen felszámított ÁFA</t>
  </si>
  <si>
    <t>K6</t>
  </si>
  <si>
    <t>056</t>
  </si>
  <si>
    <t>Beruházások összesen</t>
  </si>
  <si>
    <t>K71</t>
  </si>
  <si>
    <t>057111</t>
  </si>
  <si>
    <t>Ingatlanok felújítása</t>
  </si>
  <si>
    <t>K72</t>
  </si>
  <si>
    <t>057211</t>
  </si>
  <si>
    <t>Informatikai eszköz felújítása</t>
  </si>
  <si>
    <t>K73</t>
  </si>
  <si>
    <t>057311</t>
  </si>
  <si>
    <t>Egyéb tárgyi eszköz felújítása</t>
  </si>
  <si>
    <t>057315</t>
  </si>
  <si>
    <t>Jármű felújítása</t>
  </si>
  <si>
    <t>K74</t>
  </si>
  <si>
    <t>05741</t>
  </si>
  <si>
    <t>Felújítási célú előzetesen felszámított ÁFA</t>
  </si>
  <si>
    <t>K7</t>
  </si>
  <si>
    <t>057</t>
  </si>
  <si>
    <t>Felújítások összesen</t>
  </si>
  <si>
    <t>Felhalmozási kiadások összesen</t>
  </si>
  <si>
    <t>BEVÉTELEK</t>
  </si>
  <si>
    <t>B4</t>
  </si>
  <si>
    <t>Működési Bevételek</t>
  </si>
  <si>
    <t>B401</t>
  </si>
  <si>
    <t>Készletértékesítés ellenértéke</t>
  </si>
  <si>
    <t>B402</t>
  </si>
  <si>
    <t>Szolgáltatások ellenértéke</t>
  </si>
  <si>
    <t>B403</t>
  </si>
  <si>
    <t>Közvetített szolgáltatások ellenértéke</t>
  </si>
  <si>
    <t>B404</t>
  </si>
  <si>
    <t>Tulajdonosi bevételek</t>
  </si>
  <si>
    <t>B406</t>
  </si>
  <si>
    <t>Kiszámlázott általános forgalmi adó</t>
  </si>
  <si>
    <t>B408</t>
  </si>
  <si>
    <t>Kamatbevételek</t>
  </si>
  <si>
    <t>B410</t>
  </si>
  <si>
    <t>Egyéb működési bevételek</t>
  </si>
  <si>
    <t>B5</t>
  </si>
  <si>
    <t>Felhalmozási bevételek</t>
  </si>
  <si>
    <t>WALLA JÓZSEF ÓVODA 2016. (az adatok ezer forintban)</t>
  </si>
  <si>
    <t>2016. évi előirányzat</t>
  </si>
  <si>
    <t>2015. évi előirányzat</t>
  </si>
  <si>
    <t>óvodai nevelés</t>
  </si>
  <si>
    <t>óvodai étkeztetés</t>
  </si>
  <si>
    <t xml:space="preserve">2015. évi előirányzat </t>
  </si>
  <si>
    <t>WALLA JÓZSEF ÓVODA (az adatok ezer forintban)</t>
  </si>
  <si>
    <t>9. Szász Irén (rész)</t>
  </si>
  <si>
    <t>1. Bató  istvánné (teljes)</t>
  </si>
  <si>
    <t>2. Bazsó Borbála (teljes)</t>
  </si>
  <si>
    <t>3. Beck Tiborné (teljes)</t>
  </si>
  <si>
    <t>4. Domokos Valéria (teljes)</t>
  </si>
  <si>
    <t>5. Gál Attiláné (teljes)</t>
  </si>
  <si>
    <t>6. Hummelné fehér Edina (teljes)</t>
  </si>
  <si>
    <t>7. Molnárné Tari Erzsébet (teljes)</t>
  </si>
  <si>
    <t>8. Németh Mária Erika (teljes)</t>
  </si>
  <si>
    <t>10. Szikora Ildikó (teljes)</t>
  </si>
  <si>
    <t>11. Botos Ilona (teljes)</t>
  </si>
  <si>
    <t>12. Tősér Éva (teljes)</t>
  </si>
  <si>
    <t>13. Üres óvodaped. álláshely (teljes)</t>
  </si>
  <si>
    <t>Erzsébet utalvány</t>
  </si>
  <si>
    <t>Szemüveg (eü költségtérítés, 2fő*60e/fő)</t>
  </si>
  <si>
    <t>A törv. szerinti illetmény 0,4%-ban 2016-ra</t>
  </si>
  <si>
    <t>Tandíj (tan. szerződés Bazsó Borbála)</t>
  </si>
  <si>
    <t>Megbízási díjakra keretösszeg</t>
  </si>
  <si>
    <t>Reprezentációs kiadások kerete</t>
  </si>
  <si>
    <t>Szociális hozzájárulási adó (27%)</t>
  </si>
  <si>
    <t>Egyéb külső személyi juttatások</t>
  </si>
  <si>
    <t>Személyi juttatások</t>
  </si>
  <si>
    <t>Munkaadókat terhelő járulékok</t>
  </si>
  <si>
    <t>DOLOGI ÉS EGYÉB MŰKÖDÉSI CÉLÚ KIADÁSOK</t>
  </si>
  <si>
    <t>Becsült összeg 2015.10.26-án</t>
  </si>
  <si>
    <t>WALLA JÓZSEF ÓVODA 2016 (az adatok ezer forintban)</t>
  </si>
  <si>
    <t>MŰKÖDÉSI KIADÁSOK ÖSSZESEN</t>
  </si>
  <si>
    <t>Dologi kiadások</t>
  </si>
  <si>
    <t>FELHALMOZÁSI KIADÁSOK ÖSSZESEN</t>
  </si>
  <si>
    <t>KIADÁSOK MINDÖSSSZESEN</t>
  </si>
  <si>
    <t>SAJÁT BEVÉTELEK ÖSSZESEN</t>
  </si>
  <si>
    <t>B405</t>
  </si>
  <si>
    <t>Ellátási díjak</t>
  </si>
  <si>
    <t>B407</t>
  </si>
  <si>
    <t>Általános forgalmi adó visszatérítés</t>
  </si>
  <si>
    <t>B409</t>
  </si>
  <si>
    <t>Egyéb pénzügyi műveletek bevételei</t>
  </si>
  <si>
    <t>Adatok ezer forintban</t>
  </si>
  <si>
    <t xml:space="preserve">Cím: </t>
  </si>
  <si>
    <t>Alcím:</t>
  </si>
  <si>
    <t>Sor-szám</t>
  </si>
  <si>
    <t>Megnevezés</t>
  </si>
  <si>
    <t>Engedélyezett létszámkeret</t>
  </si>
  <si>
    <t>Közfoglalkoztatottak engedélyezett létszáma</t>
  </si>
  <si>
    <t>I.</t>
  </si>
  <si>
    <t>MŰKÖDÉSI KÖLTSÉGVETÉSI BEVÉTELEK</t>
  </si>
  <si>
    <t>1.</t>
  </si>
  <si>
    <t>Működési célú támogatások államháztartáson belülről</t>
  </si>
  <si>
    <t>1.1. Egyéb működési célú támogatások bevételei államháztartáson belülről</t>
  </si>
  <si>
    <t>Működési bevételek</t>
  </si>
  <si>
    <t>3.</t>
  </si>
  <si>
    <t>Működési célú átvett pénzeszközök</t>
  </si>
  <si>
    <t>3.1. Egyéb működési célú átvett pénzeszközök</t>
  </si>
  <si>
    <t>II.</t>
  </si>
  <si>
    <t>FELHALMOZÁSI KÖLTSÉGVETÉSI BEVÉTELEK</t>
  </si>
  <si>
    <t>Felhalmozási célú támogatások államháztartáson belülről</t>
  </si>
  <si>
    <t>1.1. Egyéb felhalmozási célú támogatások bevételei államháztartáson belülről</t>
  </si>
  <si>
    <t>2.</t>
  </si>
  <si>
    <t>2.1. Immateriális javak értékesítése</t>
  </si>
  <si>
    <t>2.2. Egyéb tárgyi eszközök értékesítése</t>
  </si>
  <si>
    <t>Felhalmozási célú átvett pénzeszközök</t>
  </si>
  <si>
    <t>3.1. Egyéb felhalmozási célú átvett pénzeszközök</t>
  </si>
  <si>
    <t>KÖLTSÉGVETÉSI BEVÉTELEK ÖSSZESEN</t>
  </si>
  <si>
    <t>III.</t>
  </si>
  <si>
    <t>FINANSZÍROZÁSI BEVÉTELEK</t>
  </si>
  <si>
    <t>Belföldi finanszírozás bevételei</t>
  </si>
  <si>
    <t>1.1. Maradvány igénybevétele</t>
  </si>
  <si>
    <t>1.2. Irányító szervi támogatás</t>
  </si>
  <si>
    <t>TÁRGYÉVI BEVÉTELEK ÖSSZESEN</t>
  </si>
  <si>
    <t>MŰKÖDÉSI KÖLTSÉGVETÉSI KIADÁSOK</t>
  </si>
  <si>
    <t>Munkaadókat terhelő járulékok és szociális hozzájárulási adó</t>
  </si>
  <si>
    <t>4.</t>
  </si>
  <si>
    <t>Ellátottak pénzbeli juttatásai</t>
  </si>
  <si>
    <t>5.</t>
  </si>
  <si>
    <t>Egyéb működési célú kiadások</t>
  </si>
  <si>
    <t>FELHALMOZÁSI KÖLTSÉGVETÉSI KIADÁSOK</t>
  </si>
  <si>
    <t>Intézményi beruházások</t>
  </si>
  <si>
    <t>Felújítások</t>
  </si>
  <si>
    <t>Egyéb felhalmozási célú kiadások</t>
  </si>
  <si>
    <t>TÁRGYÉVI KIADÁSOK ÖSSZESEN</t>
  </si>
  <si>
    <t>Kiadási előirányzat</t>
  </si>
  <si>
    <t>GAZDASÁGI SZERVEZETTEL NEM RENDELKEZŐ KÖLTSÉGVETÉSI SZERVEK</t>
  </si>
  <si>
    <t>Walla József Óvoda</t>
  </si>
  <si>
    <t>KÖTELEZŐ FELADATOK</t>
  </si>
  <si>
    <t>Óvodai nevelés</t>
  </si>
  <si>
    <t>Munkaadót terhelő járulékok</t>
  </si>
  <si>
    <t>Beruházások</t>
  </si>
  <si>
    <t>Óvodai étkeztetés</t>
  </si>
  <si>
    <t>ÖNKÉNT VÁLLALT FELADATOK</t>
  </si>
  <si>
    <t>Törökbálinti Nyitnikék Óvoda</t>
  </si>
  <si>
    <t>Törökbálinti Bóbita Óvoda</t>
  </si>
  <si>
    <t>Munkácsy Mihály Művelődési Ház</t>
  </si>
  <si>
    <t>Közművelődési tevékenységek</t>
  </si>
  <si>
    <t>Közművelődési intézmény működtetése</t>
  </si>
  <si>
    <t>Volf György Könyvtár</t>
  </si>
  <si>
    <t>Könyvtári szolgáltatások</t>
  </si>
  <si>
    <t>Múzeumi kiállítási tevékenység</t>
  </si>
  <si>
    <t>Segítő Kéz Szolgálat</t>
  </si>
  <si>
    <t>Családsegítés</t>
  </si>
  <si>
    <t>Házi segítségnyújtás</t>
  </si>
  <si>
    <t>Szociális étkeztetés</t>
  </si>
  <si>
    <t>Bölcsődei ellátás</t>
  </si>
  <si>
    <t>Bölcsődei étkeztetés</t>
  </si>
  <si>
    <t>Maradvány igénybevétele</t>
  </si>
  <si>
    <t>TÖRÖKBÁLINTI NYITNIKÉK ÓVODA 2016. (az adatok ezer forintban)</t>
  </si>
  <si>
    <t>TÖRÖKBÁLINTI NYITNIKÉK ÓVODA (az adatok ezer forintban)</t>
  </si>
  <si>
    <t>TÖRÖKBÁLINTI NYITNIKÉK ÓVODA 2016 (az adatok ezer forintban)</t>
  </si>
  <si>
    <t>1. Balogné Szabó Margit</t>
  </si>
  <si>
    <t>2. Bodó Viktória</t>
  </si>
  <si>
    <t>3. Csiszár Andrea</t>
  </si>
  <si>
    <t>4. Fenyves Andrea</t>
  </si>
  <si>
    <t>5. Gergye Szilvia</t>
  </si>
  <si>
    <t>6. Horváthné Hamza Edit</t>
  </si>
  <si>
    <t>7. Kálmán Viktória</t>
  </si>
  <si>
    <t>8. Kálmánné Bari Erika</t>
  </si>
  <si>
    <t>9. Keresztes Hajnalka</t>
  </si>
  <si>
    <t>10. Kisné Szél Erzsébet</t>
  </si>
  <si>
    <t>11. Kiss Rozália</t>
  </si>
  <si>
    <t>12. Kogyiláné Székely Erika</t>
  </si>
  <si>
    <t>13. Kovács Erzsébet</t>
  </si>
  <si>
    <t>14. Kovács Gabriella</t>
  </si>
  <si>
    <t>15. Krajnyák Jenőné</t>
  </si>
  <si>
    <t>16. Nagyné Tóth Magdolna</t>
  </si>
  <si>
    <t>17. Pallér Edit</t>
  </si>
  <si>
    <t>18. Petermanné Papp Krisztina</t>
  </si>
  <si>
    <t>19. Rolyák Csabáné</t>
  </si>
  <si>
    <t>20. Scheirich Szilvia</t>
  </si>
  <si>
    <t>21. Sebestyén Krisztina</t>
  </si>
  <si>
    <t>22. Szabóné Fejes Zsuzsanna</t>
  </si>
  <si>
    <t>23. Szappanosné Csáki Regina</t>
  </si>
  <si>
    <t>24. Szentkuti Anita</t>
  </si>
  <si>
    <t>25. Szentkuti Ferencné</t>
  </si>
  <si>
    <t>26. Szunai Beáta</t>
  </si>
  <si>
    <t>27. Uri Éva</t>
  </si>
  <si>
    <t>28. Valkainé Huppauer Zsuzsanna</t>
  </si>
  <si>
    <t>29. Velősiné Hamper Eszter</t>
  </si>
  <si>
    <t>30. Virág Lászlóné</t>
  </si>
  <si>
    <t>31. Üres álláshely</t>
  </si>
  <si>
    <t>Erzsébet utalvány (31 fő * 8e/hó/fő * 12hó)</t>
  </si>
  <si>
    <t>TÖRÖKBÁLINTI BÓBITA ÓVODA 2016. (az adatok ezer forintban)</t>
  </si>
  <si>
    <t>TÖRÖKBÁLINTI BÓBITA ÓVODA (az adatok ezer forintban)</t>
  </si>
  <si>
    <t>TÖRÖKBÁLINTI BÓBITA ÓVODA 2016 (az adatok ezer forintban)</t>
  </si>
  <si>
    <t>Erzsébet utalvány (56 fő * 8e/hó/fő * 12hó)</t>
  </si>
  <si>
    <t>Keretjellegű tétel</t>
  </si>
  <si>
    <t>Egyéb bérleti díj</t>
  </si>
  <si>
    <t>SEGÍTŐ KÉZ SZOLGÁLAT 2016. (az adatok ezer forintban)</t>
  </si>
  <si>
    <t>családsegítés</t>
  </si>
  <si>
    <t>házi segítségnyújtás</t>
  </si>
  <si>
    <t>szociális étkeztetés</t>
  </si>
  <si>
    <t>bölcsődei ellátás</t>
  </si>
  <si>
    <t>bölcsődei étkeztetés</t>
  </si>
  <si>
    <t>korai fejlesztés</t>
  </si>
  <si>
    <t>KAB-ME-14-B-16852 2016.</t>
  </si>
  <si>
    <t>Keresztes Sándor (gondozók)</t>
  </si>
  <si>
    <t>Nagy Anikó (gondozók)</t>
  </si>
  <si>
    <t>Szemüveg (eü költségtérítés, 60e/fő)</t>
  </si>
  <si>
    <t>Cs2. Csernyánszki Andrea</t>
  </si>
  <si>
    <t>Cs3. Csokonáné Vízkeleti Ildikó</t>
  </si>
  <si>
    <t>Cs1. Ásó Bernadett</t>
  </si>
  <si>
    <t>Cs4.Takács Judit</t>
  </si>
  <si>
    <t>Cs8. Molnár Erika</t>
  </si>
  <si>
    <t>Cs5/1. Fridikné Király Eszter</t>
  </si>
  <si>
    <t>Cs5/1Földi Cristina Doris (Fridikné h.)</t>
  </si>
  <si>
    <t>Cs5/2. Hajduné Kálmán Margit</t>
  </si>
  <si>
    <t>Cs6. Kiss Bernadett</t>
  </si>
  <si>
    <t>Cs9. Putz Angelika</t>
  </si>
  <si>
    <t>Cs7/1. Dr. Lászlóné Sebők F (Réczey h.)</t>
  </si>
  <si>
    <t>Cs7/1. Réczey Kata</t>
  </si>
  <si>
    <t>Cs7/2. Orbán Dávid</t>
  </si>
  <si>
    <t>Cs10. Tordai Tünde Andrea</t>
  </si>
  <si>
    <t>Cs11. Pajor Andrea</t>
  </si>
  <si>
    <t>G1. Keresztes Sándor</t>
  </si>
  <si>
    <t>G2. Nagy Anikó</t>
  </si>
  <si>
    <t>G3. Nagy Lászlóné</t>
  </si>
  <si>
    <t>G4. Radnóti Krisztina</t>
  </si>
  <si>
    <t>G5. Scherer Henrikné</t>
  </si>
  <si>
    <t>G6. Török Sándor</t>
  </si>
  <si>
    <t>B1. Jenei Géza</t>
  </si>
  <si>
    <t>B2. Arnoldné Herczeg Edit</t>
  </si>
  <si>
    <t>B3. Csák Katalin</t>
  </si>
  <si>
    <t>B4. Dankos Mónika</t>
  </si>
  <si>
    <t>B5. Heffner Erika</t>
  </si>
  <si>
    <t>B6. Erdős Erika</t>
  </si>
  <si>
    <t>B7. Forroné Krizsek Márta</t>
  </si>
  <si>
    <t>B8. Takácsné Rácz Tímea</t>
  </si>
  <si>
    <t>B9. Ilia Mária Margit</t>
  </si>
  <si>
    <t>B10. Juhász Andrea</t>
  </si>
  <si>
    <t>B11. Dánné Molnár Jolán</t>
  </si>
  <si>
    <t>B12. Keresztély Anna</t>
  </si>
  <si>
    <t>B13. Koleszárné Varga Györgyi</t>
  </si>
  <si>
    <t>B14. Kozmáné Hégely Éva</t>
  </si>
  <si>
    <t>B15. Megyaszai Antalné</t>
  </si>
  <si>
    <t>B16. Németné Gábris Csilla</t>
  </si>
  <si>
    <t>38. Nyári Anita(elment)</t>
  </si>
  <si>
    <t>B17. Madaras Helga (Szabóné helyén)</t>
  </si>
  <si>
    <t>B17. Szabóné Balázs Krisztina</t>
  </si>
  <si>
    <t>B18. Rutkai Andrásné</t>
  </si>
  <si>
    <t>B19. Rutkai Norbertné</t>
  </si>
  <si>
    <t>B20. Szilágyiné Rádóczi Tímea</t>
  </si>
  <si>
    <t>B21. Tóth Enikő</t>
  </si>
  <si>
    <t>B22. Ujhelyi Tamara</t>
  </si>
  <si>
    <t>B23. Vereb Miklósné</t>
  </si>
  <si>
    <t>B24. Üres álláshely</t>
  </si>
  <si>
    <t>Cím:</t>
  </si>
  <si>
    <t>1. Önkormányzat</t>
  </si>
  <si>
    <t>Bevételek</t>
  </si>
  <si>
    <t>1.1. Önkormányzatok működési támogatásai</t>
  </si>
  <si>
    <t>A helyi önkormányzatok működésének általános támogatása</t>
  </si>
  <si>
    <t xml:space="preserve"> Egyes köznevelési feladatok támogatása</t>
  </si>
  <si>
    <t>Szociális, gyermekjóléti és gyermekétkeztetési feladatok támogatása</t>
  </si>
  <si>
    <t>Kulturális feladatok támogatása</t>
  </si>
  <si>
    <t>Működési célú központosított előirányzatok</t>
  </si>
  <si>
    <t>Egyéb működési célú központi támogatás</t>
  </si>
  <si>
    <t>Helyi önkormányzatok kiegészítő támogatásai</t>
  </si>
  <si>
    <t>1.2. Elvonások és befizetések bevételei</t>
  </si>
  <si>
    <t>1.3. Működési célú kölcsönök visszatérülése államháztartáson belülről</t>
  </si>
  <si>
    <t>1.4. Egyéb működési célú támogatások bevételei államháztartáson belülről</t>
  </si>
  <si>
    <t>Központi költségvetési szervtől</t>
  </si>
  <si>
    <t>- Mezőőri támogatás</t>
  </si>
  <si>
    <t>- Közfoglalkoztatás támogatása</t>
  </si>
  <si>
    <t>Közhatalmi bevételek</t>
  </si>
  <si>
    <t>2.1. Vagyoni típusú adók</t>
  </si>
  <si>
    <t>Építményadó</t>
  </si>
  <si>
    <t>Telekadó</t>
  </si>
  <si>
    <t>2.2. Termékek és szolgáltatások adói</t>
  </si>
  <si>
    <t>Helyi iparűzési adó</t>
  </si>
  <si>
    <t>Gépjárműadó</t>
  </si>
  <si>
    <t>2.3. Egyéb adók</t>
  </si>
  <si>
    <t>Talajterhelési díj</t>
  </si>
  <si>
    <t>Idegenforgalmi adó</t>
  </si>
  <si>
    <t>Egyéb adóbevételek</t>
  </si>
  <si>
    <t>2.4. Egyéb közhatalmi bevételek</t>
  </si>
  <si>
    <t>Igazgatási szolgáltatási díjak</t>
  </si>
  <si>
    <t>Környezetvédelmi bírság</t>
  </si>
  <si>
    <t>Adóbírság</t>
  </si>
  <si>
    <t>Pótlékok, közhatalmi tevékenység egyéb bevételei</t>
  </si>
  <si>
    <t>3.1. Készletértékesítés ellenértéke</t>
  </si>
  <si>
    <t>3.2. Szolgáltatások ellenértéke</t>
  </si>
  <si>
    <t>Továbbszámlázott szolgáltatások bevétele</t>
  </si>
  <si>
    <t>Egyéb szolgáltatások bevétele</t>
  </si>
  <si>
    <t>3.3. Tulajdonosi bevételek</t>
  </si>
  <si>
    <t>Közterület használat</t>
  </si>
  <si>
    <t>ÉTV bérleti díj</t>
  </si>
  <si>
    <t>3.4. Ellátási díjak</t>
  </si>
  <si>
    <t>3.5. Kiszámlázott általános forgalmi adó</t>
  </si>
  <si>
    <t>3.6. Általános forgalmi adó visszatérítése</t>
  </si>
  <si>
    <t>3.7. Kamatbevételek</t>
  </si>
  <si>
    <t>3.8. Egyéb működési bevételek</t>
  </si>
  <si>
    <t>4.1. Működési célú kölcsönök visszatérülése államháztartáson kívülről</t>
  </si>
  <si>
    <t>4.2. Egyéb működési célú átvett pénzeszközök</t>
  </si>
  <si>
    <t>1.1. Felhalmozási célú önkormányzati támogatások</t>
  </si>
  <si>
    <t>1.2. Felhalmozási célú kölcsönök visszatérülése államháztartáson belülről</t>
  </si>
  <si>
    <t>1.3. Egyéb felhalmozási célú támogatások bevételei államháztartáson belülről</t>
  </si>
  <si>
    <t xml:space="preserve">2.2. Ingatlanok értékesítése </t>
  </si>
  <si>
    <t>Önkormányzati lakás értékesítés</t>
  </si>
  <si>
    <t>Telekértékesítés</t>
  </si>
  <si>
    <t>Egyéb ingatlan értékesítés</t>
  </si>
  <si>
    <t>2.3. Egyéb tárgyi eszközök értékesítése</t>
  </si>
  <si>
    <t>2.4. Részesedések értékesítése</t>
  </si>
  <si>
    <t>3.1. Felhalmozási célú támogatások, kölcsönök visszatérülése EU-tól</t>
  </si>
  <si>
    <t>3.2. Felhalmozási célú támogatások, kölcsönök visszatérülése kormányoktól, más nemzetközi szervezetektől</t>
  </si>
  <si>
    <t>3.3. Felhalmozási célú kölcsönök visszatérülése államháztartáson kívülről</t>
  </si>
  <si>
    <t>Lakáscélú hitel visszafizetése</t>
  </si>
  <si>
    <t>Munkáltatói hitel visszafizetése</t>
  </si>
  <si>
    <t>Egyéb kölcsön visszafizetése (csatornabekötésre adott, egyéb)</t>
  </si>
  <si>
    <t>3.4. Egyéb felhalmozási célú átvett pénzeszközök</t>
  </si>
  <si>
    <t>Annahegyi közműberuházás I. ütem</t>
  </si>
  <si>
    <t>Annahegyi közműberuházás II. ütem</t>
  </si>
  <si>
    <t>Felsővölgyi úti szennyvízcsatorna csatlakozás</t>
  </si>
  <si>
    <t>Szőlő utcai szennyvízcsatorna csatlakozás</t>
  </si>
  <si>
    <t>1.1. Hitel-, kölcsönfelvétel államháztartáson kívülről</t>
  </si>
  <si>
    <t>Hosszú lejáratú hitel, kölcsön felvétele</t>
  </si>
  <si>
    <t>Likviditási hitel, kölcsön felvétele</t>
  </si>
  <si>
    <t>Rövid lejáratú hitel, kölcsön felvétele</t>
  </si>
  <si>
    <t>1.2. Belföldi értékpapírok bevételei</t>
  </si>
  <si>
    <t>1.3. Maradvány igénybevétele</t>
  </si>
  <si>
    <t>Működési célú maradvány igénybevétel</t>
  </si>
  <si>
    <t>Felhalmozási célú maradvány igénybevétel</t>
  </si>
  <si>
    <t>1.4. Irányító szervi támogatás</t>
  </si>
  <si>
    <t>1.5. Betétek megszüntetése</t>
  </si>
  <si>
    <t>Külföldi finanszírozás bevételei</t>
  </si>
  <si>
    <t>2.1. Külföldi értékpapírok bevételei</t>
  </si>
  <si>
    <t>2.2. Külföldi hitel, kölcsön felvétele</t>
  </si>
  <si>
    <t>3.2. Felhalmozási célú támogatások, kölcsönök visszatérülése kormányoktól, nemzetközi szervezetektől</t>
  </si>
  <si>
    <t>Cím/ alcím</t>
  </si>
  <si>
    <t>Összesen</t>
  </si>
  <si>
    <t>VÁROSGONDNOKSÁG</t>
  </si>
  <si>
    <t>Zöldterület kezelés</t>
  </si>
  <si>
    <t>Települési hulladék begyűjtése</t>
  </si>
  <si>
    <t>Közvilágítás</t>
  </si>
  <si>
    <t>Közutak, járdák üzemeltetése, fenntartása</t>
  </si>
  <si>
    <t>Temető-fenntartás</t>
  </si>
  <si>
    <t>6.</t>
  </si>
  <si>
    <t>Orvosi rendelők fenntartása</t>
  </si>
  <si>
    <t>7.</t>
  </si>
  <si>
    <t>Sportpálya működtetése</t>
  </si>
  <si>
    <t>8.</t>
  </si>
  <si>
    <t>9.</t>
  </si>
  <si>
    <t>Lakó és nem lakó ingatlan bérbeadása, üzemeltetése</t>
  </si>
  <si>
    <t>10.</t>
  </si>
  <si>
    <t>Egyéb működési célú kiadások (elvonások, befizetések)</t>
  </si>
  <si>
    <t>11.</t>
  </si>
  <si>
    <t>12.</t>
  </si>
  <si>
    <t>Intézmények karbantartása</t>
  </si>
  <si>
    <t>13.</t>
  </si>
  <si>
    <t>14.</t>
  </si>
  <si>
    <t>15.</t>
  </si>
  <si>
    <t>Iskolai étkeztetés</t>
  </si>
  <si>
    <t>Személyi összesen</t>
  </si>
  <si>
    <t>Járulék összesen</t>
  </si>
  <si>
    <t>Dologi összesen</t>
  </si>
  <si>
    <t>Beruházás összesen</t>
  </si>
  <si>
    <t>felújítás összesen</t>
  </si>
  <si>
    <t>Kiadás mindösszesen</t>
  </si>
  <si>
    <t>VOLF GYÖRGY KÖNYVTÁR ÉS HELYTÖRTÉNETI GYŰJTEMÉNY 2016. (az adatok ezer forintban)</t>
  </si>
  <si>
    <t>VOLF GYÖRGY KÖNYVTÁR ÉS HELYTÖRTÉNETI GYŰJTEMÉNY (az adatok ezer forintban)</t>
  </si>
  <si>
    <t>VOLF GYÖRGY KÖNYVTÁR ÉS HELYTÖRTÉNETI GYŰJTEMÉNY 2016 (az adatok ezer forintban)</t>
  </si>
  <si>
    <t>Állománygyarapítás</t>
  </si>
  <si>
    <t>Kiadások</t>
  </si>
  <si>
    <t>MŰKÖDÉSI KÖLTSÉGVETÉSI KIADÁS</t>
  </si>
  <si>
    <t>MŰKÖDÉSI KÖLTSÉGVETÉSI HIÁNY</t>
  </si>
  <si>
    <t>MŰKÖDÉSI KÖLTSÉGVETÉSI TÖBBLET</t>
  </si>
  <si>
    <t>FELHALMOZÁSI KÖLTSÉGVETÉSI KIADÁS</t>
  </si>
  <si>
    <t>FELHALMOZÁSI KÖLTSÉGVETÉSI HIÁNY</t>
  </si>
  <si>
    <t>FELHALMOZÁSI KÖLTSÉGVETÉSI TÖBBLET</t>
  </si>
  <si>
    <t>KÖLTSÉGVETÉSI KIADÁSOK ÖSSZESEN</t>
  </si>
  <si>
    <t>KÖLTSÉGVETÉSI HIÁNY ÖSSZESEN</t>
  </si>
  <si>
    <t>KÖLTSÉGVETÉSI TÖBBLET ÖSSZESEN</t>
  </si>
  <si>
    <t>FINANSZÍROZÁSI KIADÁSOK</t>
  </si>
  <si>
    <t>MŰKÖDÉSI FINANSZÍROZÁSI BEVÉTELEK</t>
  </si>
  <si>
    <t>MŰKÖDÉSI FINANSZÍROZÁSI KIADÁSOK</t>
  </si>
  <si>
    <t>Belföldi finanszírozás kiadásai</t>
  </si>
  <si>
    <t>Külföldi finanszírozás kiadásai</t>
  </si>
  <si>
    <t>FELHALMOZÁSI FINANSZÍROZÁSI BEVÉTELEK</t>
  </si>
  <si>
    <t>FELHALMOZÁSI FINANSZÍROZÁSI KIADÁSOK</t>
  </si>
  <si>
    <t>Közművelődési tevékenység</t>
  </si>
  <si>
    <t>Intézmény működtetése</t>
  </si>
  <si>
    <t>Nemzeti ünnepek programjai</t>
  </si>
  <si>
    <t>MUNKÁCSY MIHÁLY MŰVELŐDÉSI HÁZ 2016. (az adatok ezer forintban)</t>
  </si>
  <si>
    <t>MUNKÁCSY MIHÁLY MŰVELŐDÉSI HÁZ  (az adatok ezer forintban)</t>
  </si>
  <si>
    <t>MUNKÁCSY MIHÁLY MŰVELŐDÉSI HÁZ 2016 (az adatok ezer forintban)</t>
  </si>
  <si>
    <t>TÖRÖKBÁLINTI POLGÁRMESTERI HIVATAL 2016. (az adatok ezer forintban)</t>
  </si>
  <si>
    <t>Önkormányzati igazgatás</t>
  </si>
  <si>
    <t>Közfoglalkoztatás</t>
  </si>
  <si>
    <t>Védőnők</t>
  </si>
  <si>
    <t>Közterület-felügyelet</t>
  </si>
  <si>
    <t>Mezei őrszolgálat</t>
  </si>
  <si>
    <t>Segélyek</t>
  </si>
  <si>
    <t>Egyéb államigazgatási feladatok</t>
  </si>
  <si>
    <t>Egyéb béren kívüli juttatások (cafeteria)</t>
  </si>
  <si>
    <t>Albérleti hozzájárulás</t>
  </si>
  <si>
    <t>Képviselők, polgármesterek juttatásai</t>
  </si>
  <si>
    <t>Egyéb választott tisztviselők juttatásai</t>
  </si>
  <si>
    <t>B3</t>
  </si>
  <si>
    <t>)</t>
  </si>
  <si>
    <t>K4</t>
  </si>
  <si>
    <t>054</t>
  </si>
  <si>
    <t>K41</t>
  </si>
  <si>
    <t>K42</t>
  </si>
  <si>
    <t>K43</t>
  </si>
  <si>
    <t>K44</t>
  </si>
  <si>
    <t>K45</t>
  </si>
  <si>
    <t>K46</t>
  </si>
  <si>
    <t>K47</t>
  </si>
  <si>
    <t>K48</t>
  </si>
  <si>
    <t>05411</t>
  </si>
  <si>
    <t>05421</t>
  </si>
  <si>
    <t>05431</t>
  </si>
  <si>
    <t>05441</t>
  </si>
  <si>
    <t>05451</t>
  </si>
  <si>
    <t>05461</t>
  </si>
  <si>
    <t>05471</t>
  </si>
  <si>
    <t>05481</t>
  </si>
  <si>
    <t>Társadalombiztosítási ellátások</t>
  </si>
  <si>
    <t>Családi támogatások</t>
  </si>
  <si>
    <t>Pénzbeli kárpótlások, kártérítések</t>
  </si>
  <si>
    <t>Betegséggel kapcsolatos (nem tb) ellátások</t>
  </si>
  <si>
    <t>Foglalkozt., munkanélk. kapcsolatos ellátások</t>
  </si>
  <si>
    <t>Lakhatással kapcsolatos ellátások</t>
  </si>
  <si>
    <t>Intézményi ellátottak pénzbeli juttatásai</t>
  </si>
  <si>
    <t>Egyéb nem intézményi ellátások</t>
  </si>
  <si>
    <t>Ped ösztöndíj, ÁROP 2015</t>
  </si>
  <si>
    <t>2. Polgármesteri Hivatal</t>
  </si>
  <si>
    <t>Ösztöndíjas foglalkoztatás engedélyezett létszáma</t>
  </si>
  <si>
    <t>1.1. Igazgatási szolgáltatási díjak</t>
  </si>
  <si>
    <t>1.2. Egyéb közhatalmi bevételek</t>
  </si>
  <si>
    <t>2.1. Készletértékesítés ellenértéke</t>
  </si>
  <si>
    <t>2.2. Szolgáltatások ellenértéke</t>
  </si>
  <si>
    <t>POLGÁRMESTERI HIVATAL</t>
  </si>
  <si>
    <t xml:space="preserve">Önkormányzati igazgatási feladatok </t>
  </si>
  <si>
    <t>Védőnői szolgálat</t>
  </si>
  <si>
    <t>Pedagógus ösztöndíj</t>
  </si>
  <si>
    <t>ÁLLAMIGAZGATÁSI FELADATOK</t>
  </si>
  <si>
    <t xml:space="preserve">Egyéb államigazgatási feladatok </t>
  </si>
  <si>
    <t>2.3. Tulajdonosi bevételek</t>
  </si>
  <si>
    <t>2.4. Ellátási díjak</t>
  </si>
  <si>
    <t>2.5. Kiszámlázott általános forgalmi adó</t>
  </si>
  <si>
    <t>2.6. Általános forgalmi adó visszatérítése</t>
  </si>
  <si>
    <t>2.7. Kamatbevételek</t>
  </si>
  <si>
    <t>2.8. Egyéb működési bevételek</t>
  </si>
  <si>
    <t>Más közhatalmi bevételek</t>
  </si>
  <si>
    <t>Betétek megszüntetése</t>
  </si>
  <si>
    <t>5.1. Elvonások és befizetések</t>
  </si>
  <si>
    <t>5.2. Működési célú kölcsön nyújtása államháztartáson belülre</t>
  </si>
  <si>
    <t>5.3. Egyéb működési célú támogatások államháztartáson belülre</t>
  </si>
  <si>
    <t>5.4.  Egyéb működési célú támogatások államháztartáson kívülre</t>
  </si>
  <si>
    <t>5.5. Tartalékok</t>
  </si>
  <si>
    <t>Általános tartalék</t>
  </si>
  <si>
    <t>Működési céltartalék</t>
  </si>
  <si>
    <t>3.1. Felhalmozási célú kölcsönök nyújtása államháztartáson belülre</t>
  </si>
  <si>
    <t>3.2.Felhalmozási célú kölcsönök nyújtása államháztartáson kívülre</t>
  </si>
  <si>
    <t>3.3. Lakástámogatás</t>
  </si>
  <si>
    <t>3.4. Felhalmozási célú támogatások államháztartáson belülre</t>
  </si>
  <si>
    <t>3.5. Felhalmozási célú támogatások államháztartáson kívülre</t>
  </si>
  <si>
    <t>1.1. Hitel-, kölcsöntörlesztés államháztartáson kívülre</t>
  </si>
  <si>
    <t>Hosszú lejáratú hitel, kölcsön törlesztése</t>
  </si>
  <si>
    <t>Rövid lejáratú hitel, kölcsön törlesztése</t>
  </si>
  <si>
    <t>1.2. Belföldi értékpapírok kiadásai</t>
  </si>
  <si>
    <t>1.3. Államháztartáson belüli megelőlegezések visszafizetése</t>
  </si>
  <si>
    <t>1.4. Irányító szervi támogatás folyósítása</t>
  </si>
  <si>
    <t>1.5. Pénzeszközök betétként elhelyezése</t>
  </si>
  <si>
    <t>1.6. Pénzügyi lízing kiadásai</t>
  </si>
  <si>
    <t>2.1. Külföldi értékpapírok kiadásai</t>
  </si>
  <si>
    <t>2.2. Külföldi hitel, kölcsön törlesztése</t>
  </si>
  <si>
    <t>1.3. Államháztartáson belüli megelőlegezés visszafizetése</t>
  </si>
  <si>
    <t>1.4. Pénzeszközök betétként elhelyezése</t>
  </si>
  <si>
    <t>1.5. Pénzügyi lízing kiadásai</t>
  </si>
  <si>
    <t>ÖNKOMÁNYZAT</t>
  </si>
  <si>
    <t>Településrendezés, településfejlesztés</t>
  </si>
  <si>
    <t>Közparkok fenntartása, kialakítása</t>
  </si>
  <si>
    <t>Egészségügyi alapellátás</t>
  </si>
  <si>
    <t>Választás, népszavazás</t>
  </si>
  <si>
    <t>Lakás- és helyiséggazdálkodás</t>
  </si>
  <si>
    <t>Környezetegészségügy</t>
  </si>
  <si>
    <t>Helyi környezet- és természetvédelem</t>
  </si>
  <si>
    <t>Egyéb településüzemeltetési feladatok</t>
  </si>
  <si>
    <t>Segélyek kötelező</t>
  </si>
  <si>
    <t>Járóbeteg szakellátás - nőgyógyászat</t>
  </si>
  <si>
    <t>Kerékpárutak tervezése, kivitelezése</t>
  </si>
  <si>
    <t xml:space="preserve">Ifjúsági Önkormányzat </t>
  </si>
  <si>
    <t xml:space="preserve">Elhelyezés családok átmeneti otthonában </t>
  </si>
  <si>
    <t xml:space="preserve">Gyermekek átmeneti otthona </t>
  </si>
  <si>
    <t>Duna Szimfonikus Zenekar hangversenysorozat</t>
  </si>
  <si>
    <t>Kábítószerellenes Egyeztető Fórum</t>
  </si>
  <si>
    <t>Korai fejlesztés, gondozás</t>
  </si>
  <si>
    <t>Könyvvizsgálat</t>
  </si>
  <si>
    <t>Lovas járőrszolgálat</t>
  </si>
  <si>
    <t>Betegszállítás</t>
  </si>
  <si>
    <t xml:space="preserve">Tervtanács </t>
  </si>
  <si>
    <t>Médiaszolgáltatások</t>
  </si>
  <si>
    <t>16.</t>
  </si>
  <si>
    <t>17.</t>
  </si>
  <si>
    <t>Rendőrség támogatása</t>
  </si>
  <si>
    <t>18.</t>
  </si>
  <si>
    <t>19.</t>
  </si>
  <si>
    <t>20.</t>
  </si>
  <si>
    <t xml:space="preserve">Cigány Nemzetiségi Önkorm. támogatása </t>
  </si>
  <si>
    <t>21.</t>
  </si>
  <si>
    <t>Román Nemzetiségi Önkorm. Támogatása</t>
  </si>
  <si>
    <t>22.</t>
  </si>
  <si>
    <t>23.</t>
  </si>
  <si>
    <t>Orvosok, fogorvosok támogatása</t>
  </si>
  <si>
    <t>24.</t>
  </si>
  <si>
    <t>Városőrség támogatása</t>
  </si>
  <si>
    <t>25.</t>
  </si>
  <si>
    <t>Hegyőrség támogatása</t>
  </si>
  <si>
    <t>26.</t>
  </si>
  <si>
    <t>27.</t>
  </si>
  <si>
    <t>OMI támogatása</t>
  </si>
  <si>
    <t>28.</t>
  </si>
  <si>
    <t>29.</t>
  </si>
  <si>
    <t>Civil szervezetek támogatása</t>
  </si>
  <si>
    <t>30.</t>
  </si>
  <si>
    <t xml:space="preserve">Egyházak támogatása </t>
  </si>
  <si>
    <t>31.</t>
  </si>
  <si>
    <t>Sportszervezetek támogatása</t>
  </si>
  <si>
    <t>32.</t>
  </si>
  <si>
    <t xml:space="preserve">PR-Evolution Dance Company támogatása </t>
  </si>
  <si>
    <t>Gyermekek egyéb napközbeni ellátása</t>
  </si>
  <si>
    <t>34.</t>
  </si>
  <si>
    <t>Segélyek - önként vállalt</t>
  </si>
  <si>
    <t>35.</t>
  </si>
  <si>
    <t xml:space="preserve">Egyéb önként vállalt feladatok </t>
  </si>
  <si>
    <t>36.</t>
  </si>
  <si>
    <t>Egyéb fejlesztési, felújítási feladatok</t>
  </si>
  <si>
    <t>37.</t>
  </si>
  <si>
    <t>Foglalkoztatottak részére csoportos egészségbiztosítás</t>
  </si>
  <si>
    <t>Intézményfinanszírozás</t>
  </si>
  <si>
    <t>Államháztartáson belüli megelőlegezések visszafizetése</t>
  </si>
  <si>
    <t>Hitel törlesztés</t>
  </si>
  <si>
    <t>Pénzeszközök betétként elhelyezése</t>
  </si>
  <si>
    <t>Rovatkód</t>
  </si>
  <si>
    <t>Kötelező összesen 2015</t>
  </si>
  <si>
    <t>Kötelező összesen 2016</t>
  </si>
  <si>
    <t>Önként vállalt össz 2015</t>
  </si>
  <si>
    <t>Önként vállalt össz 2016</t>
  </si>
  <si>
    <t>Finansz 2015</t>
  </si>
  <si>
    <t>Finansz 2016</t>
  </si>
  <si>
    <t>Településrendezés 121001 2015. év</t>
  </si>
  <si>
    <t>Településrendezés 121001 2016. év</t>
  </si>
  <si>
    <t>Közparkok 121002 2015. év</t>
  </si>
  <si>
    <t>Közparkok 121002 2016. év</t>
  </si>
  <si>
    <t>Eü alapellátás 121004 2015. év</t>
  </si>
  <si>
    <t>Eü alapellátás 121004 2016. év</t>
  </si>
  <si>
    <t>Védőnők 121005 2015. év</t>
  </si>
  <si>
    <t>Védőnők 121005 2016. év</t>
  </si>
  <si>
    <t>Fogy sz nappali ell 121006 2015. év</t>
  </si>
  <si>
    <t>Választás 121007 2015. év</t>
  </si>
  <si>
    <t>Választás 121007 2016. év</t>
  </si>
  <si>
    <t>Helyiséggazd 121008 2015. év</t>
  </si>
  <si>
    <t>Helyiséggazd 121008 2016. év</t>
  </si>
  <si>
    <t>Környezet-eü 121009 2015. év</t>
  </si>
  <si>
    <t>Környezet-eü 121009 2016. év</t>
  </si>
  <si>
    <t>H körny és term véd 121010 2015. év</t>
  </si>
  <si>
    <t>H körny és term véd 121010 2016. év</t>
  </si>
  <si>
    <t>Ünnepek 121028 2015. év</t>
  </si>
  <si>
    <t>Ünnepek 121028 2016. év</t>
  </si>
  <si>
    <t>Egyéb telep üz fel 121011 2015. év</t>
  </si>
  <si>
    <t>Egyéb telep üz fel 121011 2016. év</t>
  </si>
  <si>
    <t>Segélyek kötelező 121029 2015. év</t>
  </si>
  <si>
    <t>Segélyek kötelező 121029 2016. év</t>
  </si>
  <si>
    <t>Járóbeteg (nőgyógy) 122001 2015. év</t>
  </si>
  <si>
    <t>Járóbeteg (nőgyógy) 122001 2016. év</t>
  </si>
  <si>
    <t>ZED kártérítés 122002 2015. év</t>
  </si>
  <si>
    <t>ZED kártérítés 122002 2016. év</t>
  </si>
  <si>
    <t>Kerékpár koncepció 122004 2015. év</t>
  </si>
  <si>
    <t>Kerékpár koncepció 122004 2016. év</t>
  </si>
  <si>
    <t>Ifjúsági ÖK 122006 2015. év</t>
  </si>
  <si>
    <t>Ifjúsági ÖK 122006 2016. év</t>
  </si>
  <si>
    <t>Bursa ösztöndíj 122007 2015. év</t>
  </si>
  <si>
    <t>Civil koncepció 122008 2015. év</t>
  </si>
  <si>
    <t>Civil koncepció 122008 2016. év</t>
  </si>
  <si>
    <t>Családok átm otthona 122009 2015. év</t>
  </si>
  <si>
    <t>Családok átm otthona 122009 2016. év</t>
  </si>
  <si>
    <t>Gyermekek átm otthona 122010 2015. év</t>
  </si>
  <si>
    <t>Gyermekek átm otthona 122010 2016. év</t>
  </si>
  <si>
    <t>Duna Szimf 122011 2015. év</t>
  </si>
  <si>
    <t>Duna Szimf 122011 2016. év</t>
  </si>
  <si>
    <t>Korai fejlesztés 122013 2015. év</t>
  </si>
  <si>
    <t>Korai fejlesztés 122013 2016. év</t>
  </si>
  <si>
    <t>Könyvvizsgálat 122014 2015. év</t>
  </si>
  <si>
    <t>Könyvvizsgálat 122014 2016. év</t>
  </si>
  <si>
    <t>Betegszáll 122018 2015. év</t>
  </si>
  <si>
    <t>Betegszáll 122018 2016. év</t>
  </si>
  <si>
    <t>Lovas járőr 122017 2015. év</t>
  </si>
  <si>
    <t>Lovas járőr 122017 2016. év</t>
  </si>
  <si>
    <t>Közterület-felügyelet 122015 2015. év</t>
  </si>
  <si>
    <t>Közterület-felügyelet 122015 2016. év</t>
  </si>
  <si>
    <t>Tervtanács 122019 2015. év</t>
  </si>
  <si>
    <t>Tervtanács 122019 2016. év</t>
  </si>
  <si>
    <t>Médiaszolg 122020 2015. év</t>
  </si>
  <si>
    <t>Médiaszolg 122020 2016. év</t>
  </si>
  <si>
    <t>Jelzőrendszeres,, támog szolg 122021 2015. év</t>
  </si>
  <si>
    <t>Jelzőrendszeres,, támog szolg 122021 2016. év</t>
  </si>
  <si>
    <t>Rendőrség tám 122023 2015. év</t>
  </si>
  <si>
    <t>Rendőrség tám 122023 2016. év</t>
  </si>
  <si>
    <t>TNÖ tám 122025 2015. év</t>
  </si>
  <si>
    <t>TNÖ tám 122025 2016. év</t>
  </si>
  <si>
    <t>CNÖ tám 122026 2015. év</t>
  </si>
  <si>
    <t>CNÖ tám 122026 2016. év</t>
  </si>
  <si>
    <t>Kaposvári E tám 122027 2015. év</t>
  </si>
  <si>
    <t>Kaposvári E tám 122027 2016. év</t>
  </si>
  <si>
    <t>Orvosok tám 122028 2015. év</t>
  </si>
  <si>
    <t>Orvosok tám 122028 2016. év</t>
  </si>
  <si>
    <t>Városőrség tám 122029 2015. év</t>
  </si>
  <si>
    <t>Városőrség tám 122029 2016. év</t>
  </si>
  <si>
    <t>Hegyőrség 2015. év</t>
  </si>
  <si>
    <t>Hegyőrség 2016. év</t>
  </si>
  <si>
    <t>Volánbusz tám 122003 2015. év</t>
  </si>
  <si>
    <t>Volánbusz tám 122003 2016. év</t>
  </si>
  <si>
    <t>BKK tám 122030 2015. év</t>
  </si>
  <si>
    <t>BKK tám 122030 2016. év</t>
  </si>
  <si>
    <t>OMI tám 122031 2015. év</t>
  </si>
  <si>
    <t>OMI tám 122031 2016. év</t>
  </si>
  <si>
    <t>Kult szerv tám 122032 2015. év</t>
  </si>
  <si>
    <t>Kult szerv tám 122032 2016. év</t>
  </si>
  <si>
    <t>Civil tám 122033 2015. év</t>
  </si>
  <si>
    <t>Civil tám 122033 2016. év</t>
  </si>
  <si>
    <t>Egyházak tám 122034 2015. év</t>
  </si>
  <si>
    <t>Egyházak tám 122034 2016. év</t>
  </si>
  <si>
    <t>Sportszer-vezetek támogatása 2015. év</t>
  </si>
  <si>
    <t>Sportszer-vezetek támogatása 2016. év</t>
  </si>
  <si>
    <t>PR Evolution 122037 2015. év</t>
  </si>
  <si>
    <t>PR Evolution 122037 2016. év</t>
  </si>
  <si>
    <t>Shaolin Kung Fu 122038 2015. év</t>
  </si>
  <si>
    <t>Shaolin Kung Fu 122038 2016. év</t>
  </si>
  <si>
    <t>Háztartások tám 122040 2015. év</t>
  </si>
  <si>
    <t>Háztartások tám 122040 2016. év</t>
  </si>
  <si>
    <t>Gyerm e. napközbeni ellátása 122041 2015. év</t>
  </si>
  <si>
    <t>Gyerm e. napközbeni ellátása 122041 2016. év</t>
  </si>
  <si>
    <t>Segélyek önként 122042 2015. év</t>
  </si>
  <si>
    <t>Segélyek önként 122042 2016. év</t>
  </si>
  <si>
    <t>Egyéb önként vállalt 122050 2015. év</t>
  </si>
  <si>
    <t>Egyéb önként vállalt 122050 2016. év</t>
  </si>
  <si>
    <t>Beruházások 2015. év</t>
  </si>
  <si>
    <t>Beruházások 2016. év</t>
  </si>
  <si>
    <t>Felújítások 2015. év</t>
  </si>
  <si>
    <t>Felújítások 2016. év</t>
  </si>
  <si>
    <t>Kedvezményes HPV oltás 2015. év</t>
  </si>
  <si>
    <t>Kábszer Egyeztető F 122012 2015. év</t>
  </si>
  <si>
    <t>Kábszer Egyeztető F 122012 2016. év</t>
  </si>
  <si>
    <t>ÁROP Szervezetfejl. 122044 2015. év</t>
  </si>
  <si>
    <t>ÁROP Szervezetfejl. 122044 2016. év</t>
  </si>
  <si>
    <t>Foglalkoztatottak részére csop eg bizt 2015. év</t>
  </si>
  <si>
    <t>Foglalkoztatottak részére csop eg bizt 2016. év</t>
  </si>
  <si>
    <t>RNÖ támogatása 2015. év</t>
  </si>
  <si>
    <t>RNÖ támogatása 2016. év</t>
  </si>
  <si>
    <t>Törvény szerinti illetmények, munkbérek</t>
  </si>
  <si>
    <t>Foglalkoztatottak egyéb juttatásai</t>
  </si>
  <si>
    <t>Nem saját foglalkoztatottnak fizetett juttatás</t>
  </si>
  <si>
    <t>K1.</t>
  </si>
  <si>
    <t>K2.</t>
  </si>
  <si>
    <t>Szakmai anyagok beszerzése</t>
  </si>
  <si>
    <t>Üzemeltetési anyagok beszerzése</t>
  </si>
  <si>
    <t>Készletbeszerzés</t>
  </si>
  <si>
    <t>Kommunikációs szolgáltatások</t>
  </si>
  <si>
    <t>Közüzemi díjak</t>
  </si>
  <si>
    <t>Bérleti és lízing díjak</t>
  </si>
  <si>
    <t>Közvetített szolgáltatások</t>
  </si>
  <si>
    <t>Egyéb szolgáltatások</t>
  </si>
  <si>
    <t>Szolgáltatási kiadások</t>
  </si>
  <si>
    <t>Kiküldetések kiadásai</t>
  </si>
  <si>
    <t>Reklám- és propagandakiadások</t>
  </si>
  <si>
    <t>Kiküldetések, reklám-, propaganda kiadások</t>
  </si>
  <si>
    <t>Működési célú előzetesen felszámított általános forgalmi adó</t>
  </si>
  <si>
    <t>Fizetendő általános forgalmi adó</t>
  </si>
  <si>
    <t>Dologi kiadások összesen</t>
  </si>
  <si>
    <t>Betegséggel kapcsolatos (nem társadalombiztosítási) ellátások</t>
  </si>
  <si>
    <t>Foglalkoztatással, munkanélküliséggel kapcsolatos ellátások</t>
  </si>
  <si>
    <t>K501</t>
  </si>
  <si>
    <t>Nemzetközi kötelezettségek</t>
  </si>
  <si>
    <t>K502</t>
  </si>
  <si>
    <t>Elvonások és befizetések</t>
  </si>
  <si>
    <t>K503</t>
  </si>
  <si>
    <t>Működési célú garancia- és kezességvállalás áht belülre</t>
  </si>
  <si>
    <t>K504</t>
  </si>
  <si>
    <t>Működési célú visszatérítendő kölcsön nyújtás áht belülre</t>
  </si>
  <si>
    <t>K505</t>
  </si>
  <si>
    <t>Működési célú visszatérítendő kölcsöntörlesztés áht belülre</t>
  </si>
  <si>
    <t>K506</t>
  </si>
  <si>
    <t>Egyéb működési célú támogatások államháztartáson belülre</t>
  </si>
  <si>
    <t>K507</t>
  </si>
  <si>
    <t>Működési célú garancia- és kezességvállalás áht kívülre</t>
  </si>
  <si>
    <t>K508</t>
  </si>
  <si>
    <t>Működési célú visszatérítendő kölcsön nyújtás áht kívülre</t>
  </si>
  <si>
    <t>K509</t>
  </si>
  <si>
    <t>Árkiegészítések, ártámogatások</t>
  </si>
  <si>
    <t>K510</t>
  </si>
  <si>
    <t>Kamattámogatások</t>
  </si>
  <si>
    <t>K511</t>
  </si>
  <si>
    <t>Egyéb működési célú támogatások államháztartáson kívülre</t>
  </si>
  <si>
    <t>K512</t>
  </si>
  <si>
    <t>Tartalékok</t>
  </si>
  <si>
    <t>K5</t>
  </si>
  <si>
    <t>Egyéb tárgyi eszközök beszerzése, létesítése</t>
  </si>
  <si>
    <t>Meglévő részesedések növeléséhez kapcsolódó kiadások</t>
  </si>
  <si>
    <t>Beruházási célú előzetesen felszámított általános forgalmi adó</t>
  </si>
  <si>
    <t>Informatikai eszközök felújítása</t>
  </si>
  <si>
    <t>Egyéb tárgyi eszközök felújítása</t>
  </si>
  <si>
    <t>Felújítási célú előzetesen felszámított általános forgalmi adó</t>
  </si>
  <si>
    <t>K81</t>
  </si>
  <si>
    <t>Felhalmozási célú garancia- és kezességváll áht belül</t>
  </si>
  <si>
    <t>K82</t>
  </si>
  <si>
    <t>Felhalmozási célú kölcsön nyújtás áht belül</t>
  </si>
  <si>
    <t>K83</t>
  </si>
  <si>
    <t>Felhalmozási célú kölcsönök törlesztése áht belül</t>
  </si>
  <si>
    <t>K84</t>
  </si>
  <si>
    <t>Egyéb felhalmozási célú támogatások államháztartáson belülre</t>
  </si>
  <si>
    <t>K85</t>
  </si>
  <si>
    <t>Felhalmozási célú garancia- és kezességváll áht kívül</t>
  </si>
  <si>
    <t>K86</t>
  </si>
  <si>
    <t>Felhalmozási célú kölcsönök nyújtása államháztartáson kívülre</t>
  </si>
  <si>
    <t>K87</t>
  </si>
  <si>
    <t>Lakástámogatás</t>
  </si>
  <si>
    <t>K88</t>
  </si>
  <si>
    <t>Egyéb felhalmozási célú támogatások államháztartáson kívülre</t>
  </si>
  <si>
    <t>K8</t>
  </si>
  <si>
    <t>K9111</t>
  </si>
  <si>
    <t>Hosszú lejáratú hitelek, kölcsönök törlesztése</t>
  </si>
  <si>
    <t>K9112</t>
  </si>
  <si>
    <t>Likviditási célú hitelek, kölcsönök törlesztése p váll.nak</t>
  </si>
  <si>
    <t>K9113</t>
  </si>
  <si>
    <t>Rövid lejáratú hitelek, kölcsönök törlesztése</t>
  </si>
  <si>
    <t>K9121</t>
  </si>
  <si>
    <t>Forgatási célú belföldi értékpapírok vásárlása</t>
  </si>
  <si>
    <t>K9122</t>
  </si>
  <si>
    <t>Forgatási célú belföldi értékpapírok beváltása</t>
  </si>
  <si>
    <t>K9123</t>
  </si>
  <si>
    <t>Befektetési célú belföldi értékpapírok vásárlása</t>
  </si>
  <si>
    <t>K9124</t>
  </si>
  <si>
    <t>Befektetési célú belföldi értékpapírok beváltása</t>
  </si>
  <si>
    <t>K913</t>
  </si>
  <si>
    <t>Államháztartáson belüli megelőlegezések folyósítása</t>
  </si>
  <si>
    <t>K914</t>
  </si>
  <si>
    <t>K915</t>
  </si>
  <si>
    <t>Központi, irányító szervi támogatás folyósítása</t>
  </si>
  <si>
    <t>K916</t>
  </si>
  <si>
    <t>K917</t>
  </si>
  <si>
    <t>Pénzügyi lízing kiadásai</t>
  </si>
  <si>
    <t>K921</t>
  </si>
  <si>
    <t>Forgatási célú külföldi értékpapírok vásárlása</t>
  </si>
  <si>
    <t>K922</t>
  </si>
  <si>
    <t>Befektetési célú külföldi értékpapírok vásárlása</t>
  </si>
  <si>
    <t>K923</t>
  </si>
  <si>
    <t>Külföldi értékpapírok beváltása</t>
  </si>
  <si>
    <t>K924</t>
  </si>
  <si>
    <t>Külföldi hitelek, kölcsönök törlesztése</t>
  </si>
  <si>
    <t>K93</t>
  </si>
  <si>
    <t>Adóssághoz nem kapcsolódó származékos ügyletek kiadásai</t>
  </si>
  <si>
    <t>K9</t>
  </si>
  <si>
    <t>Finanszírozási kiadások</t>
  </si>
  <si>
    <t>KIADÁSOK MINDÖSSZESEN</t>
  </si>
  <si>
    <t>Beruházások  feladatonként</t>
  </si>
  <si>
    <t>Ssz.</t>
  </si>
  <si>
    <t>A nettó összeg rovata</t>
  </si>
  <si>
    <t>Nettó összeg</t>
  </si>
  <si>
    <t>Áfa</t>
  </si>
  <si>
    <t>Részletező</t>
  </si>
  <si>
    <t>Önkormányzati beruházások</t>
  </si>
  <si>
    <t>Ebédlőhelyiség kialakítása, bővítése (Zimándy I. Iskola)</t>
  </si>
  <si>
    <t>Polgármesteri Hivatal</t>
  </si>
  <si>
    <t>Informatikai eszköz beszerzés</t>
  </si>
  <si>
    <t>Egyéb eszköz beszerzés</t>
  </si>
  <si>
    <t>Városgondnokság</t>
  </si>
  <si>
    <t>Nyitnikék Óvoda</t>
  </si>
  <si>
    <t>Bóbita Óvoda</t>
  </si>
  <si>
    <t>Felújítások célonként</t>
  </si>
  <si>
    <t>Önkormányzati felújítások</t>
  </si>
  <si>
    <t>ÉTV közmű felújítás</t>
  </si>
  <si>
    <t>Szérűskert Bölcsőde felújítása</t>
  </si>
  <si>
    <t>Kazáncserék (Walla József Óvoda, Bóbita Óvoda régi épület)</t>
  </si>
  <si>
    <t>Bóbita Óvoda geotermikus gépészeti rendszerének javítása</t>
  </si>
  <si>
    <t>Belső kőburkolat megerősítése a Munkácsy M. Művelődési Házban és a Volf György Könyvtárban</t>
  </si>
  <si>
    <t>Bálint M. Iskola tanétterem elektromos rendszerének korszerűsítése, szabványosítása</t>
  </si>
  <si>
    <t>Bálint M. Iskola Köztársaság téri épületében riasztórendszer felújítása</t>
  </si>
  <si>
    <t>Tantermek felújítása a Zimándy I. Iskolában</t>
  </si>
  <si>
    <t>MMMH villamosenergiát biztosító rendszer felújítása</t>
  </si>
  <si>
    <t>Intézményi felújítások</t>
  </si>
  <si>
    <t>Lakóingatlanok (53 lakás) elektromos felújítása (Városgondnokság)</t>
  </si>
  <si>
    <t>1. Általános tartalék</t>
  </si>
  <si>
    <t>2. Működési céltartalék</t>
  </si>
  <si>
    <t>2.1. Környezetvédelmi alap</t>
  </si>
  <si>
    <t>2.2. Polgármesteri keret</t>
  </si>
  <si>
    <t>2.3. Alpolgármesteri keret</t>
  </si>
  <si>
    <t>2.5. Alpolgármesteri keret (beruh.)</t>
  </si>
  <si>
    <t>2.5. Foglalkoztatottak részére egészségbiztosítás</t>
  </si>
  <si>
    <t>2.8. TTC Labdarúgó Szakosztály támogatása</t>
  </si>
  <si>
    <t>3. Felhalmozási céltartalék</t>
  </si>
  <si>
    <t>3.1. ProgressB Zrt. elkülönített számla</t>
  </si>
  <si>
    <t xml:space="preserve">3.1. Lakásalap </t>
  </si>
  <si>
    <t>3.1. Vízügyi építési alap</t>
  </si>
  <si>
    <t>3.2. Víziközmű számla</t>
  </si>
  <si>
    <t>3.2. Pályázati önrészre elkülönített céltartalék</t>
  </si>
  <si>
    <t>Összesen:</t>
  </si>
  <si>
    <t>Közfoglal-koztatás 2015</t>
  </si>
  <si>
    <t>Közfoglal-köztatás 2016</t>
  </si>
  <si>
    <t>KÖLTSÉGVETÉSI HIÁNY</t>
  </si>
  <si>
    <t>KÖLTSÉGVETÉSI TÖBBLET</t>
  </si>
  <si>
    <t>MŰKÖDÉSI EGYENLEG</t>
  </si>
  <si>
    <t>FELHALMOZÁSI EGYENLEG</t>
  </si>
  <si>
    <t>KÖLTSÉGVETÉSI EGYENLEG</t>
  </si>
  <si>
    <t>BELSŐ FINANSZÍROZÁSI FORRÁS (maradvány, betét)</t>
  </si>
  <si>
    <t>VÁRHATÓ BETÉT</t>
  </si>
  <si>
    <t>ÖSSZESEN</t>
  </si>
  <si>
    <t>Erzsébet utalvány 4,5 státuszra</t>
  </si>
  <si>
    <t>Szemüveg térítés, egyéb térítés</t>
  </si>
  <si>
    <t>FELADATOK ÖSSZESEN</t>
  </si>
  <si>
    <t>I/1</t>
  </si>
  <si>
    <t>I/2</t>
  </si>
  <si>
    <t>I/3</t>
  </si>
  <si>
    <t>I/4</t>
  </si>
  <si>
    <t>I/5</t>
  </si>
  <si>
    <t>I/6</t>
  </si>
  <si>
    <t>I/7</t>
  </si>
  <si>
    <t>I/8</t>
  </si>
  <si>
    <t>I/9</t>
  </si>
  <si>
    <t>I/10</t>
  </si>
  <si>
    <t>I/11</t>
  </si>
  <si>
    <t>I/12</t>
  </si>
  <si>
    <t>I/13</t>
  </si>
  <si>
    <t>Önkormányzati igazgatási feladatok</t>
  </si>
  <si>
    <t>I/14</t>
  </si>
  <si>
    <t>I/15</t>
  </si>
  <si>
    <t>I/16</t>
  </si>
  <si>
    <t>I/17</t>
  </si>
  <si>
    <t>I/18</t>
  </si>
  <si>
    <t>I/19</t>
  </si>
  <si>
    <t>Temető fenntartás</t>
  </si>
  <si>
    <t>I/20</t>
  </si>
  <si>
    <t>I/21</t>
  </si>
  <si>
    <t>I/22</t>
  </si>
  <si>
    <t>I/23</t>
  </si>
  <si>
    <t>I/24</t>
  </si>
  <si>
    <t>I/25</t>
  </si>
  <si>
    <t>I/26</t>
  </si>
  <si>
    <t>I/27</t>
  </si>
  <si>
    <t>Közművelődési intézmények működtetése</t>
  </si>
  <si>
    <t>I/28</t>
  </si>
  <si>
    <t>I/29</t>
  </si>
  <si>
    <t>Könyvtári állomány gyarapítása</t>
  </si>
  <si>
    <t>Múzeumi kiállítási tevékenység (Falumúzeum)</t>
  </si>
  <si>
    <t>I/30</t>
  </si>
  <si>
    <t>I/31</t>
  </si>
  <si>
    <t>I/32</t>
  </si>
  <si>
    <t>I/33</t>
  </si>
  <si>
    <t>I/34</t>
  </si>
  <si>
    <t>II/1</t>
  </si>
  <si>
    <t>II/2</t>
  </si>
  <si>
    <t>II/3</t>
  </si>
  <si>
    <t>II/4</t>
  </si>
  <si>
    <t>II/5</t>
  </si>
  <si>
    <t>Ifjúsági Önkormányzat</t>
  </si>
  <si>
    <t>Bursa Hungarica felsőokt ösztöndíj</t>
  </si>
  <si>
    <t>II/6</t>
  </si>
  <si>
    <t>II/7</t>
  </si>
  <si>
    <t>Elhelyezés családok átmeneti otthonában</t>
  </si>
  <si>
    <t>II/8</t>
  </si>
  <si>
    <t>Gyermekek átmeneti otthona</t>
  </si>
  <si>
    <t>II/9</t>
  </si>
  <si>
    <t>Duna Szimfonikus Zenekar hangversenysor.</t>
  </si>
  <si>
    <t>II/10</t>
  </si>
  <si>
    <t>II/11</t>
  </si>
  <si>
    <t>II/12</t>
  </si>
  <si>
    <t>II/13</t>
  </si>
  <si>
    <t>II/14</t>
  </si>
  <si>
    <t>II/15</t>
  </si>
  <si>
    <t>Tervtanács</t>
  </si>
  <si>
    <t>II/16</t>
  </si>
  <si>
    <t>II/17</t>
  </si>
  <si>
    <t>II/18</t>
  </si>
  <si>
    <t xml:space="preserve">Rendőrség támogatása </t>
  </si>
  <si>
    <t>II/19</t>
  </si>
  <si>
    <t>II/20</t>
  </si>
  <si>
    <t>II/21</t>
  </si>
  <si>
    <t>CNÖ támogatása</t>
  </si>
  <si>
    <t>II/22</t>
  </si>
  <si>
    <t>RNÖ támogatása</t>
  </si>
  <si>
    <t>II/23</t>
  </si>
  <si>
    <t>II/24</t>
  </si>
  <si>
    <t>II/25</t>
  </si>
  <si>
    <t>II/26</t>
  </si>
  <si>
    <t>II/27</t>
  </si>
  <si>
    <t>II/28</t>
  </si>
  <si>
    <t>II/29</t>
  </si>
  <si>
    <t>II/30</t>
  </si>
  <si>
    <t>II/31</t>
  </si>
  <si>
    <t>Egyházak támogatása</t>
  </si>
  <si>
    <t>II/34</t>
  </si>
  <si>
    <t>II/32</t>
  </si>
  <si>
    <t>II/33</t>
  </si>
  <si>
    <t>PR-Evolution Dance Company támogatása</t>
  </si>
  <si>
    <t>II/35</t>
  </si>
  <si>
    <t>II/36</t>
  </si>
  <si>
    <t>Egyéb önként vállalt kiadások</t>
  </si>
  <si>
    <t>II/37</t>
  </si>
  <si>
    <t>II/38</t>
  </si>
  <si>
    <t>Városrendészet (közterület felügyelet, mezei őrszolgálat)</t>
  </si>
  <si>
    <t>II/39</t>
  </si>
  <si>
    <t>II/40</t>
  </si>
  <si>
    <t>II/41</t>
  </si>
  <si>
    <t>III/1</t>
  </si>
  <si>
    <t>Jegyzői hatáskörbe tartozó segélyek</t>
  </si>
  <si>
    <t>III/2</t>
  </si>
  <si>
    <t>IV.</t>
  </si>
  <si>
    <t>IV/1.</t>
  </si>
  <si>
    <t>Hiteltörlesztés</t>
  </si>
  <si>
    <t>IV/2.</t>
  </si>
  <si>
    <t>IV/3.</t>
  </si>
  <si>
    <t>Pedagógus ösztöndíj 2015.</t>
  </si>
  <si>
    <t>Pedagógus ösztöndíj 2016.</t>
  </si>
  <si>
    <t>Elfogyott</t>
  </si>
  <si>
    <t>Utak</t>
  </si>
  <si>
    <t>Épületek</t>
  </si>
  <si>
    <t>Járdák</t>
  </si>
  <si>
    <t>Gyalogosátkelőhelyek</t>
  </si>
  <si>
    <t>4.2. Kápolna-Diósdi utcai gyalogosátkelőhely</t>
  </si>
  <si>
    <t>Közterületek</t>
  </si>
  <si>
    <t>Főépítészi feladatok</t>
  </si>
  <si>
    <t>6.1. Helyi Épíítési Szabályzat módosítása</t>
  </si>
  <si>
    <t>Egyéb beruházások</t>
  </si>
  <si>
    <t>VÁRHATÓ MARADVÁNY</t>
  </si>
  <si>
    <t>A MÉG KÖLTHETŐ LÓVÉ</t>
  </si>
  <si>
    <t>Ingatlanvásárlások</t>
  </si>
  <si>
    <t>8.1. Építések</t>
  </si>
  <si>
    <t>Intézményi fejlesztések</t>
  </si>
  <si>
    <t>Járda felújítások</t>
  </si>
  <si>
    <t>Kedvezményes oltás 2016. év</t>
  </si>
  <si>
    <t>Kedvezményes  oltás biztosítása</t>
  </si>
  <si>
    <t>Környezetvédelemmel kapcsolatos fejlesztések</t>
  </si>
  <si>
    <t>32. Üres álláshely (takarító)</t>
  </si>
  <si>
    <t>Tandíj (tan. Szerz. Gergye Sz. 110e/félév*2)</t>
  </si>
  <si>
    <t>Részletes lista szerint</t>
  </si>
  <si>
    <t>Kovács Anna nyugdíjazás miatti felmentés</t>
  </si>
  <si>
    <t>Szolnoki Péterné (25 év, 2 hónap)</t>
  </si>
  <si>
    <t>Domokos Péterné (25 év, 2 hó)</t>
  </si>
  <si>
    <t>11.1. Működéshez szükséges eszközbeszerzések</t>
  </si>
  <si>
    <t>Intézményi működéshez kapcsolódó eszközbeszerzés</t>
  </si>
  <si>
    <t>Vízügyi Építési Alap tartaléka</t>
  </si>
  <si>
    <t>Tanulmányi ösztöndíjak</t>
  </si>
  <si>
    <t>Tanulmányi ösztöndíjak 122007 2016. év</t>
  </si>
  <si>
    <t>A)</t>
  </si>
  <si>
    <t>BEVÉTELEK FORRÁSONKÉNT</t>
  </si>
  <si>
    <t>1.1. Tulajdonosi bevételek</t>
  </si>
  <si>
    <t>ÉTV bérleti díj és alapdíj</t>
  </si>
  <si>
    <t>1.2. Kiszámlázott általános forgalmi adó</t>
  </si>
  <si>
    <t>FELHALMOZÁSI BEVÉTELEK</t>
  </si>
  <si>
    <t xml:space="preserve"> Belföldi finanszírozás bevételei</t>
  </si>
  <si>
    <t>B)</t>
  </si>
  <si>
    <t>KIADÁSOK JOGCÍMENKÉNT ÉS FELADATONKÉNT</t>
  </si>
  <si>
    <t>1.1. Vízügyi Építési Alap céltartaléka</t>
  </si>
  <si>
    <t>V.</t>
  </si>
  <si>
    <t>VI.</t>
  </si>
  <si>
    <t>Sorszám</t>
  </si>
  <si>
    <t>01</t>
  </si>
  <si>
    <t>Helyi adók</t>
  </si>
  <si>
    <t>02</t>
  </si>
  <si>
    <t>03</t>
  </si>
  <si>
    <t>04</t>
  </si>
  <si>
    <t>05</t>
  </si>
  <si>
    <t>06</t>
  </si>
  <si>
    <t>07</t>
  </si>
  <si>
    <t>08</t>
  </si>
  <si>
    <t>09</t>
  </si>
  <si>
    <t>Saját bevételek 50%-a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</si>
  <si>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</si>
  <si>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</si>
  <si>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</si>
  <si>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</si>
  <si>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</si>
  <si>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</si>
  <si>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</si>
  <si>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</si>
  <si>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</si>
  <si>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20</t>
  </si>
  <si>
    <t>21</t>
  </si>
  <si>
    <t>22</t>
  </si>
  <si>
    <t>23</t>
  </si>
  <si>
    <t>24</t>
  </si>
  <si>
    <t>25</t>
  </si>
  <si>
    <t>26</t>
  </si>
  <si>
    <t>27</t>
  </si>
  <si>
    <t>Adatok Ft-ban</t>
  </si>
  <si>
    <t>Program jelzőszáma, megnevezése</t>
  </si>
  <si>
    <t>Pályázati önerő</t>
  </si>
  <si>
    <t>Pályázaton felüli önerő</t>
  </si>
  <si>
    <t>Támogatás</t>
  </si>
  <si>
    <t>Korábbi években</t>
  </si>
  <si>
    <t>További években</t>
  </si>
  <si>
    <t>Összesen TSZ szerint</t>
  </si>
  <si>
    <t>Összesen tényleges</t>
  </si>
  <si>
    <t>ÁROP-3.A.2-2013-2013-044 Hivatal szervezetfejlesztése</t>
  </si>
  <si>
    <t>Cím</t>
  </si>
  <si>
    <t>Alcím</t>
  </si>
  <si>
    <t>Önkormányzat</t>
  </si>
  <si>
    <t>Gazdasági szervezettel nem rendelkező költségvetési szervek</t>
  </si>
  <si>
    <t>1</t>
  </si>
  <si>
    <t>2</t>
  </si>
  <si>
    <t>3</t>
  </si>
  <si>
    <t>4</t>
  </si>
  <si>
    <t>5</t>
  </si>
  <si>
    <t>Volf György Könyvtár és Helytörténeti Gyűjtemény</t>
  </si>
  <si>
    <t>6</t>
  </si>
  <si>
    <t>Cím/alcím</t>
  </si>
  <si>
    <t>VÍZÜGYI ÉPÍTÉSI ALAP</t>
  </si>
  <si>
    <t>1/1.</t>
  </si>
  <si>
    <t>Vízügyi Építési Alap</t>
  </si>
  <si>
    <t>Környezetvédelmi Alap</t>
  </si>
  <si>
    <t>5.3. Jótállási visszatartások</t>
  </si>
  <si>
    <t>2.4. Humánpolitikai Bizottság kerete</t>
  </si>
  <si>
    <t>2.5. Városfejlesztési és Környezetvédelmi Bizottság kerete</t>
  </si>
  <si>
    <t>2.6. Pénzügyi, Jogi és Ügyrendi Bizottság kerete</t>
  </si>
  <si>
    <t>2.7. Érdekeltségi alap</t>
  </si>
  <si>
    <t>2.8. Gyermekek táboroztatása</t>
  </si>
  <si>
    <t>2.9. Törökbálinton működő iskolák szakmai programjainak támogatása</t>
  </si>
  <si>
    <t>2.10. Egyetemi kutatásokkal támogatott oktatás</t>
  </si>
  <si>
    <t>Az Önkormányzat költségvetési szerveinek létszámkerete</t>
  </si>
  <si>
    <t>Intézmény megnevezése</t>
  </si>
  <si>
    <t>Közfoglal-koztatotti létszám</t>
  </si>
  <si>
    <t>Teljes munkaidős</t>
  </si>
  <si>
    <t>Rész-munkaidős</t>
  </si>
  <si>
    <t>Gazdasági szervezettel rendelkező költségvetési szervek</t>
  </si>
  <si>
    <t>Önkormányzat összesen:</t>
  </si>
  <si>
    <t>Ösztöndíjas foglalkoztatás</t>
  </si>
  <si>
    <t>33. Pedagógiai asszisztens státusz 2016-tól</t>
  </si>
  <si>
    <t>Ped I. besorolás miatti többletktg (3 főnél)</t>
  </si>
  <si>
    <t>Kovács Gabriella 40 éves 5 hó * 336500 Ft/hó</t>
  </si>
  <si>
    <t>K/ÖNV</t>
  </si>
  <si>
    <t>1/2.</t>
  </si>
  <si>
    <t>KÖRNYEZETVÉDELMI ALAP</t>
  </si>
  <si>
    <t>Természetvédelemmel kapcsolatos bírság</t>
  </si>
  <si>
    <t>1.1. Önkéntes befizetések</t>
  </si>
  <si>
    <t>1.1. Kamatbevételek</t>
  </si>
  <si>
    <t>1.2. Egyéb bevételek</t>
  </si>
  <si>
    <t>1.2. Pályázati források</t>
  </si>
  <si>
    <t>1.3. Az Önkormányzatot arányosan megillető megosztott bevétel [1995. évi LIII. Tv. 58. § (6) bek.]</t>
  </si>
  <si>
    <t>Környezetvédelmi Alap céltartaléka</t>
  </si>
  <si>
    <t>Géza  fejedelem  út  melletti  park  és  vízfelület kialakítása (áthúzódó kiadás)</t>
  </si>
  <si>
    <t>Idősek nappali ell 121006 2016. év</t>
  </si>
  <si>
    <t>Időskorúak nappali ellátása</t>
  </si>
  <si>
    <t>Majális (önként vállalt)</t>
  </si>
  <si>
    <t>Majális (önként válllalt)</t>
  </si>
  <si>
    <t>Bankszámla költségtérítés</t>
  </si>
  <si>
    <t>"Jutalomkeret" belső forrásként 3%</t>
  </si>
  <si>
    <t>Jutalomkeret (3%)</t>
  </si>
  <si>
    <t>Hajdúné Kálmán Margit (családsegítés)</t>
  </si>
  <si>
    <t>Vereb Miklósné (Bölcsőde)</t>
  </si>
  <si>
    <t>Jelzőrendszeres házi segítségnyújtás, támogató szolgáltatás</t>
  </si>
  <si>
    <t>Működési célú támogatások államháztartáson belülre</t>
  </si>
  <si>
    <t>Működési célú támogatások államháztartáson kívülre</t>
  </si>
  <si>
    <t>ÖNV</t>
  </si>
  <si>
    <t>121011503</t>
  </si>
  <si>
    <t>122514</t>
  </si>
  <si>
    <t>121011504</t>
  </si>
  <si>
    <t>121011506</t>
  </si>
  <si>
    <t>122533</t>
  </si>
  <si>
    <t>122504</t>
  </si>
  <si>
    <t>121011508</t>
  </si>
  <si>
    <t>121011507</t>
  </si>
  <si>
    <t>121001</t>
  </si>
  <si>
    <t>122503</t>
  </si>
  <si>
    <t>122518</t>
  </si>
  <si>
    <t>122558</t>
  </si>
  <si>
    <t>121002501</t>
  </si>
  <si>
    <t>122551</t>
  </si>
  <si>
    <t>2017. január 1-i tényleges nyitólétszám (fő)</t>
  </si>
  <si>
    <t>7</t>
  </si>
  <si>
    <t>Szérűskert Bölcsőde</t>
  </si>
  <si>
    <t>Kiadások összesen</t>
  </si>
  <si>
    <t xml:space="preserve"> Felújítások</t>
  </si>
  <si>
    <t>Fogyatékos személyek nappali ellátása</t>
  </si>
  <si>
    <t>KÜLSŐ FINANSZÍROZÁSI FORRÁS (hitel)</t>
  </si>
  <si>
    <t>VÁROSHÁZA HITEL</t>
  </si>
  <si>
    <t>2.12. Egyházak támogatása</t>
  </si>
  <si>
    <t>MŰKÖDÉSI KÖLTSÉGVETÉSI HIÁNY TARTALÉKOK NÉLKÜL</t>
  </si>
  <si>
    <t>2.15. Sport Kft. működési támogatása</t>
  </si>
  <si>
    <t xml:space="preserve">Kötelező feladatok </t>
  </si>
  <si>
    <t xml:space="preserve">Önként vállalt feladatok </t>
  </si>
  <si>
    <t xml:space="preserve">Államigaz-gatási feladatok </t>
  </si>
  <si>
    <t xml:space="preserve">Közfoglal. Létszám </t>
  </si>
  <si>
    <t xml:space="preserve">Kiadási előirányzat </t>
  </si>
  <si>
    <t xml:space="preserve">Ösztöndíjas fogl. Létszám </t>
  </si>
  <si>
    <t xml:space="preserve">Közfogl. létszám </t>
  </si>
  <si>
    <t xml:space="preserve">Közfoglal. létszám </t>
  </si>
  <si>
    <t xml:space="preserve">9. </t>
  </si>
  <si>
    <t>Szoftver fejlesztés</t>
  </si>
  <si>
    <t>Járműbeszerzés (közterület felügyelet részére)</t>
  </si>
  <si>
    <t>1.1. Baross Gábor utca felújítása (Posta-Harangláb között)</t>
  </si>
  <si>
    <t>1.4. Szent István utca felújítása (Harangláb-M.M.u.között)</t>
  </si>
  <si>
    <t>1.5. Forgalomtechnika megvalósítása</t>
  </si>
  <si>
    <t>4.1. Raktárvárosi úton gyalogosátkelőhely (DEPO)</t>
  </si>
  <si>
    <t>10.1. Parkosítás</t>
  </si>
  <si>
    <t>11.2. Pályázati forrásból megvalósuló fejlesztések (önrész)</t>
  </si>
  <si>
    <t xml:space="preserve">4.1. Épület energetikai felújítások </t>
  </si>
  <si>
    <t>4.2. Szérűskert Bölcsőde felújítása</t>
  </si>
  <si>
    <t xml:space="preserve">Dologi kiadások </t>
  </si>
  <si>
    <t>1.6. Érdi út ívében biztonsági szalagkorlát</t>
  </si>
  <si>
    <t>8.2. ÉTV Kft. Fejlesztési feladatai</t>
  </si>
  <si>
    <t>8.3. Tervezések</t>
  </si>
  <si>
    <t>Rendőrség épületének felújítása</t>
  </si>
  <si>
    <t xml:space="preserve">Törökbálintért közalapítvány </t>
  </si>
  <si>
    <t xml:space="preserve">Útfelújítások </t>
  </si>
  <si>
    <t>5.7. Buszmegállók beszerzése és telepítése</t>
  </si>
  <si>
    <t>3.3. Flóra utca páratlan oldalán járda felújítása a Kazinczy utca és a Széchenyi tér között</t>
  </si>
  <si>
    <t>3.4. Széchenyi tér déli oldalán az 1-9. szám közötti szakaszon (Károlyi-Damjanich utca között) járdafelújítás</t>
  </si>
  <si>
    <t>1225271</t>
  </si>
  <si>
    <t>122</t>
  </si>
  <si>
    <t>122506</t>
  </si>
  <si>
    <t>122520</t>
  </si>
  <si>
    <t>122521</t>
  </si>
  <si>
    <t>121011502</t>
  </si>
  <si>
    <t>121</t>
  </si>
  <si>
    <t>122557</t>
  </si>
  <si>
    <t>122065</t>
  </si>
  <si>
    <t>KÖT</t>
  </si>
  <si>
    <t xml:space="preserve">Ebből: -Német Önkormányzat Törökbálint támogatása </t>
  </si>
  <si>
    <t xml:space="preserve">              - "Csupaszív" Kétnyelvű Óvoda támogatása </t>
  </si>
  <si>
    <t xml:space="preserve">Tartalékok </t>
  </si>
  <si>
    <t xml:space="preserve">Vízügyi Építési Alap céltartaléka </t>
  </si>
  <si>
    <t>33.</t>
  </si>
  <si>
    <t xml:space="preserve">Kedvezményes oltás biztosítása </t>
  </si>
  <si>
    <t>TNÖ  támogatása</t>
  </si>
  <si>
    <r>
      <t>Német Önkormányzat Törökbálint</t>
    </r>
    <r>
      <rPr>
        <b/>
        <strike/>
        <sz val="11"/>
        <rFont val="Calibri"/>
        <family val="2"/>
        <charset val="238"/>
      </rPr>
      <t xml:space="preserve"> </t>
    </r>
    <r>
      <rPr>
        <b/>
        <sz val="11"/>
        <rFont val="Calibri"/>
        <family val="2"/>
        <charset val="238"/>
      </rPr>
      <t xml:space="preserve"> támogatása </t>
    </r>
  </si>
  <si>
    <t>GFT fejlesztési feladatai</t>
  </si>
  <si>
    <t xml:space="preserve">Egyéb felújítás </t>
  </si>
  <si>
    <t>1.2. Munkácsy Mihály utca II.ütem (Alsóerdősor és a Szent István u. között)</t>
  </si>
  <si>
    <t>1.3. Dózsa György utca I. ütem tervezése (M.M.u.-Rácz tér)</t>
  </si>
  <si>
    <t>1.7. Felsővár utca fejlesztése (árokfedés, részleges árokfedés, parkolósáv kialakítás)</t>
  </si>
  <si>
    <t>5.4. József Attila utca parkoló kialakítása (Temető köz és Baross u.  között)</t>
  </si>
  <si>
    <t xml:space="preserve">Csapadékvíz elvezetési munkák és közművek </t>
  </si>
  <si>
    <t>3.1. Dózsa György utca  járdafelújítása (Rác tér és Tüskevár köz között)</t>
  </si>
  <si>
    <t>3.2. Széles utcai járda felújítása a Kerekdomb és a Határ utca között (páros oldalon)</t>
  </si>
  <si>
    <t xml:space="preserve">Engedélye-zett létszám </t>
  </si>
  <si>
    <t>Középületek energetikai körszerűsítése (KEHOP pályázat)</t>
  </si>
  <si>
    <t>4.3. Norvég Alap pályázat végrehajtása</t>
  </si>
  <si>
    <t>121011523</t>
  </si>
  <si>
    <t>122564</t>
  </si>
  <si>
    <t>1210115081-2</t>
  </si>
  <si>
    <t xml:space="preserve">Eng. létszám </t>
  </si>
  <si>
    <t xml:space="preserve">Közfogl. Létszám </t>
  </si>
  <si>
    <t xml:space="preserve">Ösztöndíjas fogl. létszám </t>
  </si>
  <si>
    <t>121011526</t>
  </si>
  <si>
    <t>4.4. Walla Óvoda tetőfedésének cseréje</t>
  </si>
  <si>
    <t xml:space="preserve">3.6. József Attila utca 158 fm járda javítás </t>
  </si>
  <si>
    <t xml:space="preserve">Engedélyezett létszám eredeti ei. </t>
  </si>
  <si>
    <t>Jelzőrendszeres házi segítségnyújtás, támogató szolgálat</t>
  </si>
  <si>
    <t>VOLÁN támogatása</t>
  </si>
  <si>
    <t xml:space="preserve">VOLÁN támogatása </t>
  </si>
  <si>
    <t>122512</t>
  </si>
  <si>
    <t>122509</t>
  </si>
  <si>
    <t>122523</t>
  </si>
  <si>
    <t>122/122528</t>
  </si>
  <si>
    <t>122554</t>
  </si>
  <si>
    <t>122561-611/122577</t>
  </si>
  <si>
    <t>122569</t>
  </si>
  <si>
    <t>122571</t>
  </si>
  <si>
    <t>122574</t>
  </si>
  <si>
    <t>1210115022</t>
  </si>
  <si>
    <t>1210115081</t>
  </si>
  <si>
    <t>121011518</t>
  </si>
  <si>
    <t>121011519</t>
  </si>
  <si>
    <t>121011522</t>
  </si>
  <si>
    <t>121011524</t>
  </si>
  <si>
    <t>121011701</t>
  </si>
  <si>
    <t>122720, 121011706</t>
  </si>
  <si>
    <t>122525</t>
  </si>
  <si>
    <t>Városrendészet (közterület-felügyelet)</t>
  </si>
  <si>
    <t>Városrendészet (mezei őrszolgálat)</t>
  </si>
  <si>
    <t>Hosszú lejáratú hitel, kölcsön felvétele 2018-as engedélyeztetéssel</t>
  </si>
  <si>
    <t xml:space="preserve">2.17. Pályázati forrásból megvalósuló beruházásokhoz önerő </t>
  </si>
  <si>
    <t>121011527</t>
  </si>
  <si>
    <t>Városgondnokság városgazdálkodási kiadásai</t>
  </si>
  <si>
    <t>2.11. Keresetkiegészítés önkormányzati dolgozóknak</t>
  </si>
  <si>
    <r>
      <t>3.4. Gyalogos közlekedés céljára burkolat kialakítása Károlyi-Damjanich u. és a</t>
    </r>
    <r>
      <rPr>
        <strike/>
        <sz val="11"/>
        <rFont val="Arial"/>
        <family val="2"/>
        <charset val="238"/>
      </rPr>
      <t xml:space="preserve"> </t>
    </r>
    <r>
      <rPr>
        <sz val="11"/>
        <rFont val="Arial"/>
        <family val="2"/>
        <charset val="238"/>
      </rPr>
      <t>Dulácska u. között. (Auchan összekötő)</t>
    </r>
  </si>
  <si>
    <t>5.8 "Sziget rendezése"</t>
  </si>
  <si>
    <t>5.1. Átkötő út (Városi főtér) kialakítása</t>
  </si>
  <si>
    <t>Elöző évekről egyéb áthúzódó tételek</t>
  </si>
  <si>
    <t>köt</t>
  </si>
  <si>
    <t>Sport Kft. Működtetése</t>
  </si>
  <si>
    <t>3.7. Köztársaság tér-Blaha sarok 5,4 m2 járdaép.</t>
  </si>
  <si>
    <t>3.5. Járdaprogram II. műszaki ellenőrzése (Kossuth, Bartók, Dózsa) és KB eljárás</t>
  </si>
  <si>
    <t>3.8. Kisfaludy u járdafelújítás (Széles u.-Bajor G. u. között)</t>
  </si>
  <si>
    <t>3.9. Temető kerítés áthelyezési munkák; Auchan parkoló torkolati kanyarív átépítése</t>
  </si>
  <si>
    <t>1.9. Bartók Béla - Baross Gábor utcák csomópontjában kiskorrekció</t>
  </si>
  <si>
    <t>1.10. Bajcsy Zs. -M7 felhajtó, csomópont tervezése</t>
  </si>
  <si>
    <t>1.11. Őrház utca körforgalom, kétirányúsítás tervezés</t>
  </si>
  <si>
    <t>2.1. Városháza kialakítása</t>
  </si>
  <si>
    <t>2.2. Hulladékudvaron melegedő, (öltöző, fűtött műhely stb.) kialakítása</t>
  </si>
  <si>
    <t>3.1. Szív utca járdafelújítás</t>
  </si>
  <si>
    <t>3.2. Táncsics M. utca járdafelújítás</t>
  </si>
  <si>
    <t xml:space="preserve">5.1. Józsefhegy utca felújítása </t>
  </si>
  <si>
    <t xml:space="preserve">5.2. Madách utca felújítása </t>
  </si>
  <si>
    <t>5.3. Vasút utca felújítása</t>
  </si>
  <si>
    <t xml:space="preserve">5.5. Térfigyelő rendszer fejlesztése </t>
  </si>
  <si>
    <t xml:space="preserve">       8.1.1. Szent István utca 29-57 között vízelvezetése</t>
  </si>
  <si>
    <t>8.4. Tükörhegyi csapadékvíz levezetésének tervezése</t>
  </si>
  <si>
    <t>8.5. Dózsa György u. vízvezeték gerinchálózat kiváltás (Tüskevár köz és Rác tér között)</t>
  </si>
  <si>
    <t>11.1. Pistályfelső vízellátásának megvalósítása</t>
  </si>
  <si>
    <t>8</t>
  </si>
  <si>
    <t>3. Gazdasági szervezettel nem rendelkező költségvetési szervek</t>
  </si>
  <si>
    <t>3/1.</t>
  </si>
  <si>
    <t>3/2.</t>
  </si>
  <si>
    <t>3/3.</t>
  </si>
  <si>
    <t>3/4.</t>
  </si>
  <si>
    <t>3/5.</t>
  </si>
  <si>
    <t>3/6.</t>
  </si>
  <si>
    <t>3/7.</t>
  </si>
  <si>
    <t>3/8.</t>
  </si>
  <si>
    <t>Könyvtári állomány gyarapítása feladat kiadásai</t>
  </si>
  <si>
    <t>Könyvtári állomány gyarapítása, nyilvántartása feladat kiadásai</t>
  </si>
  <si>
    <t>5.2. Géza fejedelem Park ("Nádastó Park") kialakítása, kisajátítás, kivitelezés megkezdése /kisajátítás/</t>
  </si>
  <si>
    <t>2018. évi eredeti előirányzat</t>
  </si>
  <si>
    <t xml:space="preserve">11.2. Egyéb eszközbeszerzések </t>
  </si>
  <si>
    <t xml:space="preserve">11.3. Alsóerdősor utcai sportpálya beruházási kiadásai </t>
  </si>
  <si>
    <t xml:space="preserve">Választás </t>
  </si>
  <si>
    <t>II/42</t>
  </si>
  <si>
    <t xml:space="preserve">3.5.Felhalmozási c. garancia- és kezességváll-ból szárm. megtér.  Államháztartáson kivülről  </t>
  </si>
  <si>
    <t xml:space="preserve">BMI és Sportközpont garanciális munkáira </t>
  </si>
  <si>
    <t xml:space="preserve">2.4. Bálint Márton iskola épületének (Óvoda u.) garanciális javítása
</t>
  </si>
  <si>
    <t xml:space="preserve">Egyéb felhalmozási célú tám. ÁH belülre </t>
  </si>
  <si>
    <t xml:space="preserve">Egyéb fellhalmozási célú támogatások ÁH belül </t>
  </si>
  <si>
    <t>2018. 06.30-i teljesítés</t>
  </si>
  <si>
    <t>DOLOGI (ÁFA stb)</t>
  </si>
  <si>
    <t>DOLOGI</t>
  </si>
  <si>
    <t>Működési célú támogatáok államháztartáson kívülre</t>
  </si>
  <si>
    <t>1.4. Államháztartáson belüli megelőlegezés</t>
  </si>
  <si>
    <t>1.2. Államháztartáson belüli megelőlegezés</t>
  </si>
  <si>
    <t xml:space="preserve">Elszámolásból származó bevételek </t>
  </si>
  <si>
    <t xml:space="preserve">4.2. Zimándy Iskola mosdó felújítás </t>
  </si>
  <si>
    <t>1.12. Úthálózat fejlesztése Tb. Anna-hegyen (ZP-1-2017)</t>
  </si>
  <si>
    <t>ŐNV</t>
  </si>
  <si>
    <t>122583</t>
  </si>
  <si>
    <t>3.3. Járdafelújítás (BMÖFT/7-1/2018 pályázat)</t>
  </si>
  <si>
    <t xml:space="preserve">2.5. Új bölcsőde tervezése, építése
</t>
  </si>
  <si>
    <t>121011530</t>
  </si>
  <si>
    <t xml:space="preserve">Engedélyezett létszám módosított ei. </t>
  </si>
  <si>
    <t xml:space="preserve">2018. év </t>
  </si>
  <si>
    <t>2018. évi módosított előirányzat - 4.</t>
  </si>
  <si>
    <t xml:space="preserve">8.6. Kazinczy u. 62-64. előtti járda víztelenítése </t>
  </si>
  <si>
    <t>2.6. Köztársaság tér 8-9. átépítése</t>
  </si>
  <si>
    <t>5.9. Sportpark és futókör kialakítása</t>
  </si>
  <si>
    <t>2.3. Temető búcsúztatóház építési eng,terve+kerítés áthelyezés</t>
  </si>
  <si>
    <t>1.8. Virágos utca útépítése (tervezés, kártalanítás, útstabilizálás)</t>
  </si>
  <si>
    <t>2018. évi várható teljesítés</t>
  </si>
  <si>
    <t>2019. évi eredeti előirányzat</t>
  </si>
  <si>
    <t>2019. évi módosított előirányzat - 1.</t>
  </si>
  <si>
    <t xml:space="preserve">KAB-ME-18-KMR pályázat </t>
  </si>
  <si>
    <t>3/7. Szérűskert Bölcsőde</t>
  </si>
  <si>
    <t>2019. évi módosított előirányzat - 2.</t>
  </si>
  <si>
    <t>2019. évi módosított előirányzat - 3.</t>
  </si>
  <si>
    <t>2019. évi módosított előirányzat - 4.</t>
  </si>
  <si>
    <t>3/8. Törökbálinti Városgondnokság</t>
  </si>
  <si>
    <t>Egyéb működési célú kiadások (elvonások)</t>
  </si>
  <si>
    <t>3/6. Segítő Kéz Szolgálat</t>
  </si>
  <si>
    <t>3/5. Volf György Könyvtár és Helytörténeti Gyűjtemény</t>
  </si>
  <si>
    <t>3/4. Munkácsy Mihály Művelődési Ház</t>
  </si>
  <si>
    <t>3/3. Törökbálinti Bóbita Óvoda</t>
  </si>
  <si>
    <t>3/2. Törökbálinti Nyitnikék Óvoda</t>
  </si>
  <si>
    <t>3/1. Walla József Óvoda</t>
  </si>
  <si>
    <t>2018. évi módosított előirányzat - 5.</t>
  </si>
  <si>
    <t>Államháztartáson belüli megelőlegezés</t>
  </si>
  <si>
    <t>Fejlesztési projekt feladatok</t>
  </si>
  <si>
    <t>I/35</t>
  </si>
  <si>
    <t>Egyéb fejlesztési projekt feladatok</t>
  </si>
  <si>
    <t>sorszám</t>
  </si>
  <si>
    <t>projekt kód</t>
  </si>
  <si>
    <t>Eredeti előirányzat</t>
  </si>
  <si>
    <t>Indokolás</t>
  </si>
  <si>
    <t>Őrház utca kétirányúsítás és körforgalom tervezése</t>
  </si>
  <si>
    <t>Tervezés</t>
  </si>
  <si>
    <t>közbeszerzési eljárás során kötendő szerződés 2019ben</t>
  </si>
  <si>
    <t>Közbeszerzés lebonyolítása</t>
  </si>
  <si>
    <t>Madách utca felújítása</t>
  </si>
  <si>
    <t>Útfelújítás</t>
  </si>
  <si>
    <t>Település forgalomtechnikai átalakítása</t>
  </si>
  <si>
    <t>Kivitelezés I.ütem</t>
  </si>
  <si>
    <t>Testületi határozat szerint</t>
  </si>
  <si>
    <t>Katona József utca</t>
  </si>
  <si>
    <t>További 5 db párna lerakása vagy virágládákkal, pollerekkel kell kiegészíteni a meglévő, 1 db párnákat. Az 1 db-ban meghatározott forgalomlassító párnákat a padka igénybevételével kikerülik, erősen erodálva a padkát.</t>
  </si>
  <si>
    <t>Ida majorba vezető út karbantartása</t>
  </si>
  <si>
    <t>Kivitelezés</t>
  </si>
  <si>
    <t>Teljes útfeleület 30 %-nak javítása kőzúzalékkal, hengerléssel</t>
  </si>
  <si>
    <t>Dózsa György utca felújítása (Rác tér - Tüskevár köz)</t>
  </si>
  <si>
    <t xml:space="preserve">460fm út Aszfalt kopóréteg készítése, szegélyépítéssel (10MFt), 4,5m szélességgel (30mFt), </t>
  </si>
  <si>
    <t>Belterületi és külterületi szilárd és nem szilárd burkolatú utak javítása</t>
  </si>
  <si>
    <t>Kv-ben nem a fejlesztési vagy felújítási előirányzatokhoz való</t>
  </si>
  <si>
    <t>Település teljes területén, alapvetően hengerelt aszfalttal történő útjavítás előreláthatólag legalább 150 hibahelyen különféle kiterjedésben
2018 évi közbeszerzés alapján évente 45.000.000.-Ft szükséges</t>
  </si>
  <si>
    <t>Lakossági forrás bevonásával megvalósuló utak fejlesztése üdülő/külterületeken</t>
  </si>
  <si>
    <t>A település teljes területén havaria munkák elvégzése (út/csapadék)</t>
  </si>
  <si>
    <t>Előre nem látható közterületen keletkezett hibák javítása</t>
  </si>
  <si>
    <t>270 m Kazinczy u. és Széles u. között</t>
  </si>
  <si>
    <t>Bölcsőde építése</t>
  </si>
  <si>
    <t>támogatás 400.000.000.-, (támogatás 50%-a előlegként igényelhető) saját forrás összesen 294.987.981.-, befejezés 2020.09.01.</t>
  </si>
  <si>
    <t>Műszaki ellenőrzés</t>
  </si>
  <si>
    <t>PM_BOLCSODEFEJLESZTES_2018 beadandó projekt összeállítása, beadása, koordinálása</t>
  </si>
  <si>
    <t>Bóbita óvoda (Árpád utca)</t>
  </si>
  <si>
    <t>Fűtés és hűtés kialakítása/megoldása</t>
  </si>
  <si>
    <t>Bóbita óvoda (Bajcsy-Zs.u.)</t>
  </si>
  <si>
    <t>Javítások, beszerzések vegyesen</t>
  </si>
  <si>
    <t>Walla József óvoda</t>
  </si>
  <si>
    <t>Nyitnikék óvoda</t>
  </si>
  <si>
    <t>Csupaszív óvoda</t>
  </si>
  <si>
    <t>Zimándy Iskola</t>
  </si>
  <si>
    <t>Mosdó-felújítások folytatása</t>
  </si>
  <si>
    <t>(I.em.lány vizesblokk 7,2mFt)</t>
  </si>
  <si>
    <t>Bálint Márton Iskola (Köztársaság tér)</t>
  </si>
  <si>
    <t>Bálint Márton Iskola játszótér eszközök és burkolat felújítása</t>
  </si>
  <si>
    <t>Érdi tankerületi Központtal együtt közösen, össz.10mFt-os munka</t>
  </si>
  <si>
    <t>Bálint Márton Iskola (Óvoda utca)</t>
  </si>
  <si>
    <t>Felét a tankerülettől igényelni</t>
  </si>
  <si>
    <t>bevételi oldalon is szerepeltetni</t>
  </si>
  <si>
    <t>Közterületek / területek</t>
  </si>
  <si>
    <t>Belső városi tó kialakítása (Géza f.u.mellett)</t>
  </si>
  <si>
    <t>Tervezői művezetés</t>
  </si>
  <si>
    <t>Géza fejedelem park</t>
  </si>
  <si>
    <t xml:space="preserve">2066/1 hrsz, kisajátítás kártalanítási összeg miatti perben jövőre várható ítéletre számítva, Az ítélet meghozataláig nem lehet pontos számot mondani, de a jelenleg ismert, a bíróság által kirendelt szakértő által készített értékbecslés 76.000.000Ft-ról szól. </t>
  </si>
  <si>
    <t>Temető</t>
  </si>
  <si>
    <t>Kivitelezés I. ütem</t>
  </si>
  <si>
    <t>Temető I. ütem kiv. Megkezdése, parcella kitűzés, hársfasor ültetése</t>
  </si>
  <si>
    <t>Temetőbővítés-urnafal építéshez kőfaragó munkák</t>
  </si>
  <si>
    <t>A már megkötött kerítésépítés szerződés mellé ez csak a kőfaragó munkákra vonatkozik.</t>
  </si>
  <si>
    <t>Térfigyelő rendszer fejlesztése</t>
  </si>
  <si>
    <t>Ida major fejlesztés, 2 db kamera</t>
  </si>
  <si>
    <t>Meglévő hálózat fejlesztése belterületen</t>
  </si>
  <si>
    <t>Piac kialakítás</t>
  </si>
  <si>
    <t>Pályázati önrész: 33.528.000.-</t>
  </si>
  <si>
    <t>Járda javítások a településen</t>
  </si>
  <si>
    <t>Klf. Szerkezetű járdák javítása cca. 300 m2 felületen</t>
  </si>
  <si>
    <t>Köztársaság tér járda pollerezés</t>
  </si>
  <si>
    <t>Báthori utca járda javítása</t>
  </si>
  <si>
    <t>435m</t>
  </si>
  <si>
    <t>Petőfi s.u.járda javítása</t>
  </si>
  <si>
    <t>előirányzatot emelni</t>
  </si>
  <si>
    <t>~500m</t>
  </si>
  <si>
    <t xml:space="preserve">310 m </t>
  </si>
  <si>
    <t>Csapadékvízelvezetések</t>
  </si>
  <si>
    <t>Patak zártszelvény felújítása, Munkácsy Mihály utca I-III. ütem alatt</t>
  </si>
  <si>
    <t>Meglévő hálózat hibáinak javítása</t>
  </si>
  <si>
    <t>Károlyi utca csapadékvízelvezetés felújítása</t>
  </si>
  <si>
    <t>Szakaszhatár: játszótér és a Kinizsi utca között (300 fm)</t>
  </si>
  <si>
    <t>Hunyadi utca árok felújítása</t>
  </si>
  <si>
    <t>Józsefhegyi utca csapadékvíz elvezetés tervezése</t>
  </si>
  <si>
    <t>30 m rácsos folyóka építése (500 mm)</t>
  </si>
  <si>
    <t>Rác tér csapadékvíz-elvezető rendszer felbővítése</t>
  </si>
  <si>
    <t>Kádár Komplexnek engedélyes terve volt rá. A Dózsa György utcai felújításhoz elengedhetetlen</t>
  </si>
  <si>
    <t>Kossuth Lajos utca I. ütem csapadékvíz elvezetés</t>
  </si>
  <si>
    <t>Közművek</t>
  </si>
  <si>
    <t>VII.</t>
  </si>
  <si>
    <t>Zöldterületi, környezetvédelmi fejlesztések</t>
  </si>
  <si>
    <t>Erdőterületek</t>
  </si>
  <si>
    <t>Karbantartások</t>
  </si>
  <si>
    <t>Utak tisztítása, csapadékvízelvezetők tisztítása, javítása, műtárgyak karbantartása. Eddig a Környezetvédelmi Alap terhére történtek ezek a munkálatok. Elsősorban a benőtt utak takarítása, a feltöltődött csapadékvízelvezetők tisztítása jelent rendszeres költséget, de a tornapálya elemek, a tanösvény táblák, a madármegfigyelő állomás és a pihenők bútorzata is igényel minden évben karbantartást.</t>
  </si>
  <si>
    <t>Jóléti fejlesztések</t>
  </si>
  <si>
    <t>Tornapálya bővítés, ismeretterjesztő műtárgyak elhelyezése, madáretetők cseréje, és további, a jóléti célokat elősegítő erdei fejlesztések. (Környezetvédelmi Alap)  Az erdőben a rekreációs célokat szolgáló területek fejlesztésével hozzájárulunk a lakosság pihenő-idejének hasznos eltöltéséhez, egészségéhez, valamint funkciókkal látva el egyes területeket elvonhatók az emberek azokról az erdei területekről, ahol az élővilág védelme érdekében kerülendő az emberi jelenlét.</t>
  </si>
  <si>
    <t>Tétényi fensík</t>
  </si>
  <si>
    <t>Oktatás-nevelési célú feladatok</t>
  </si>
  <si>
    <t xml:space="preserve">Tematikus nap lebonyolítása az összes törökbálinti 3. évfolyamos osztály részére. Helyszín előkészítése, busz szervezése, segédanyagok elkészítése, lebonyolító állatmenhely támogatása          </t>
  </si>
  <si>
    <t>Város egész területe</t>
  </si>
  <si>
    <t>Növénytelepítések</t>
  </si>
  <si>
    <t>Tavaszi-őszi fásítások, kivágott fák pótlása, kisebb zöldfelületi igények kiszolgálása</t>
  </si>
  <si>
    <t>Illegális szemétlerakatok felszámolása</t>
  </si>
  <si>
    <t>Konténerek rendelése, szemétszedési akciók szervezése, megelőzéshez szükséges munkák (sorompó telepítések, árkolások, sáncolások)</t>
  </si>
  <si>
    <t>Megkezdett kerékpárhálózat befejezése</t>
  </si>
  <si>
    <t xml:space="preserve">Kiviteli tervek, kivitelezés (burkolati jelek felfestése, táblázása). Évekig folyamatosan történt kerékpárhálózati fejlesztés utolsó szakasza elmaradt. Az eredeti koncepció megvalósítására Képviselő-testületi határozat van, ennek ellenére a 2018-as költségvetés nem biztosított forrást az utolsó szakasz megvalósítására. Ha az utolsó szakasz is felfestésre kerül, akkor teljessé válik az eredeti koncepció szerinti belterületi hálózat, mely a város igényeihez igazodva mérsékelt fejlesztési összegből biztosítja a kerékpáros közlekedés biztonságát a településen. </t>
  </si>
  <si>
    <t>Kényszerkaszálás</t>
  </si>
  <si>
    <t>Parlagfű- és allergén gyommentesítés, államigazgatási hatósági ügyekben keletkező költség.</t>
  </si>
  <si>
    <t>Gondozatlan közterület kaszálása (közterületi parlagfű is)</t>
  </si>
  <si>
    <t xml:space="preserve">2018-ban több közterületi parlagfüves eset miatt kapott az önkormányzat bírságot, mert a parlagfüves eljárásokban helyrajziszám alapján azonosítják be a tulajdonosokat. Igaz a helyi rendelet szerint szabályozva van, hogy a magánterület melletti közterületet hogyan kell karbantartani, de ha ennek nem tudunk érvényt szerezni, akkor a Járási hivatal az ellenőrzései alkalmával a tulajdonosra, vagyis az önkormányzatra ró ki bírságot jogosan, amit nem tudunk tovább terhelni. A helyi rendelet szerint nem a városgondnokság kaszálja ezeket a területeket, csak azt, ami nekik be van tervezve, de ezek az esetek nem tervezhetők. A kényszerkaszálás a fent írtak miatt nem lehetséges, de ugyanazzal a kényszerkaszálóval kötnénk egy másik szerződést az elhanyagolt közterületekre. A költségekre egy adott alapösszegre van szükség kezdetben, amelynek a folyamatos pótlását a bírságok bevétele biztosítaná.                </t>
  </si>
  <si>
    <t>Átkötő út</t>
  </si>
  <si>
    <t>Parkosítás</t>
  </si>
  <si>
    <t>Növénytelepítés és vízkivételi helyek kialakítása kézi öntözéshez. Talajcsere 100m3, faültetés (25db) talajjavítással, cserjeültetés 1290 db, vízkivételi helyek kialakítása 3 db)</t>
  </si>
  <si>
    <t>Munkácsy 79.</t>
  </si>
  <si>
    <t>VIII.</t>
  </si>
  <si>
    <t>Vagyongazdálkodás</t>
  </si>
  <si>
    <t>Munkácsy M. u. 44., 46., 50.</t>
  </si>
  <si>
    <t>15/1, 16/1, 18/1 hrsz tényleges kiürítése érdekében szükséges intézkedések.A városközpont fejleszthetősége érdekében szükséges mozgásteret biztosítani az érintett ingatlanok rendezése érdekében. A tavalyi keretből 2 „új” lakáshoz jutottunk. A Munkácsy 46-ból 5 bérlőt (és családtagjaikat) kell elhelyezni, a Munkácsy 44-ben 8-10 „potenciális hajléktalan” sorsa megoldatlan, mert nem jogosultjai a kisajátítási kártalanításnak vagy, ha örökösök (leendő jogosultak), a kártalanítás pénzösszege sokfelé oszlik, mértéke hosszú távú lakhatási lehetőség megoldására elégtelen.</t>
  </si>
  <si>
    <t>Árpád u. 21.</t>
  </si>
  <si>
    <t>2191/5 hrsz, ~50-60m2 lakóház használatra alkalmassá tétele, felújítása/átalakítása</t>
  </si>
  <si>
    <t>Hegyalja u., Lovarda és gombapince</t>
  </si>
  <si>
    <t>nagy értékű önkormányzati tulajdonok (9001, 9002, 90013 hrsz) és beékelődött magántulajdonú ingatlanok (0166/3, 0166/14 hrsz), teljes felmérés és vagyonértékelés a rendezetlen - önkormányzat számára előnytelen - bérleti és tulajdoni viszonyok tisztázása érdekében (~7 hektár területen föld feletti és alatti létesítmények tömegével!)</t>
  </si>
  <si>
    <t>Pistály, Hangár köz</t>
  </si>
  <si>
    <t>az épület kiürítése után műszaki szakvélemények alapján állagmegóvás / használatra alkalmassá tétel / bontás?</t>
  </si>
  <si>
    <t>Dulácska tó</t>
  </si>
  <si>
    <t>169/2014. (V.22.) ÖK határozattal 350.000 Ft-os vételi ajánlat tett az önkormányzat, de lehet, hogy ennél jóval magasabb összeget kér az NFA. Ma már 15 mFt-ig polgármesteri hatáskör a vétel, ill. kisajátítás is elképzelhető (testületi hatáskör).</t>
  </si>
  <si>
    <t>Kazinczy u. 1. kerítés építés</t>
  </si>
  <si>
    <t>Fogyatékos személyeK nappali ellátása</t>
  </si>
  <si>
    <t>Díjak, pótlékok, bírságok, települési adók</t>
  </si>
  <si>
    <t>Immateriális javak, ingatlanok és egyéb tárgyi eszközök értékesítése</t>
  </si>
  <si>
    <t>Részesedések értékesítése és részesedések megszüntetéséhez kapcsolódó bevételek</t>
  </si>
  <si>
    <t>Privatizációbol származó bevételek</t>
  </si>
  <si>
    <t>Garancia- és kezességvállalásból származó megtérülések</t>
  </si>
  <si>
    <t>Saját bevételek (01+…+07)</t>
  </si>
  <si>
    <t>Hitelből eredő fizetési kötelezettség</t>
  </si>
  <si>
    <t>Kölcsönből eredő fizetési kötelezettség</t>
  </si>
  <si>
    <t>Hitelviszonyt megtestesítő értékpapírból eredő fizetési kötelezettség</t>
  </si>
  <si>
    <t>Adott váltóból eredő fizetési kötelezettség</t>
  </si>
  <si>
    <t>Pénzügyi lízingből eredő fizetési kötelezettség</t>
  </si>
  <si>
    <t>Halasztott fizetés, részletfizetés fizetési kötelezettsége</t>
  </si>
  <si>
    <t>Szerződésben kikötött visszavásárlási kötelezettség</t>
  </si>
  <si>
    <t>Kezesség-, és garanciavállalásból eredő fizetési kötelezettség</t>
  </si>
  <si>
    <t>Előző év(ek)ben keletkezett fizetési kötelezettség (11+…+18)</t>
  </si>
  <si>
    <t>Tárgyévben keletkezett, illetve keletkező, tárgyévet terhelő fizetési kötelezettség (20+…+27)</t>
  </si>
  <si>
    <t>Fizetési kötelezettség összesen (10+19)</t>
  </si>
  <si>
    <t>Fizetési kötelezettséggel csökkentett saját bevétel (09-28)</t>
  </si>
  <si>
    <t>Határ utca felújítása</t>
  </si>
  <si>
    <t>Köztársaság téri 1. épület átalakítása</t>
  </si>
  <si>
    <t>Köztársaság téri 2. épület átalakítása</t>
  </si>
  <si>
    <t>Könyvtár átkötő rész javítása</t>
  </si>
  <si>
    <t>Játszótér felújítási program</t>
  </si>
  <si>
    <t>Járdák felújítása</t>
  </si>
  <si>
    <t>Csapadékvíz elvezetés kiépítésének pályázati önrésze Anna hegyen</t>
  </si>
  <si>
    <t>Vízkárelhárítási feladatok végrehajtása</t>
  </si>
  <si>
    <t>Tarttalékok</t>
  </si>
  <si>
    <t>Majális, nemzeti ünnepek szervezése, lebonyolítása</t>
  </si>
  <si>
    <t>,</t>
  </si>
  <si>
    <t>Projektfeladatok, fejlesztések</t>
  </si>
  <si>
    <t>Intézmények fejlesztései/felújításai</t>
  </si>
  <si>
    <t>Betétek lekötése</t>
  </si>
  <si>
    <t>Dologi kiadások K3</t>
  </si>
  <si>
    <t>Beruházások K6</t>
  </si>
  <si>
    <t>Felújítások K7</t>
  </si>
  <si>
    <t xml:space="preserve">Focipálya épület felújítása </t>
  </si>
  <si>
    <t>Balassy Bálint u – Jurasits u – Szondi utca, Rácsos folyóka</t>
  </si>
  <si>
    <t>egyéb feladatok</t>
  </si>
  <si>
    <t>IX.</t>
  </si>
  <si>
    <t>Intézmények beruházásai/fejlesztései</t>
  </si>
  <si>
    <t>ÖNKORMÁNYZATI FEJLESZTÉSEK ÖSSZESEN</t>
  </si>
  <si>
    <t>FEJLESZTÉSEK ÖSSZESEN</t>
  </si>
  <si>
    <t>3.1. Helyi értékvédelemmel kapcsolatos feladatok</t>
  </si>
  <si>
    <t>Vízügyi Építési Alap céltartaléka</t>
  </si>
  <si>
    <t>2020. évi eredeti előirányzat</t>
  </si>
  <si>
    <t>VG</t>
  </si>
  <si>
    <t xml:space="preserve">2020. évi bevételi előirányzat </t>
  </si>
  <si>
    <t xml:space="preserve">2020. évi kiadási előirányzat  </t>
  </si>
  <si>
    <t>2020. évi bevételi előirányzat</t>
  </si>
  <si>
    <t>2020. évi kiadási előirányzat</t>
  </si>
  <si>
    <t>2020. évi eredeti  előirányzat</t>
  </si>
  <si>
    <t xml:space="preserve">2019. évi módosított előirányzat </t>
  </si>
  <si>
    <t>Adatok forintban</t>
  </si>
  <si>
    <t>Pályázatok</t>
  </si>
  <si>
    <t>180/2017.(IX.21.)ÖK</t>
  </si>
  <si>
    <t>Egyéb településüzemeltetési feladatok (projektek)</t>
  </si>
  <si>
    <t>38.</t>
  </si>
  <si>
    <t>Idősek tanácsa</t>
  </si>
  <si>
    <t>39.</t>
  </si>
  <si>
    <t>Önkormányzatiság 30 éves jubileuma</t>
  </si>
  <si>
    <t>40.</t>
  </si>
  <si>
    <t xml:space="preserve">Eredeti előirányzat </t>
  </si>
  <si>
    <t>nettó</t>
  </si>
  <si>
    <t>HÉSZ módosítása, egyéb szellemi termék főépítészi feladat keretében</t>
  </si>
  <si>
    <t>csapadékvíz gyűjtéshez edények</t>
  </si>
  <si>
    <t>Új bölcsőde építése</t>
  </si>
  <si>
    <t xml:space="preserve">Piac kialakítása </t>
  </si>
  <si>
    <t xml:space="preserve">Csupaszív óvoda bővítése (tornaterem) </t>
  </si>
  <si>
    <t xml:space="preserve">Városgondnokság telepén sótároló tervezése, kivitelezése </t>
  </si>
  <si>
    <t xml:space="preserve">Térfigyelő rendszer fejlesztése </t>
  </si>
  <si>
    <t>Bóbita óvoda (Bajcsy-Zs. u.)</t>
  </si>
  <si>
    <t>Lakossági forrás bevonásával megvalósuló útfejlesztések</t>
  </si>
  <si>
    <t>Beruházások összesen:</t>
  </si>
  <si>
    <t>Felújítások összesen:</t>
  </si>
  <si>
    <t>szelektív hulladék gyűjtő edények</t>
  </si>
  <si>
    <t>Közlekedési koncepció-1. Állapotfelmérés</t>
  </si>
  <si>
    <t>Közlekedési koncepció-2. Közúti biztonsági felülvizsgálat</t>
  </si>
  <si>
    <t>Útjavítások (keret)</t>
  </si>
  <si>
    <t>Gépjárművek beszerzése (Unimog, teherautó, gépkocsi) lízing keretében. Elektromos autó közterületen  lévő növények  locsolásához</t>
  </si>
  <si>
    <t>Fejlesztési céltartalék</t>
  </si>
  <si>
    <t>Anna hegy</t>
  </si>
  <si>
    <t>Mesél a múlt - Törökbálinti pórtrék című kötet megjelenítése</t>
  </si>
  <si>
    <t>II/43</t>
  </si>
  <si>
    <t>Idősek Tanácsa</t>
  </si>
  <si>
    <t>II/44</t>
  </si>
  <si>
    <t>41.</t>
  </si>
  <si>
    <t>Kötet megjelenítése (Mesél a múlt)</t>
  </si>
  <si>
    <t xml:space="preserve">Egyéb felhalmozási célú kiadások </t>
  </si>
  <si>
    <t>Egyéb felhalmozási kiadások</t>
  </si>
  <si>
    <t>Önkormányzat fejlesztései összesen:</t>
  </si>
  <si>
    <t xml:space="preserve">7. </t>
  </si>
  <si>
    <t>2.18. Helyi esélyegyenlőségi program 8/2019.(I.21.) ÖK</t>
  </si>
  <si>
    <t>Felhalmozási célú támogatások államháztartáson kívülre</t>
  </si>
  <si>
    <t>Társadalombiztosítás pénzügyi alapjaiból (NEAK támogatás)</t>
  </si>
  <si>
    <t>Walla óvoda felújítási keret</t>
  </si>
  <si>
    <t>Nyitnikék óvoda felújítási keret</t>
  </si>
  <si>
    <t>Walla óvoda udvari gumiburkolat és eszközök felújítása</t>
  </si>
  <si>
    <t>Könyvtár ívóvíz vízvezeték hálózatának részleges cseréje</t>
  </si>
  <si>
    <t>Intézményi beruházások összesen:</t>
  </si>
  <si>
    <t>111/2017. (V. 25.) ÖK határozat - Szabadság tér - Liba kompozíció</t>
  </si>
  <si>
    <t>2020. év</t>
  </si>
  <si>
    <t>2020. január 1-i tényleges nyitólétszám (fő)</t>
  </si>
  <si>
    <t>Egyéb közmű felújítás</t>
  </si>
  <si>
    <t>Vízügyi Építési Alap céltartalék terhére végzett felújítások</t>
  </si>
  <si>
    <t xml:space="preserve"> Magyarország gazdasági stabilitásáról szóló 2011. évi CXCIV törvény 8. § (2) bekezdése szerinti adósságot keletkeztető ügyletek és a kezességvállalásokból fennálló kötelezettségek </t>
  </si>
  <si>
    <t>2020. évben</t>
  </si>
  <si>
    <t>Törökbálint Város Önkormányzata 2020. évi címrendje</t>
  </si>
  <si>
    <r>
      <t>Sportközpont területén strandmedence</t>
    </r>
    <r>
      <rPr>
        <strike/>
        <sz val="12"/>
        <rFont val="Times New Roman"/>
        <family val="1"/>
        <charset val="238"/>
      </rPr>
      <t xml:space="preserve"> </t>
    </r>
    <r>
      <rPr>
        <sz val="12"/>
        <rFont val="Times New Roman"/>
        <family val="1"/>
        <charset val="238"/>
      </rPr>
      <t>tervezése, előkészítése</t>
    </r>
  </si>
  <si>
    <t>ebből Útnet 2. részbefizetése</t>
  </si>
  <si>
    <t>42.</t>
  </si>
  <si>
    <t>43.</t>
  </si>
  <si>
    <t>Majális rendezvény</t>
  </si>
  <si>
    <t>Rét fesztivál 1 napos rendezvény</t>
  </si>
  <si>
    <t>Félmaraton rendezvény</t>
  </si>
  <si>
    <t>44.</t>
  </si>
  <si>
    <t>45.</t>
  </si>
  <si>
    <t>Rendezvények</t>
  </si>
  <si>
    <t>Egyéb rendezvények</t>
  </si>
  <si>
    <t>46.</t>
  </si>
  <si>
    <t>Trianóni békediktátum 100. évfordulója</t>
  </si>
  <si>
    <t>bruttó</t>
  </si>
  <si>
    <t>Törökbálint Város Önkormányzatának beruházásai</t>
  </si>
  <si>
    <t>Törökbálint Város Önkormányzatának felújításai</t>
  </si>
  <si>
    <t>Önkormányzati intézmények beruházásai</t>
  </si>
  <si>
    <t xml:space="preserve">Polgármesteri Hivatal kisértékű tárgyieszköz beszerzési kerete </t>
  </si>
  <si>
    <t xml:space="preserve">Walla óvoda  kisértékű tárgyieszköz beszerzési kerete </t>
  </si>
  <si>
    <t>Könyvtár könyvtári állomány gyarapítása</t>
  </si>
  <si>
    <t>Nyitníkék óvoda kisértékű tárgyieszközök beszerzési kerete</t>
  </si>
  <si>
    <t>Bóbita óvoda kisértékű tárgyieszközök beszserzési kerete</t>
  </si>
  <si>
    <t>Művelődési Ház kisértékű tárgyieszköz beszerzési kerete</t>
  </si>
  <si>
    <t>Segítő kéz Szolgálat kisértékű tárgyieszközök beszerzési kerete</t>
  </si>
  <si>
    <t>Bölcsőde kisértékű tárgyieszközök beszerzési kerete</t>
  </si>
  <si>
    <t>Városgondnokság kisértékű tárgyieszköz beszerzési kerete</t>
  </si>
  <si>
    <t>ebből:</t>
  </si>
  <si>
    <t>Törökbálint Város Önkormányzata és intézmények fejlesztései összesen:</t>
  </si>
  <si>
    <t>Közlekedési koncepció-3. Fenntartható Városi Mobilitási terv (SUMP)</t>
  </si>
  <si>
    <t>Walla óvoda: teraszok árnéykolása, videókamera és állvány beszerzése</t>
  </si>
  <si>
    <t>Nyitnikék óvoda: öltöző szekrények és informatiaki eszközök beszerzése</t>
  </si>
  <si>
    <t>Bóbita óvoda: informatikai eszközök beszerzése</t>
  </si>
  <si>
    <t>Művelődési Ház: hang- és fénytechnika beszerzése</t>
  </si>
  <si>
    <t>Könyvtár: informatikai eszközök beszerzése</t>
  </si>
  <si>
    <t>Városgondnokság: feladatok ellátásáhot tartozó bezserzési keret</t>
  </si>
  <si>
    <t>részletező</t>
  </si>
  <si>
    <t>ÉTV közműfelújítások</t>
  </si>
  <si>
    <t>Gyalogós átkelőhely tervezése Érdi út - Meredek utca csomópontban</t>
  </si>
  <si>
    <t>Auchan mögötti útszakasz tervezése</t>
  </si>
  <si>
    <t>"Közösségi Költségvetés Tervezés" program előkészítése</t>
  </si>
  <si>
    <t>Riczu Imre emlékverseny</t>
  </si>
  <si>
    <t>Előirányzatok I. módosítása</t>
  </si>
  <si>
    <t>sor szám</t>
  </si>
  <si>
    <t>2020. évi módosított előirányzat I.</t>
  </si>
  <si>
    <t>2.13.  Augusztus 20.-i ünnepség</t>
  </si>
  <si>
    <t>47.</t>
  </si>
  <si>
    <t>COVID-19 védekezéssel kapcsolatos kiadások</t>
  </si>
  <si>
    <t>Ellátottak pénzbeli juttatásai COVID-19</t>
  </si>
  <si>
    <t>II/45</t>
  </si>
  <si>
    <t>Önkormányzati intézmények felújításai</t>
  </si>
  <si>
    <t>Városgondnokság hókotró felújítása</t>
  </si>
  <si>
    <t>Intézményi felújítások összesen:</t>
  </si>
  <si>
    <t>Adat forintban</t>
  </si>
  <si>
    <t>Józsefhegyi u. ivóvíz- szennyvízvezeték, csapadékvíz elvezetésének tervezése</t>
  </si>
  <si>
    <t>Határ utca részleges felújítása (csapadékvíz elvezetési rendszerrel)</t>
  </si>
  <si>
    <t>Hegyalja u. Lovarda környékének csapadékvíz elvezetés I.ütem</t>
  </si>
  <si>
    <t>Járda térköves helyreállítása Alsóerdősor u.</t>
  </si>
  <si>
    <t>Őrház u. közművei fejlesztése, körforgalom építésénektervezése</t>
  </si>
  <si>
    <t>Erdészeti fejlesztések (2/c melléklet I./9. feladat)</t>
  </si>
  <si>
    <t>Kékes u.-Rozmaring u. felső szakasz vízvezeték tervezése</t>
  </si>
  <si>
    <t>Alsóerdősor u. sportpálya hálózatbővítés bekötése</t>
  </si>
  <si>
    <t>üres sor</t>
  </si>
  <si>
    <t>Csapadékvíz elvezetési feladatok</t>
  </si>
  <si>
    <t>Jövedelemadók</t>
  </si>
  <si>
    <t>27.1</t>
  </si>
  <si>
    <t>T-Bálint Labdarugó Akadémia Sportegyesület támogatása</t>
  </si>
  <si>
    <t>II/27.1</t>
  </si>
  <si>
    <t>2019. évi kötelezettségek</t>
  </si>
  <si>
    <t>Futókör</t>
  </si>
  <si>
    <t>4/2020 polgármesteri döntés (állami tulajdonú ingatlanok vétele)</t>
  </si>
  <si>
    <t>2.16. T-Bálint Labdarugó Akadémia Sportegyesület</t>
  </si>
  <si>
    <t>Művelődési Ház térburkolat és elektromos sorompó felújítása</t>
  </si>
  <si>
    <t xml:space="preserve">Forgalom technika </t>
  </si>
  <si>
    <t>Önkormányzati lakás (Prikoll)</t>
  </si>
  <si>
    <t xml:space="preserve">COVID-19 informatikai (digitális oktatáshoz) és egyéb eszközök beszerzése </t>
  </si>
  <si>
    <t>2020. évi bevételi előirányzat módosított</t>
  </si>
  <si>
    <t>2020. évi kiadási előirányzat módosított</t>
  </si>
  <si>
    <t>Előirányzatok II. módosítása</t>
  </si>
  <si>
    <t>2020. évi módosított előirányzat II.</t>
  </si>
  <si>
    <t xml:space="preserve">2020.07.31-i teljesítés </t>
  </si>
  <si>
    <t xml:space="preserve">2020.05.31-i teljesítés </t>
  </si>
  <si>
    <t>2.7. Kamatbevételek, kártérítések</t>
  </si>
  <si>
    <t>Mobilházak elhelyezése (közműbekötések tervdokumentáció)</t>
  </si>
  <si>
    <t>Nyár u. 30 ingatlan átalakítása szolgálati lakásnak</t>
  </si>
  <si>
    <t>2.14. Egyes közszolgáltatásokat éríntő bérintézkedések kiadásainak támogatására</t>
  </si>
  <si>
    <t>Előirányzatok III. módosítása</t>
  </si>
  <si>
    <t>2020. évi módosított előirányzat III.</t>
  </si>
  <si>
    <t xml:space="preserve">2020. évi teljesítés                                      2020. december 31. </t>
  </si>
  <si>
    <t xml:space="preserve">Előirányzatok teljesítése                                  2020.december 31. </t>
  </si>
  <si>
    <t xml:space="preserve">2020. évi teljesítés                                                    2020. december 31. </t>
  </si>
  <si>
    <t xml:space="preserve">2020. évi teljesítés                                                       2020. december 31. </t>
  </si>
  <si>
    <t xml:space="preserve">2020. évi teljesítés                                                                                      2020. december 31. </t>
  </si>
  <si>
    <t xml:space="preserve">Államigazgatási feladatok </t>
  </si>
  <si>
    <t xml:space="preserve">3. </t>
  </si>
  <si>
    <t>I/36.</t>
  </si>
  <si>
    <t xml:space="preserve">2. </t>
  </si>
  <si>
    <t xml:space="preserve">2020. évi teljesítés                                                                         2020. december 31. </t>
  </si>
  <si>
    <t xml:space="preserve">2020. évi teljesítés                                              2020. december 31. </t>
  </si>
  <si>
    <t xml:space="preserve">MH zajvédőfal építése </t>
  </si>
  <si>
    <t>Helyi önkormányzattól</t>
  </si>
  <si>
    <t>Társulűstól és költs.szervétől működési célú támogatás</t>
  </si>
  <si>
    <t>5112711, 5112713</t>
  </si>
  <si>
    <t>Járda építés Bajcsy Petőfi-Jókai u. között páros oldalon</t>
  </si>
  <si>
    <t xml:space="preserve">7. tábla 42. </t>
  </si>
  <si>
    <t>7. tábla 41.</t>
  </si>
  <si>
    <t>7. tábla 41. és 42.</t>
  </si>
  <si>
    <t>7. felúj.14</t>
  </si>
  <si>
    <t>P+R parkoló DEPO területén</t>
  </si>
  <si>
    <t>5112626; 5103;5201;5251</t>
  </si>
  <si>
    <t>Munkácsy Mihály Művelődési Ház felújításai</t>
  </si>
  <si>
    <t>Egyéb fejezeti kezelésű előirányzatok</t>
  </si>
  <si>
    <t>Felhalmozási céltartalék</t>
  </si>
  <si>
    <t>2019. évi várható teljesítés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</si>
</sst>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_-* #,##0.00\ _F_t_-;\-* #,##0.00\ _F_t_-;_-* &quot;-&quot;??\ _F_t_-;_-@_-"/>
    <numFmt numFmtId="165" formatCode="#,##0.0"/>
    <numFmt numFmtId="166" formatCode="0.0"/>
    <numFmt numFmtId="167" formatCode="#,##0\ _F_t"/>
    <numFmt numFmtId="168" formatCode="#,###"/>
    <numFmt numFmtId="169" formatCode="#,##0_ ;[Red]\-#,##0\ "/>
    <numFmt numFmtId="170" formatCode="_-* #,##0\ _F_t_-;\-* #,##0\ _F_t_-;_-* &quot;-&quot;??\ _F_t_-;_-@_-"/>
    <numFmt numFmtId="171" formatCode="_-* #,##0.0\ _F_t_-;\-* #,##0.0\ _F_t_-;_-* &quot;-&quot;??\ _F_t_-;_-@_-"/>
    <numFmt numFmtId="172" formatCode="#,##0_ ;\-#,##0\ "/>
    <numFmt numFmtId="173" formatCode="0.00000%"/>
  </numFmts>
  <fonts count="76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</font>
    <font>
      <b/>
      <sz val="8"/>
      <name val="Times New Roman"/>
      <family val="1"/>
      <charset val="1"/>
    </font>
    <font>
      <sz val="8"/>
      <name val="Times New Roman"/>
      <family val="1"/>
      <charset val="1"/>
    </font>
    <font>
      <i/>
      <sz val="8"/>
      <name val="Times New Roman"/>
      <family val="1"/>
      <charset val="1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1"/>
      <name val="Calibri"/>
      <family val="2"/>
      <charset val="238"/>
    </font>
    <font>
      <sz val="8"/>
      <color indexed="81"/>
      <name val="Tahoma"/>
      <family val="2"/>
      <charset val="238"/>
    </font>
    <font>
      <b/>
      <sz val="8"/>
      <color indexed="81"/>
      <name val="Tahoma"/>
      <family val="2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0.5"/>
      <name val="Arial"/>
      <family val="2"/>
      <charset val="238"/>
    </font>
    <font>
      <b/>
      <sz val="10.5"/>
      <name val="Arial"/>
      <family val="2"/>
      <charset val="238"/>
    </font>
    <font>
      <b/>
      <sz val="12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i/>
      <sz val="11"/>
      <name val="Arial"/>
      <family val="2"/>
      <charset val="238"/>
    </font>
    <font>
      <b/>
      <sz val="16"/>
      <name val="Times New Roman"/>
      <family val="1"/>
      <charset val="238"/>
    </font>
    <font>
      <sz val="8"/>
      <name val="Arial"/>
      <family val="2"/>
      <charset val="238"/>
    </font>
    <font>
      <b/>
      <strike/>
      <sz val="11"/>
      <name val="Calibri"/>
      <family val="2"/>
      <charset val="238"/>
    </font>
    <font>
      <strike/>
      <sz val="11"/>
      <name val="Arial"/>
      <family val="2"/>
      <charset val="238"/>
    </font>
    <font>
      <sz val="10"/>
      <name val="Arial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8"/>
      <name val="Calibri"/>
      <family val="2"/>
      <charset val="238"/>
    </font>
    <font>
      <sz val="11"/>
      <name val="Times New Roman"/>
      <family val="1"/>
      <charset val="238"/>
    </font>
    <font>
      <strike/>
      <sz val="12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3"/>
      <name val="Times New Roman"/>
      <family val="1"/>
      <charset val="238"/>
    </font>
    <font>
      <sz val="13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8"/>
      <color theme="0"/>
      <name val="Times New Roman"/>
      <family val="1"/>
      <charset val="1"/>
    </font>
    <font>
      <sz val="11"/>
      <name val="Calibri"/>
      <family val="2"/>
      <charset val="238"/>
      <scheme val="minor"/>
    </font>
    <font>
      <b/>
      <sz val="24"/>
      <color theme="0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2"/>
      <color theme="0"/>
      <name val="Arial"/>
      <family val="2"/>
      <charset val="238"/>
    </font>
    <font>
      <b/>
      <sz val="24"/>
      <color theme="1"/>
      <name val="Calibri"/>
      <family val="2"/>
      <charset val="238"/>
      <scheme val="minor"/>
    </font>
    <font>
      <sz val="24"/>
      <color theme="1"/>
      <name val="Calibri"/>
      <family val="2"/>
      <charset val="238"/>
      <scheme val="minor"/>
    </font>
    <font>
      <b/>
      <sz val="36"/>
      <color theme="0"/>
      <name val="Calibri"/>
      <family val="2"/>
      <charset val="238"/>
      <scheme val="minor"/>
    </font>
    <font>
      <b/>
      <sz val="28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u/>
      <sz val="1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b/>
      <sz val="10"/>
      <color theme="0"/>
      <name val="Arial"/>
      <family val="2"/>
      <charset val="238"/>
    </font>
    <font>
      <b/>
      <sz val="16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b/>
      <sz val="16"/>
      <name val="Calibri"/>
      <family val="2"/>
      <charset val="238"/>
      <scheme val="minor"/>
    </font>
    <font>
      <sz val="11"/>
      <color rgb="FFFF0000"/>
      <name val="Arial"/>
      <family val="2"/>
      <charset val="238"/>
    </font>
    <font>
      <b/>
      <sz val="11"/>
      <color rgb="FFFF0000"/>
      <name val="Arial"/>
      <family val="2"/>
      <charset val="238"/>
    </font>
    <font>
      <sz val="12"/>
      <color rgb="FFFF0000"/>
      <name val="Arial"/>
      <family val="2"/>
      <charset val="238"/>
    </font>
    <font>
      <b/>
      <sz val="11"/>
      <color rgb="FF00B050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i/>
      <sz val="12"/>
      <color rgb="FFFF0000"/>
      <name val="Calibri"/>
      <family val="2"/>
      <charset val="238"/>
      <scheme val="minor"/>
    </font>
    <font>
      <i/>
      <sz val="12"/>
      <color rgb="FFFF0000"/>
      <name val="Calibri"/>
      <family val="2"/>
      <charset val="238"/>
      <scheme val="minor"/>
    </font>
    <font>
      <b/>
      <sz val="24"/>
      <color rgb="FFC00000"/>
      <name val="Calibri"/>
      <family val="2"/>
      <charset val="238"/>
      <scheme val="minor"/>
    </font>
    <font>
      <sz val="9"/>
      <name val="Calibri"/>
      <family val="2"/>
      <charset val="238"/>
      <scheme val="minor"/>
    </font>
  </fonts>
  <fills count="37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27"/>
        <bgColor indexed="41"/>
      </patternFill>
    </fill>
    <fill>
      <patternFill patternType="solid">
        <fgColor indexed="11"/>
        <bgColor indexed="49"/>
      </patternFill>
    </fill>
    <fill>
      <patternFill patternType="solid">
        <fgColor indexed="29"/>
        <bgColor indexed="45"/>
      </patternFill>
    </fill>
    <fill>
      <patternFill patternType="solid">
        <fgColor indexed="47"/>
        <bgColor indexed="22"/>
      </patternFill>
    </fill>
    <fill>
      <patternFill patternType="gray0625"/>
    </fill>
    <fill>
      <patternFill patternType="solid">
        <fgColor indexed="65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rgb="FFC00000"/>
        <bgColor indexed="29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00"/>
        <bgColor indexed="22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92D050"/>
        <bgColor indexed="22"/>
      </patternFill>
    </fill>
    <fill>
      <patternFill patternType="solid">
        <fgColor theme="1"/>
        <bgColor indexed="64"/>
      </patternFill>
    </fill>
    <fill>
      <patternFill patternType="solid">
        <fgColor rgb="FF009900"/>
        <bgColor indexed="64"/>
      </patternFill>
    </fill>
    <fill>
      <patternFill patternType="gray0625">
        <bgColor rgb="FFFFFF00"/>
      </patternFill>
    </fill>
    <fill>
      <patternFill patternType="gray0625">
        <bgColor theme="4" tint="0.59999389629810485"/>
      </patternFill>
    </fill>
    <fill>
      <patternFill patternType="solid">
        <fgColor theme="4" tint="0.59999389629810485"/>
        <bgColor indexed="64"/>
      </patternFill>
    </fill>
    <fill>
      <patternFill patternType="gray0625">
        <bgColor theme="6" tint="0.39997558519241921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-0.2499465926084170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59999389629810485"/>
        <bgColor indexed="64"/>
      </patternFill>
    </fill>
  </fills>
  <borders count="50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23"/>
      </left>
      <right style="hair">
        <color indexed="23"/>
      </right>
      <top style="hair">
        <color indexed="23"/>
      </top>
      <bottom style="hair">
        <color indexed="23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/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hair">
        <color indexed="23"/>
      </bottom>
      <diagonal/>
    </border>
    <border>
      <left style="hair">
        <color indexed="8"/>
      </left>
      <right/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8"/>
      </top>
      <bottom/>
      <diagonal/>
    </border>
    <border>
      <left/>
      <right style="hair">
        <color indexed="8"/>
      </right>
      <top style="hair">
        <color indexed="8"/>
      </top>
      <bottom/>
      <diagonal/>
    </border>
    <border>
      <left style="hair">
        <color theme="1" tint="0.499984740745262"/>
      </left>
      <right style="hair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 style="hair">
        <color theme="1" tint="0.499984740745262"/>
      </left>
      <right style="hair">
        <color theme="1" tint="0.499984740745262"/>
      </right>
      <top/>
      <bottom style="hair">
        <color theme="1" tint="0.499984740745262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25" fillId="0" borderId="0" applyFill="0" applyBorder="0" applyAlignment="0" applyProtection="0"/>
    <xf numFmtId="164" fontId="6" fillId="0" borderId="0" applyFill="0" applyBorder="0" applyAlignment="0" applyProtection="0"/>
    <xf numFmtId="0" fontId="36" fillId="0" borderId="0"/>
    <xf numFmtId="0" fontId="6" fillId="0" borderId="0"/>
    <xf numFmtId="0" fontId="7" fillId="0" borderId="0"/>
    <xf numFmtId="0" fontId="2" fillId="0" borderId="0"/>
    <xf numFmtId="9" fontId="8" fillId="0" borderId="0" applyFont="0" applyFill="0" applyBorder="0" applyAlignment="0" applyProtection="0"/>
    <xf numFmtId="9" fontId="7" fillId="0" borderId="0" applyFill="0" applyAlignment="0" applyProtection="0"/>
    <xf numFmtId="0" fontId="6" fillId="0" borderId="0"/>
    <xf numFmtId="164" fontId="6" fillId="0" borderId="0" applyFill="0" applyBorder="0" applyAlignment="0" applyProtection="0"/>
    <xf numFmtId="9" fontId="1" fillId="0" borderId="0" applyFont="0" applyFill="0" applyBorder="0" applyAlignment="0" applyProtection="0"/>
    <xf numFmtId="9" fontId="36" fillId="0" borderId="0" applyFont="0" applyFill="0" applyBorder="0" applyAlignment="0" applyProtection="0"/>
  </cellStyleXfs>
  <cellXfs count="1042">
    <xf numFmtId="0" fontId="0" fillId="0" borderId="0" xfId="0"/>
    <xf numFmtId="49" fontId="3" fillId="0" borderId="0" xfId="10" applyNumberFormat="1" applyFont="1" applyAlignment="1">
      <alignment horizontal="center" vertical="center"/>
    </xf>
    <xf numFmtId="3" fontId="3" fillId="2" borderId="1" xfId="10" applyNumberFormat="1" applyFont="1" applyFill="1" applyBorder="1" applyAlignment="1">
      <alignment horizontal="center" vertical="center" wrapText="1"/>
    </xf>
    <xf numFmtId="49" fontId="3" fillId="0" borderId="0" xfId="10" applyNumberFormat="1" applyFont="1" applyAlignment="1">
      <alignment vertical="center"/>
    </xf>
    <xf numFmtId="49" fontId="4" fillId="0" borderId="0" xfId="10" applyNumberFormat="1" applyFont="1" applyAlignment="1">
      <alignment horizontal="left" vertical="center"/>
    </xf>
    <xf numFmtId="49" fontId="4" fillId="0" borderId="0" xfId="10" applyNumberFormat="1" applyFont="1" applyAlignment="1">
      <alignment vertical="center"/>
    </xf>
    <xf numFmtId="3" fontId="4" fillId="0" borderId="0" xfId="10" applyNumberFormat="1" applyFont="1" applyAlignment="1">
      <alignment vertical="center"/>
    </xf>
    <xf numFmtId="49" fontId="3" fillId="3" borderId="1" xfId="10" applyNumberFormat="1" applyFont="1" applyFill="1" applyBorder="1" applyAlignment="1">
      <alignment horizontal="left" vertical="center"/>
    </xf>
    <xf numFmtId="49" fontId="3" fillId="3" borderId="1" xfId="10" applyNumberFormat="1" applyFont="1" applyFill="1" applyBorder="1" applyAlignment="1">
      <alignment vertical="center"/>
    </xf>
    <xf numFmtId="38" fontId="3" fillId="3" borderId="1" xfId="10" applyNumberFormat="1" applyFont="1" applyFill="1" applyBorder="1" applyAlignment="1">
      <alignment vertical="center"/>
    </xf>
    <xf numFmtId="3" fontId="3" fillId="3" borderId="1" xfId="10" applyNumberFormat="1" applyFont="1" applyFill="1" applyBorder="1" applyAlignment="1">
      <alignment vertical="center"/>
    </xf>
    <xf numFmtId="49" fontId="5" fillId="0" borderId="1" xfId="10" applyNumberFormat="1" applyFont="1" applyBorder="1" applyAlignment="1">
      <alignment horizontal="left" vertical="center"/>
    </xf>
    <xf numFmtId="49" fontId="5" fillId="0" borderId="1" xfId="10" applyNumberFormat="1" applyFont="1" applyBorder="1" applyAlignment="1">
      <alignment vertical="center"/>
    </xf>
    <xf numFmtId="38" fontId="5" fillId="0" borderId="1" xfId="10" applyNumberFormat="1" applyFont="1" applyBorder="1" applyAlignment="1">
      <alignment vertical="center"/>
    </xf>
    <xf numFmtId="3" fontId="5" fillId="0" borderId="1" xfId="10" applyNumberFormat="1" applyFont="1" applyBorder="1" applyAlignment="1">
      <alignment vertical="center"/>
    </xf>
    <xf numFmtId="49" fontId="5" fillId="0" borderId="0" xfId="10" applyNumberFormat="1" applyFont="1" applyAlignment="1">
      <alignment vertical="center"/>
    </xf>
    <xf numFmtId="49" fontId="3" fillId="4" borderId="1" xfId="10" applyNumberFormat="1" applyFont="1" applyFill="1" applyBorder="1" applyAlignment="1">
      <alignment horizontal="left" vertical="center"/>
    </xf>
    <xf numFmtId="49" fontId="3" fillId="4" borderId="1" xfId="10" applyNumberFormat="1" applyFont="1" applyFill="1" applyBorder="1" applyAlignment="1">
      <alignment vertical="center"/>
    </xf>
    <xf numFmtId="38" fontId="3" fillId="4" borderId="1" xfId="10" applyNumberFormat="1" applyFont="1" applyFill="1" applyBorder="1" applyAlignment="1">
      <alignment vertical="center"/>
    </xf>
    <xf numFmtId="3" fontId="3" fillId="4" borderId="1" xfId="10" applyNumberFormat="1" applyFont="1" applyFill="1" applyBorder="1" applyAlignment="1">
      <alignment vertical="center"/>
    </xf>
    <xf numFmtId="49" fontId="3" fillId="5" borderId="1" xfId="10" applyNumberFormat="1" applyFont="1" applyFill="1" applyBorder="1" applyAlignment="1">
      <alignment horizontal="left" vertical="center"/>
    </xf>
    <xf numFmtId="49" fontId="3" fillId="5" borderId="1" xfId="10" applyNumberFormat="1" applyFont="1" applyFill="1" applyBorder="1" applyAlignment="1">
      <alignment vertical="center"/>
    </xf>
    <xf numFmtId="38" fontId="3" fillId="5" borderId="1" xfId="10" applyNumberFormat="1" applyFont="1" applyFill="1" applyBorder="1" applyAlignment="1">
      <alignment vertical="center"/>
    </xf>
    <xf numFmtId="3" fontId="3" fillId="5" borderId="1" xfId="10" applyNumberFormat="1" applyFont="1" applyFill="1" applyBorder="1" applyAlignment="1">
      <alignment vertical="center"/>
    </xf>
    <xf numFmtId="49" fontId="4" fillId="0" borderId="1" xfId="10" applyNumberFormat="1" applyFont="1" applyBorder="1" applyAlignment="1">
      <alignment horizontal="left" vertical="center"/>
    </xf>
    <xf numFmtId="49" fontId="4" fillId="0" borderId="1" xfId="10" applyNumberFormat="1" applyFont="1" applyBorder="1" applyAlignment="1">
      <alignment vertical="center"/>
    </xf>
    <xf numFmtId="3" fontId="4" fillId="0" borderId="1" xfId="10" applyNumberFormat="1" applyFont="1" applyBorder="1" applyAlignment="1">
      <alignment vertical="center"/>
    </xf>
    <xf numFmtId="0" fontId="2" fillId="0" borderId="0" xfId="10"/>
    <xf numFmtId="3" fontId="3" fillId="6" borderId="1" xfId="10" applyNumberFormat="1" applyFont="1" applyFill="1" applyBorder="1" applyAlignment="1">
      <alignment vertical="center"/>
    </xf>
    <xf numFmtId="38" fontId="40" fillId="11" borderId="1" xfId="10" applyNumberFormat="1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3" fontId="0" fillId="0" borderId="0" xfId="0" applyNumberFormat="1" applyAlignment="1">
      <alignment horizontal="right"/>
    </xf>
    <xf numFmtId="0" fontId="39" fillId="12" borderId="37" xfId="0" applyFont="1" applyFill="1" applyBorder="1" applyAlignment="1">
      <alignment horizontal="center" vertical="center"/>
    </xf>
    <xf numFmtId="0" fontId="39" fillId="12" borderId="37" xfId="0" applyFont="1" applyFill="1" applyBorder="1"/>
    <xf numFmtId="3" fontId="39" fillId="12" borderId="37" xfId="0" applyNumberFormat="1" applyFont="1" applyFill="1" applyBorder="1"/>
    <xf numFmtId="0" fontId="0" fillId="0" borderId="37" xfId="0" applyBorder="1" applyAlignment="1">
      <alignment horizontal="center" vertical="center"/>
    </xf>
    <xf numFmtId="0" fontId="0" fillId="0" borderId="37" xfId="0" applyBorder="1" applyAlignment="1">
      <alignment horizontal="left" vertical="center" wrapText="1"/>
    </xf>
    <xf numFmtId="3" fontId="0" fillId="0" borderId="37" xfId="0" applyNumberFormat="1" applyBorder="1"/>
    <xf numFmtId="0" fontId="0" fillId="0" borderId="37" xfId="0" applyBorder="1"/>
    <xf numFmtId="3" fontId="0" fillId="0" borderId="0" xfId="0" applyNumberFormat="1"/>
    <xf numFmtId="49" fontId="0" fillId="0" borderId="0" xfId="0" applyNumberFormat="1" applyAlignment="1">
      <alignment horizontal="center" vertical="center"/>
    </xf>
    <xf numFmtId="49" fontId="0" fillId="0" borderId="0" xfId="0" applyNumberFormat="1"/>
    <xf numFmtId="49" fontId="37" fillId="13" borderId="37" xfId="0" applyNumberFormat="1" applyFont="1" applyFill="1" applyBorder="1" applyAlignment="1">
      <alignment horizontal="center" vertical="center"/>
    </xf>
    <xf numFmtId="0" fontId="41" fillId="0" borderId="0" xfId="0" applyFont="1" applyAlignment="1">
      <alignment horizontal="center" vertical="center"/>
    </xf>
    <xf numFmtId="3" fontId="0" fillId="0" borderId="37" xfId="0" applyNumberFormat="1" applyBorder="1" applyAlignment="1">
      <alignment horizontal="right" vertical="center" wrapText="1"/>
    </xf>
    <xf numFmtId="3" fontId="0" fillId="0" borderId="37" xfId="0" applyNumberFormat="1" applyBorder="1" applyAlignment="1">
      <alignment vertical="center"/>
    </xf>
    <xf numFmtId="0" fontId="39" fillId="0" borderId="0" xfId="0" applyFont="1"/>
    <xf numFmtId="3" fontId="3" fillId="2" borderId="3" xfId="10" applyNumberFormat="1" applyFont="1" applyFill="1" applyBorder="1" applyAlignment="1">
      <alignment horizontal="center" vertical="center" wrapText="1"/>
    </xf>
    <xf numFmtId="3" fontId="3" fillId="2" borderId="4" xfId="10" applyNumberFormat="1" applyFont="1" applyFill="1" applyBorder="1" applyAlignment="1">
      <alignment horizontal="center" vertical="center" wrapText="1"/>
    </xf>
    <xf numFmtId="3" fontId="4" fillId="0" borderId="0" xfId="10" applyNumberFormat="1" applyFont="1" applyBorder="1" applyAlignment="1">
      <alignment vertical="center"/>
    </xf>
    <xf numFmtId="3" fontId="3" fillId="3" borderId="4" xfId="10" applyNumberFormat="1" applyFont="1" applyFill="1" applyBorder="1" applyAlignment="1">
      <alignment vertical="center"/>
    </xf>
    <xf numFmtId="3" fontId="5" fillId="0" borderId="4" xfId="10" applyNumberFormat="1" applyFont="1" applyBorder="1" applyAlignment="1">
      <alignment vertical="center"/>
    </xf>
    <xf numFmtId="38" fontId="3" fillId="4" borderId="4" xfId="10" applyNumberFormat="1" applyFont="1" applyFill="1" applyBorder="1" applyAlignment="1">
      <alignment vertical="center"/>
    </xf>
    <xf numFmtId="38" fontId="3" fillId="5" borderId="4" xfId="10" applyNumberFormat="1" applyFont="1" applyFill="1" applyBorder="1" applyAlignment="1">
      <alignment vertical="center"/>
    </xf>
    <xf numFmtId="38" fontId="5" fillId="0" borderId="4" xfId="10" applyNumberFormat="1" applyFont="1" applyBorder="1" applyAlignment="1">
      <alignment vertical="center"/>
    </xf>
    <xf numFmtId="38" fontId="40" fillId="11" borderId="4" xfId="10" applyNumberFormat="1" applyFont="1" applyFill="1" applyBorder="1" applyAlignment="1">
      <alignment vertical="center"/>
    </xf>
    <xf numFmtId="3" fontId="4" fillId="0" borderId="4" xfId="10" applyNumberFormat="1" applyFont="1" applyBorder="1" applyAlignment="1">
      <alignment vertical="center"/>
    </xf>
    <xf numFmtId="3" fontId="3" fillId="4" borderId="4" xfId="10" applyNumberFormat="1" applyFont="1" applyFill="1" applyBorder="1" applyAlignment="1">
      <alignment vertical="center"/>
    </xf>
    <xf numFmtId="3" fontId="3" fillId="5" borderId="4" xfId="10" applyNumberFormat="1" applyFont="1" applyFill="1" applyBorder="1" applyAlignment="1">
      <alignment vertical="center"/>
    </xf>
    <xf numFmtId="3" fontId="3" fillId="6" borderId="4" xfId="10" applyNumberFormat="1" applyFont="1" applyFill="1" applyBorder="1" applyAlignment="1">
      <alignment vertical="center"/>
    </xf>
    <xf numFmtId="3" fontId="3" fillId="2" borderId="5" xfId="10" applyNumberFormat="1" applyFont="1" applyFill="1" applyBorder="1" applyAlignment="1">
      <alignment horizontal="center" vertical="center" wrapText="1"/>
    </xf>
    <xf numFmtId="3" fontId="4" fillId="0" borderId="5" xfId="10" applyNumberFormat="1" applyFont="1" applyBorder="1" applyAlignment="1">
      <alignment vertical="center"/>
    </xf>
    <xf numFmtId="49" fontId="3" fillId="7" borderId="5" xfId="10" applyNumberFormat="1" applyFont="1" applyFill="1" applyBorder="1" applyAlignment="1">
      <alignment horizontal="center" vertical="center"/>
    </xf>
    <xf numFmtId="3" fontId="3" fillId="3" borderId="5" xfId="10" applyNumberFormat="1" applyFont="1" applyFill="1" applyBorder="1" applyAlignment="1">
      <alignment vertical="center"/>
    </xf>
    <xf numFmtId="3" fontId="5" fillId="0" borderId="5" xfId="10" applyNumberFormat="1" applyFont="1" applyBorder="1" applyAlignment="1">
      <alignment vertical="center"/>
    </xf>
    <xf numFmtId="38" fontId="3" fillId="4" borderId="5" xfId="10" applyNumberFormat="1" applyFont="1" applyFill="1" applyBorder="1" applyAlignment="1">
      <alignment vertical="center"/>
    </xf>
    <xf numFmtId="38" fontId="3" fillId="5" borderId="5" xfId="10" applyNumberFormat="1" applyFont="1" applyFill="1" applyBorder="1" applyAlignment="1">
      <alignment vertical="center"/>
    </xf>
    <xf numFmtId="38" fontId="5" fillId="0" borderId="5" xfId="10" applyNumberFormat="1" applyFont="1" applyBorder="1" applyAlignment="1">
      <alignment vertical="center"/>
    </xf>
    <xf numFmtId="38" fontId="40" fillId="11" borderId="5" xfId="10" applyNumberFormat="1" applyFont="1" applyFill="1" applyBorder="1" applyAlignment="1">
      <alignment vertical="center"/>
    </xf>
    <xf numFmtId="3" fontId="3" fillId="4" borderId="5" xfId="10" applyNumberFormat="1" applyFont="1" applyFill="1" applyBorder="1" applyAlignment="1">
      <alignment vertical="center"/>
    </xf>
    <xf numFmtId="3" fontId="3" fillId="5" borderId="5" xfId="10" applyNumberFormat="1" applyFont="1" applyFill="1" applyBorder="1" applyAlignment="1">
      <alignment vertical="center"/>
    </xf>
    <xf numFmtId="3" fontId="3" fillId="6" borderId="5" xfId="10" applyNumberFormat="1" applyFont="1" applyFill="1" applyBorder="1" applyAlignment="1">
      <alignment vertical="center"/>
    </xf>
    <xf numFmtId="0" fontId="2" fillId="0" borderId="6" xfId="10" applyBorder="1"/>
    <xf numFmtId="0" fontId="2" fillId="0" borderId="0" xfId="10" applyBorder="1"/>
    <xf numFmtId="3" fontId="4" fillId="0" borderId="6" xfId="10" applyNumberFormat="1" applyFont="1" applyBorder="1" applyAlignment="1">
      <alignment vertical="center"/>
    </xf>
    <xf numFmtId="3" fontId="3" fillId="2" borderId="7" xfId="10" applyNumberFormat="1" applyFont="1" applyFill="1" applyBorder="1" applyAlignment="1">
      <alignment horizontal="center" vertical="center" wrapText="1"/>
    </xf>
    <xf numFmtId="3" fontId="4" fillId="0" borderId="7" xfId="10" applyNumberFormat="1" applyFont="1" applyBorder="1" applyAlignment="1">
      <alignment vertical="center"/>
    </xf>
    <xf numFmtId="49" fontId="3" fillId="7" borderId="7" xfId="10" applyNumberFormat="1" applyFont="1" applyFill="1" applyBorder="1" applyAlignment="1">
      <alignment horizontal="center" vertical="center"/>
    </xf>
    <xf numFmtId="3" fontId="3" fillId="3" borderId="7" xfId="10" applyNumberFormat="1" applyFont="1" applyFill="1" applyBorder="1" applyAlignment="1">
      <alignment vertical="center"/>
    </xf>
    <xf numFmtId="3" fontId="5" fillId="0" borderId="7" xfId="10" applyNumberFormat="1" applyFont="1" applyBorder="1" applyAlignment="1">
      <alignment vertical="center"/>
    </xf>
    <xf numFmtId="3" fontId="3" fillId="5" borderId="7" xfId="10" applyNumberFormat="1" applyFont="1" applyFill="1" applyBorder="1" applyAlignment="1">
      <alignment vertical="center"/>
    </xf>
    <xf numFmtId="3" fontId="3" fillId="2" borderId="8" xfId="10" applyNumberFormat="1" applyFont="1" applyFill="1" applyBorder="1" applyAlignment="1">
      <alignment horizontal="center" vertical="center" wrapText="1"/>
    </xf>
    <xf numFmtId="3" fontId="3" fillId="14" borderId="8" xfId="10" applyNumberFormat="1" applyFont="1" applyFill="1" applyBorder="1" applyAlignment="1">
      <alignment horizontal="center" vertical="center" wrapText="1"/>
    </xf>
    <xf numFmtId="3" fontId="3" fillId="14" borderId="3" xfId="10" applyNumberFormat="1" applyFont="1" applyFill="1" applyBorder="1" applyAlignment="1">
      <alignment horizontal="center" vertical="center" wrapText="1"/>
    </xf>
    <xf numFmtId="38" fontId="40" fillId="11" borderId="9" xfId="10" applyNumberFormat="1" applyFont="1" applyFill="1" applyBorder="1" applyAlignment="1">
      <alignment vertical="center"/>
    </xf>
    <xf numFmtId="38" fontId="40" fillId="11" borderId="10" xfId="10" applyNumberFormat="1" applyFont="1" applyFill="1" applyBorder="1" applyAlignment="1">
      <alignment vertical="center"/>
    </xf>
    <xf numFmtId="38" fontId="40" fillId="11" borderId="11" xfId="10" applyNumberFormat="1" applyFont="1" applyFill="1" applyBorder="1" applyAlignment="1">
      <alignment vertical="center"/>
    </xf>
    <xf numFmtId="0" fontId="2" fillId="0" borderId="12" xfId="10" applyBorder="1"/>
    <xf numFmtId="3" fontId="5" fillId="0" borderId="0" xfId="10" applyNumberFormat="1" applyFont="1" applyBorder="1" applyAlignment="1">
      <alignment vertical="center"/>
    </xf>
    <xf numFmtId="0" fontId="0" fillId="0" borderId="0" xfId="0" applyAlignment="1">
      <alignment horizontal="right"/>
    </xf>
    <xf numFmtId="0" fontId="39" fillId="0" borderId="37" xfId="0" applyFont="1" applyBorder="1" applyAlignment="1">
      <alignment horizontal="left" vertical="center" wrapText="1"/>
    </xf>
    <xf numFmtId="3" fontId="39" fillId="0" borderId="37" xfId="0" applyNumberFormat="1" applyFont="1" applyBorder="1" applyAlignment="1">
      <alignment vertical="center"/>
    </xf>
    <xf numFmtId="0" fontId="0" fillId="0" borderId="0" xfId="0" applyAlignment="1">
      <alignment vertical="center"/>
    </xf>
    <xf numFmtId="16" fontId="0" fillId="0" borderId="37" xfId="0" applyNumberFormat="1" applyBorder="1" applyAlignment="1">
      <alignment horizontal="left" vertical="center" wrapText="1" indent="3"/>
    </xf>
    <xf numFmtId="0" fontId="0" fillId="0" borderId="0" xfId="0" applyAlignment="1">
      <alignment vertical="center" wrapText="1"/>
    </xf>
    <xf numFmtId="3" fontId="0" fillId="0" borderId="38" xfId="0" applyNumberFormat="1" applyBorder="1"/>
    <xf numFmtId="3" fontId="0" fillId="0" borderId="38" xfId="0" applyNumberFormat="1" applyBorder="1" applyAlignment="1">
      <alignment vertical="center"/>
    </xf>
    <xf numFmtId="3" fontId="0" fillId="0" borderId="38" xfId="0" applyNumberFormat="1" applyFont="1" applyBorder="1"/>
    <xf numFmtId="49" fontId="3" fillId="7" borderId="0" xfId="10" applyNumberFormat="1" applyFont="1" applyFill="1" applyBorder="1" applyAlignment="1">
      <alignment horizontal="center" vertical="center"/>
    </xf>
    <xf numFmtId="16" fontId="0" fillId="0" borderId="37" xfId="0" applyNumberFormat="1" applyBorder="1" applyAlignment="1">
      <alignment horizontal="left" vertical="center" wrapText="1"/>
    </xf>
    <xf numFmtId="3" fontId="39" fillId="0" borderId="37" xfId="0" applyNumberFormat="1" applyFont="1" applyBorder="1" applyAlignment="1">
      <alignment horizontal="right" vertical="center" wrapText="1"/>
    </xf>
    <xf numFmtId="49" fontId="0" fillId="0" borderId="37" xfId="0" applyNumberFormat="1" applyBorder="1" applyAlignment="1">
      <alignment horizontal="left" vertical="center" wrapText="1"/>
    </xf>
    <xf numFmtId="0" fontId="39" fillId="0" borderId="37" xfId="0" applyFont="1" applyBorder="1" applyAlignment="1">
      <alignment vertical="center"/>
    </xf>
    <xf numFmtId="3" fontId="39" fillId="0" borderId="37" xfId="0" applyNumberFormat="1" applyFont="1" applyBorder="1" applyAlignment="1">
      <alignment horizontal="right" vertical="center"/>
    </xf>
    <xf numFmtId="3" fontId="0" fillId="0" borderId="37" xfId="0" applyNumberFormat="1" applyBorder="1" applyAlignment="1">
      <alignment horizontal="right" vertical="center"/>
    </xf>
    <xf numFmtId="0" fontId="0" fillId="0" borderId="39" xfId="0" applyBorder="1" applyAlignment="1">
      <alignment horizontal="center" vertical="center"/>
    </xf>
    <xf numFmtId="0" fontId="0" fillId="0" borderId="39" xfId="0" applyBorder="1" applyAlignment="1">
      <alignment horizontal="left" vertical="center" wrapText="1"/>
    </xf>
    <xf numFmtId="3" fontId="0" fillId="0" borderId="39" xfId="0" applyNumberFormat="1" applyBorder="1" applyAlignment="1">
      <alignment horizontal="right" vertical="center" wrapText="1"/>
    </xf>
    <xf numFmtId="16" fontId="0" fillId="0" borderId="39" xfId="0" applyNumberFormat="1" applyBorder="1" applyAlignment="1">
      <alignment horizontal="left" vertical="center" wrapText="1"/>
    </xf>
    <xf numFmtId="3" fontId="0" fillId="0" borderId="39" xfId="0" applyNumberFormat="1" applyBorder="1" applyAlignment="1">
      <alignment vertical="center"/>
    </xf>
    <xf numFmtId="3" fontId="39" fillId="16" borderId="5" xfId="0" applyNumberFormat="1" applyFont="1" applyFill="1" applyBorder="1" applyAlignment="1">
      <alignment vertical="center"/>
    </xf>
    <xf numFmtId="0" fontId="39" fillId="17" borderId="5" xfId="0" applyFont="1" applyFill="1" applyBorder="1"/>
    <xf numFmtId="3" fontId="39" fillId="17" borderId="5" xfId="0" applyNumberFormat="1" applyFont="1" applyFill="1" applyBorder="1"/>
    <xf numFmtId="0" fontId="39" fillId="17" borderId="5" xfId="0" applyFont="1" applyFill="1" applyBorder="1" applyAlignment="1">
      <alignment vertical="center"/>
    </xf>
    <xf numFmtId="3" fontId="39" fillId="17" borderId="5" xfId="0" applyNumberFormat="1" applyFont="1" applyFill="1" applyBorder="1" applyAlignment="1">
      <alignment vertical="center"/>
    </xf>
    <xf numFmtId="0" fontId="39" fillId="17" borderId="5" xfId="0" applyFont="1" applyFill="1" applyBorder="1" applyAlignment="1">
      <alignment horizontal="center" vertical="center"/>
    </xf>
    <xf numFmtId="3" fontId="39" fillId="15" borderId="5" xfId="0" applyNumberFormat="1" applyFont="1" applyFill="1" applyBorder="1" applyAlignment="1">
      <alignment horizontal="right" vertical="center"/>
    </xf>
    <xf numFmtId="0" fontId="37" fillId="18" borderId="5" xfId="0" applyFont="1" applyFill="1" applyBorder="1"/>
    <xf numFmtId="3" fontId="37" fillId="18" borderId="5" xfId="0" applyNumberFormat="1" applyFont="1" applyFill="1" applyBorder="1"/>
    <xf numFmtId="0" fontId="37" fillId="18" borderId="5" xfId="0" applyFont="1" applyFill="1" applyBorder="1" applyAlignment="1">
      <alignment vertical="center"/>
    </xf>
    <xf numFmtId="3" fontId="37" fillId="18" borderId="5" xfId="0" applyNumberFormat="1" applyFont="1" applyFill="1" applyBorder="1" applyAlignment="1">
      <alignment vertical="center"/>
    </xf>
    <xf numFmtId="3" fontId="3" fillId="19" borderId="8" xfId="10" applyNumberFormat="1" applyFont="1" applyFill="1" applyBorder="1" applyAlignment="1">
      <alignment horizontal="center" vertical="center" wrapText="1"/>
    </xf>
    <xf numFmtId="3" fontId="3" fillId="19" borderId="3" xfId="10" applyNumberFormat="1" applyFont="1" applyFill="1" applyBorder="1" applyAlignment="1">
      <alignment horizontal="center" vertical="center" wrapText="1"/>
    </xf>
    <xf numFmtId="49" fontId="3" fillId="5" borderId="4" xfId="10" applyNumberFormat="1" applyFont="1" applyFill="1" applyBorder="1" applyAlignment="1">
      <alignment horizontal="left" vertical="center"/>
    </xf>
    <xf numFmtId="49" fontId="3" fillId="5" borderId="13" xfId="10" applyNumberFormat="1" applyFont="1" applyFill="1" applyBorder="1" applyAlignment="1">
      <alignment horizontal="left" vertical="center"/>
    </xf>
    <xf numFmtId="49" fontId="3" fillId="5" borderId="14" xfId="10" applyNumberFormat="1" applyFont="1" applyFill="1" applyBorder="1" applyAlignment="1">
      <alignment vertical="center"/>
    </xf>
    <xf numFmtId="3" fontId="4" fillId="0" borderId="15" xfId="10" applyNumberFormat="1" applyFont="1" applyBorder="1" applyAlignment="1">
      <alignment vertical="center"/>
    </xf>
    <xf numFmtId="3" fontId="3" fillId="14" borderId="1" xfId="10" applyNumberFormat="1" applyFont="1" applyFill="1" applyBorder="1" applyAlignment="1">
      <alignment horizontal="center" vertical="center" wrapText="1"/>
    </xf>
    <xf numFmtId="0" fontId="0" fillId="0" borderId="0" xfId="0" applyFont="1"/>
    <xf numFmtId="0" fontId="42" fillId="20" borderId="16" xfId="0" applyFont="1" applyFill="1" applyBorder="1"/>
    <xf numFmtId="3" fontId="42" fillId="20" borderId="16" xfId="0" applyNumberFormat="1" applyFont="1" applyFill="1" applyBorder="1"/>
    <xf numFmtId="0" fontId="42" fillId="21" borderId="16" xfId="0" applyFont="1" applyFill="1" applyBorder="1"/>
    <xf numFmtId="3" fontId="42" fillId="21" borderId="16" xfId="0" applyNumberFormat="1" applyFont="1" applyFill="1" applyBorder="1"/>
    <xf numFmtId="0" fontId="42" fillId="20" borderId="0" xfId="0" applyFont="1" applyFill="1"/>
    <xf numFmtId="3" fontId="42" fillId="20" borderId="0" xfId="0" applyNumberFormat="1" applyFont="1" applyFill="1"/>
    <xf numFmtId="0" fontId="42" fillId="21" borderId="0" xfId="0" applyFont="1" applyFill="1"/>
    <xf numFmtId="3" fontId="42" fillId="21" borderId="0" xfId="0" applyNumberFormat="1" applyFont="1" applyFill="1"/>
    <xf numFmtId="0" fontId="39" fillId="0" borderId="0" xfId="0" applyFont="1" applyAlignment="1">
      <alignment vertical="center"/>
    </xf>
    <xf numFmtId="0" fontId="12" fillId="16" borderId="5" xfId="8" applyFont="1" applyFill="1" applyBorder="1" applyAlignment="1">
      <alignment horizontal="center" vertical="center" wrapText="1"/>
    </xf>
    <xf numFmtId="3" fontId="12" fillId="22" borderId="5" xfId="8" applyNumberFormat="1" applyFont="1" applyFill="1" applyBorder="1" applyAlignment="1">
      <alignment horizontal="center" vertical="center" wrapText="1"/>
    </xf>
    <xf numFmtId="3" fontId="12" fillId="16" borderId="5" xfId="8" applyNumberFormat="1" applyFont="1" applyFill="1" applyBorder="1" applyAlignment="1">
      <alignment horizontal="center" vertical="center" wrapText="1"/>
    </xf>
    <xf numFmtId="3" fontId="12" fillId="22" borderId="17" xfId="8" applyNumberFormat="1" applyFont="1" applyFill="1" applyBorder="1" applyAlignment="1">
      <alignment horizontal="center" vertical="center" wrapText="1"/>
    </xf>
    <xf numFmtId="3" fontId="12" fillId="16" borderId="17" xfId="8" applyNumberFormat="1" applyFont="1" applyFill="1" applyBorder="1" applyAlignment="1">
      <alignment horizontal="center" vertical="center" wrapText="1"/>
    </xf>
    <xf numFmtId="0" fontId="12" fillId="22" borderId="17" xfId="8" applyFont="1" applyFill="1" applyBorder="1" applyAlignment="1">
      <alignment horizontal="center" vertical="center" wrapText="1"/>
    </xf>
    <xf numFmtId="0" fontId="12" fillId="16" borderId="17" xfId="8" applyFont="1" applyFill="1" applyBorder="1" applyAlignment="1">
      <alignment horizontal="center" vertical="center" wrapText="1"/>
    </xf>
    <xf numFmtId="0" fontId="12" fillId="23" borderId="17" xfId="8" applyFont="1" applyFill="1" applyBorder="1" applyAlignment="1">
      <alignment horizontal="center" vertical="center" wrapText="1"/>
    </xf>
    <xf numFmtId="0" fontId="12" fillId="24" borderId="17" xfId="8" applyFont="1" applyFill="1" applyBorder="1" applyAlignment="1">
      <alignment horizontal="center" vertical="center" wrapText="1"/>
    </xf>
    <xf numFmtId="0" fontId="12" fillId="23" borderId="0" xfId="8" applyFont="1" applyFill="1" applyBorder="1" applyAlignment="1">
      <alignment horizontal="center" vertical="center" wrapText="1"/>
    </xf>
    <xf numFmtId="0" fontId="12" fillId="24" borderId="0" xfId="8" applyFont="1" applyFill="1" applyBorder="1" applyAlignment="1">
      <alignment horizontal="center" vertical="center" wrapText="1"/>
    </xf>
    <xf numFmtId="0" fontId="6" fillId="0" borderId="0" xfId="8" applyFont="1"/>
    <xf numFmtId="0" fontId="6" fillId="0" borderId="5" xfId="8" applyFont="1" applyBorder="1"/>
    <xf numFmtId="3" fontId="6" fillId="8" borderId="5" xfId="8" applyNumberFormat="1" applyFont="1" applyFill="1" applyBorder="1"/>
    <xf numFmtId="3" fontId="6" fillId="0" borderId="5" xfId="8" applyNumberFormat="1" applyFont="1" applyBorder="1"/>
    <xf numFmtId="0" fontId="12" fillId="16" borderId="5" xfId="8" applyFont="1" applyFill="1" applyBorder="1"/>
    <xf numFmtId="3" fontId="12" fillId="22" borderId="5" xfId="8" applyNumberFormat="1" applyFont="1" applyFill="1" applyBorder="1"/>
    <xf numFmtId="3" fontId="12" fillId="16" borderId="5" xfId="8" applyNumberFormat="1" applyFont="1" applyFill="1" applyBorder="1"/>
    <xf numFmtId="0" fontId="12" fillId="0" borderId="0" xfId="8" applyFont="1"/>
    <xf numFmtId="0" fontId="12" fillId="0" borderId="5" xfId="8" applyFont="1" applyBorder="1"/>
    <xf numFmtId="3" fontId="12" fillId="8" borderId="5" xfId="8" applyNumberFormat="1" applyFont="1" applyFill="1" applyBorder="1"/>
    <xf numFmtId="3" fontId="12" fillId="0" borderId="5" xfId="8" applyNumberFormat="1" applyFont="1" applyBorder="1"/>
    <xf numFmtId="0" fontId="6" fillId="0" borderId="5" xfId="8" applyBorder="1"/>
    <xf numFmtId="3" fontId="12" fillId="25" borderId="5" xfId="8" applyNumberFormat="1" applyFont="1" applyFill="1" applyBorder="1"/>
    <xf numFmtId="3" fontId="12" fillId="15" borderId="5" xfId="8" applyNumberFormat="1" applyFont="1" applyFill="1" applyBorder="1"/>
    <xf numFmtId="3" fontId="6" fillId="8" borderId="0" xfId="8" applyNumberFormat="1" applyFont="1" applyFill="1"/>
    <xf numFmtId="3" fontId="6" fillId="0" borderId="0" xfId="8" applyNumberFormat="1" applyFont="1"/>
    <xf numFmtId="0" fontId="6" fillId="8" borderId="0" xfId="8" applyFont="1" applyFill="1"/>
    <xf numFmtId="0" fontId="43" fillId="0" borderId="0" xfId="7" applyFont="1" applyAlignment="1">
      <alignment vertical="center"/>
    </xf>
    <xf numFmtId="0" fontId="43" fillId="0" borderId="0" xfId="7" applyFont="1" applyFill="1" applyAlignment="1">
      <alignment vertical="center"/>
    </xf>
    <xf numFmtId="49" fontId="43" fillId="0" borderId="0" xfId="7" applyNumberFormat="1" applyFont="1" applyFill="1" applyAlignment="1">
      <alignment horizontal="center" vertical="center"/>
    </xf>
    <xf numFmtId="3" fontId="13" fillId="24" borderId="5" xfId="9" applyNumberFormat="1" applyFont="1" applyFill="1" applyBorder="1" applyAlignment="1">
      <alignment horizontal="right" vertical="center" wrapText="1"/>
    </xf>
    <xf numFmtId="49" fontId="43" fillId="0" borderId="0" xfId="7" applyNumberFormat="1" applyFont="1" applyAlignment="1">
      <alignment horizontal="center" vertical="center"/>
    </xf>
    <xf numFmtId="0" fontId="44" fillId="0" borderId="0" xfId="7" applyFont="1" applyAlignment="1">
      <alignment vertical="center"/>
    </xf>
    <xf numFmtId="0" fontId="43" fillId="26" borderId="0" xfId="7" applyFont="1" applyFill="1" applyAlignment="1">
      <alignment vertical="center"/>
    </xf>
    <xf numFmtId="0" fontId="45" fillId="0" borderId="0" xfId="7" applyFont="1" applyAlignment="1">
      <alignment vertical="center"/>
    </xf>
    <xf numFmtId="0" fontId="7" fillId="0" borderId="0" xfId="9" applyFont="1" applyAlignment="1">
      <alignment horizontal="left" vertical="center"/>
    </xf>
    <xf numFmtId="0" fontId="41" fillId="9" borderId="0" xfId="9" applyFont="1" applyFill="1" applyAlignment="1">
      <alignment horizontal="right" vertical="center"/>
    </xf>
    <xf numFmtId="0" fontId="37" fillId="13" borderId="0" xfId="0" applyFont="1" applyFill="1" applyBorder="1" applyAlignment="1">
      <alignment horizontal="center" vertical="center" wrapText="1"/>
    </xf>
    <xf numFmtId="0" fontId="15" fillId="0" borderId="0" xfId="9" applyFont="1" applyBorder="1" applyAlignment="1">
      <alignment horizontal="left" vertical="center"/>
    </xf>
    <xf numFmtId="0" fontId="15" fillId="0" borderId="0" xfId="9" applyFont="1" applyAlignment="1">
      <alignment horizontal="left" vertical="center"/>
    </xf>
    <xf numFmtId="0" fontId="12" fillId="16" borderId="5" xfId="9" applyFont="1" applyFill="1" applyBorder="1" applyAlignment="1">
      <alignment horizontal="left" vertical="center" wrapText="1"/>
    </xf>
    <xf numFmtId="3" fontId="12" fillId="16" borderId="5" xfId="9" applyNumberFormat="1" applyFont="1" applyFill="1" applyBorder="1" applyAlignment="1">
      <alignment horizontal="right" vertical="center"/>
    </xf>
    <xf numFmtId="0" fontId="16" fillId="0" borderId="0" xfId="9" applyFont="1" applyBorder="1" applyAlignment="1">
      <alignment horizontal="left" vertical="center"/>
    </xf>
    <xf numFmtId="0" fontId="16" fillId="0" borderId="0" xfId="9" applyFont="1" applyAlignment="1">
      <alignment horizontal="left" vertical="center"/>
    </xf>
    <xf numFmtId="0" fontId="17" fillId="0" borderId="0" xfId="9" applyFont="1" applyAlignment="1">
      <alignment horizontal="left" vertical="center"/>
    </xf>
    <xf numFmtId="0" fontId="6" fillId="0" borderId="5" xfId="9" applyFont="1" applyBorder="1" applyAlignment="1">
      <alignment horizontal="left" vertical="center" wrapText="1"/>
    </xf>
    <xf numFmtId="3" fontId="6" fillId="9" borderId="5" xfId="9" applyNumberFormat="1" applyFont="1" applyFill="1" applyBorder="1" applyAlignment="1">
      <alignment horizontal="right" vertical="center"/>
    </xf>
    <xf numFmtId="0" fontId="14" fillId="0" borderId="0" xfId="9" applyFont="1" applyBorder="1" applyAlignment="1">
      <alignment horizontal="left" vertical="center"/>
    </xf>
    <xf numFmtId="0" fontId="7" fillId="0" borderId="0" xfId="9" applyFont="1" applyBorder="1" applyAlignment="1">
      <alignment horizontal="left" vertical="center"/>
    </xf>
    <xf numFmtId="16" fontId="6" fillId="0" borderId="5" xfId="9" applyNumberFormat="1" applyFont="1" applyBorder="1" applyAlignment="1">
      <alignment horizontal="left" vertical="center" wrapText="1"/>
    </xf>
    <xf numFmtId="49" fontId="6" fillId="0" borderId="5" xfId="9" applyNumberFormat="1" applyFont="1" applyBorder="1" applyAlignment="1">
      <alignment horizontal="left" vertical="center" wrapText="1"/>
    </xf>
    <xf numFmtId="0" fontId="13" fillId="0" borderId="0" xfId="9" applyFont="1" applyBorder="1" applyAlignment="1">
      <alignment horizontal="left" vertical="center"/>
    </xf>
    <xf numFmtId="0" fontId="17" fillId="0" borderId="0" xfId="9" applyFont="1" applyBorder="1" applyAlignment="1">
      <alignment horizontal="left" vertical="center"/>
    </xf>
    <xf numFmtId="0" fontId="46" fillId="27" borderId="5" xfId="0" applyFont="1" applyFill="1" applyBorder="1"/>
    <xf numFmtId="0" fontId="13" fillId="10" borderId="0" xfId="9" applyFont="1" applyFill="1" applyBorder="1" applyAlignment="1">
      <alignment horizontal="left" vertical="center"/>
    </xf>
    <xf numFmtId="0" fontId="17" fillId="10" borderId="0" xfId="9" applyFont="1" applyFill="1" applyBorder="1" applyAlignment="1">
      <alignment horizontal="left" vertical="center"/>
    </xf>
    <xf numFmtId="0" fontId="17" fillId="10" borderId="0" xfId="9" applyFont="1" applyFill="1" applyAlignment="1">
      <alignment horizontal="left" vertical="center"/>
    </xf>
    <xf numFmtId="0" fontId="7" fillId="10" borderId="0" xfId="9" applyFont="1" applyFill="1" applyAlignment="1">
      <alignment horizontal="left" vertical="center"/>
    </xf>
    <xf numFmtId="0" fontId="14" fillId="0" borderId="0" xfId="9" applyFont="1" applyBorder="1" applyAlignment="1">
      <alignment horizontal="left" vertical="center" wrapText="1"/>
    </xf>
    <xf numFmtId="168" fontId="6" fillId="0" borderId="0" xfId="9" applyNumberFormat="1" applyFont="1" applyFill="1" applyBorder="1" applyAlignment="1">
      <alignment horizontal="left" vertical="center"/>
    </xf>
    <xf numFmtId="168" fontId="6" fillId="0" borderId="2" xfId="9" applyNumberFormat="1" applyFont="1" applyFill="1" applyBorder="1" applyAlignment="1">
      <alignment horizontal="left" vertical="center"/>
    </xf>
    <xf numFmtId="0" fontId="47" fillId="17" borderId="0" xfId="0" applyFont="1" applyFill="1"/>
    <xf numFmtId="0" fontId="48" fillId="17" borderId="0" xfId="0" applyFont="1" applyFill="1"/>
    <xf numFmtId="0" fontId="48" fillId="28" borderId="0" xfId="0" applyFont="1" applyFill="1"/>
    <xf numFmtId="3" fontId="48" fillId="17" borderId="0" xfId="0" applyNumberFormat="1" applyFont="1" applyFill="1"/>
    <xf numFmtId="3" fontId="48" fillId="28" borderId="0" xfId="0" applyNumberFormat="1" applyFont="1" applyFill="1"/>
    <xf numFmtId="3" fontId="47" fillId="17" borderId="0" xfId="0" applyNumberFormat="1" applyFont="1" applyFill="1"/>
    <xf numFmtId="3" fontId="13" fillId="24" borderId="0" xfId="9" applyNumberFormat="1" applyFont="1" applyFill="1" applyBorder="1" applyAlignment="1">
      <alignment horizontal="right" vertical="center" wrapText="1"/>
    </xf>
    <xf numFmtId="0" fontId="49" fillId="29" borderId="16" xfId="0" applyFont="1" applyFill="1" applyBorder="1" applyAlignment="1">
      <alignment horizontal="center" vertical="center"/>
    </xf>
    <xf numFmtId="3" fontId="49" fillId="29" borderId="16" xfId="0" applyNumberFormat="1" applyFont="1" applyFill="1" applyBorder="1" applyAlignment="1">
      <alignment horizontal="center" vertical="center"/>
    </xf>
    <xf numFmtId="169" fontId="50" fillId="0" borderId="0" xfId="0" applyNumberFormat="1" applyFont="1"/>
    <xf numFmtId="0" fontId="39" fillId="15" borderId="38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7" fillId="13" borderId="38" xfId="0" applyFont="1" applyFill="1" applyBorder="1"/>
    <xf numFmtId="3" fontId="37" fillId="13" borderId="38" xfId="0" applyNumberFormat="1" applyFont="1" applyFill="1" applyBorder="1"/>
    <xf numFmtId="0" fontId="51" fillId="0" borderId="38" xfId="0" applyFont="1" applyFill="1" applyBorder="1" applyAlignment="1">
      <alignment horizontal="center" vertical="center"/>
    </xf>
    <xf numFmtId="0" fontId="52" fillId="0" borderId="38" xfId="0" applyFont="1" applyFill="1" applyBorder="1" applyAlignment="1">
      <alignment vertical="center"/>
    </xf>
    <xf numFmtId="3" fontId="51" fillId="0" borderId="38" xfId="0" applyNumberFormat="1" applyFont="1" applyFill="1" applyBorder="1" applyAlignment="1">
      <alignment vertical="center"/>
    </xf>
    <xf numFmtId="0" fontId="39" fillId="16" borderId="38" xfId="0" applyFont="1" applyFill="1" applyBorder="1" applyAlignment="1">
      <alignment horizontal="center"/>
    </xf>
    <xf numFmtId="0" fontId="39" fillId="16" borderId="38" xfId="0" applyFont="1" applyFill="1" applyBorder="1"/>
    <xf numFmtId="3" fontId="39" fillId="16" borderId="38" xfId="0" applyNumberFormat="1" applyFont="1" applyFill="1" applyBorder="1"/>
    <xf numFmtId="0" fontId="39" fillId="12" borderId="38" xfId="0" applyFont="1" applyFill="1" applyBorder="1" applyAlignment="1">
      <alignment horizontal="center"/>
    </xf>
    <xf numFmtId="0" fontId="39" fillId="12" borderId="38" xfId="0" applyFont="1" applyFill="1" applyBorder="1"/>
    <xf numFmtId="3" fontId="39" fillId="12" borderId="38" xfId="0" applyNumberFormat="1" applyFont="1" applyFill="1" applyBorder="1"/>
    <xf numFmtId="0" fontId="0" fillId="0" borderId="38" xfId="0" applyFont="1" applyBorder="1" applyAlignment="1">
      <alignment horizontal="center"/>
    </xf>
    <xf numFmtId="0" fontId="0" fillId="0" borderId="38" xfId="0" applyFont="1" applyBorder="1"/>
    <xf numFmtId="0" fontId="0" fillId="0" borderId="38" xfId="0" applyBorder="1" applyAlignment="1">
      <alignment horizontal="center"/>
    </xf>
    <xf numFmtId="0" fontId="0" fillId="0" borderId="38" xfId="0" applyBorder="1" applyAlignment="1">
      <alignment horizontal="left"/>
    </xf>
    <xf numFmtId="0" fontId="39" fillId="15" borderId="38" xfId="0" applyFont="1" applyFill="1" applyBorder="1" applyAlignment="1">
      <alignment horizontal="center"/>
    </xf>
    <xf numFmtId="0" fontId="39" fillId="15" borderId="38" xfId="0" applyFont="1" applyFill="1" applyBorder="1"/>
    <xf numFmtId="3" fontId="39" fillId="15" borderId="38" xfId="0" applyNumberFormat="1" applyFont="1" applyFill="1" applyBorder="1"/>
    <xf numFmtId="0" fontId="0" fillId="0" borderId="38" xfId="0" applyBorder="1"/>
    <xf numFmtId="0" fontId="0" fillId="0" borderId="0" xfId="0" applyAlignment="1">
      <alignment horizontal="center"/>
    </xf>
    <xf numFmtId="0" fontId="55" fillId="0" borderId="5" xfId="0" applyFont="1" applyBorder="1" applyAlignment="1">
      <alignment horizontal="center" vertical="center" wrapText="1"/>
    </xf>
    <xf numFmtId="49" fontId="0" fillId="0" borderId="5" xfId="0" applyNumberFormat="1" applyBorder="1" applyAlignment="1">
      <alignment horizontal="center"/>
    </xf>
    <xf numFmtId="0" fontId="0" fillId="0" borderId="5" xfId="0" applyBorder="1" applyAlignment="1">
      <alignment wrapText="1"/>
    </xf>
    <xf numFmtId="3" fontId="0" fillId="0" borderId="5" xfId="0" applyNumberFormat="1" applyBorder="1"/>
    <xf numFmtId="0" fontId="55" fillId="12" borderId="5" xfId="0" applyFont="1" applyFill="1" applyBorder="1" applyAlignment="1">
      <alignment horizontal="center" vertical="center"/>
    </xf>
    <xf numFmtId="0" fontId="55" fillId="12" borderId="5" xfId="0" applyFont="1" applyFill="1" applyBorder="1" applyAlignment="1">
      <alignment vertical="center" wrapText="1"/>
    </xf>
    <xf numFmtId="3" fontId="55" fillId="12" borderId="5" xfId="0" applyNumberFormat="1" applyFont="1" applyFill="1" applyBorder="1" applyAlignment="1">
      <alignment vertical="center"/>
    </xf>
    <xf numFmtId="0" fontId="55" fillId="16" borderId="5" xfId="0" applyFont="1" applyFill="1" applyBorder="1" applyAlignment="1">
      <alignment horizontal="center" vertical="center"/>
    </xf>
    <xf numFmtId="0" fontId="55" fillId="16" borderId="5" xfId="0" applyFont="1" applyFill="1" applyBorder="1" applyAlignment="1">
      <alignment vertical="center" wrapText="1"/>
    </xf>
    <xf numFmtId="3" fontId="55" fillId="16" borderId="5" xfId="0" applyNumberFormat="1" applyFont="1" applyFill="1" applyBorder="1" applyAlignment="1">
      <alignment vertical="center"/>
    </xf>
    <xf numFmtId="0" fontId="56" fillId="27" borderId="5" xfId="0" applyFont="1" applyFill="1" applyBorder="1" applyAlignment="1">
      <alignment horizontal="center" vertical="center"/>
    </xf>
    <xf numFmtId="0" fontId="56" fillId="27" borderId="5" xfId="0" applyFont="1" applyFill="1" applyBorder="1" applyAlignment="1">
      <alignment vertical="center"/>
    </xf>
    <xf numFmtId="3" fontId="56" fillId="27" borderId="5" xfId="0" applyNumberFormat="1" applyFont="1" applyFill="1" applyBorder="1" applyAlignment="1">
      <alignment vertical="center"/>
    </xf>
    <xf numFmtId="0" fontId="0" fillId="0" borderId="0" xfId="0" applyAlignment="1">
      <alignment wrapText="1"/>
    </xf>
    <xf numFmtId="170" fontId="36" fillId="0" borderId="0" xfId="1" applyNumberFormat="1" applyFont="1"/>
    <xf numFmtId="170" fontId="36" fillId="0" borderId="0" xfId="1" applyNumberFormat="1" applyFont="1" applyAlignment="1">
      <alignment horizontal="center"/>
    </xf>
    <xf numFmtId="170" fontId="39" fillId="24" borderId="16" xfId="1" applyNumberFormat="1" applyFont="1" applyFill="1" applyBorder="1" applyAlignment="1">
      <alignment horizontal="center" vertical="center" wrapText="1"/>
    </xf>
    <xf numFmtId="170" fontId="39" fillId="24" borderId="16" xfId="1" applyNumberFormat="1" applyFont="1" applyFill="1" applyBorder="1" applyAlignment="1">
      <alignment vertical="center"/>
    </xf>
    <xf numFmtId="0" fontId="0" fillId="0" borderId="16" xfId="0" applyBorder="1" applyAlignment="1">
      <alignment vertical="center" wrapText="1"/>
    </xf>
    <xf numFmtId="170" fontId="36" fillId="0" borderId="16" xfId="1" applyNumberFormat="1" applyFont="1" applyBorder="1" applyAlignment="1">
      <alignment vertical="center"/>
    </xf>
    <xf numFmtId="170" fontId="36" fillId="0" borderId="16" xfId="1" applyNumberFormat="1" applyFont="1" applyBorder="1" applyAlignment="1">
      <alignment horizontal="right" vertical="center"/>
    </xf>
    <xf numFmtId="170" fontId="36" fillId="0" borderId="16" xfId="1" applyNumberFormat="1" applyFont="1" applyBorder="1" applyAlignment="1">
      <alignment horizontal="center" vertical="center"/>
    </xf>
    <xf numFmtId="0" fontId="39" fillId="16" borderId="16" xfId="0" applyFont="1" applyFill="1" applyBorder="1" applyAlignment="1">
      <alignment horizontal="center"/>
    </xf>
    <xf numFmtId="170" fontId="39" fillId="16" borderId="16" xfId="1" applyNumberFormat="1" applyFont="1" applyFill="1" applyBorder="1"/>
    <xf numFmtId="170" fontId="39" fillId="16" borderId="16" xfId="1" applyNumberFormat="1" applyFont="1" applyFill="1" applyBorder="1" applyAlignment="1">
      <alignment horizontal="center"/>
    </xf>
    <xf numFmtId="0" fontId="13" fillId="0" borderId="0" xfId="9" applyFont="1"/>
    <xf numFmtId="0" fontId="17" fillId="0" borderId="0" xfId="9" applyFont="1"/>
    <xf numFmtId="0" fontId="19" fillId="0" borderId="0" xfId="9" applyFont="1" applyAlignment="1">
      <alignment horizontal="center"/>
    </xf>
    <xf numFmtId="49" fontId="14" fillId="0" borderId="0" xfId="9" applyNumberFormat="1" applyFont="1" applyAlignment="1">
      <alignment horizontal="center"/>
    </xf>
    <xf numFmtId="0" fontId="14" fillId="0" borderId="0" xfId="9" applyFont="1"/>
    <xf numFmtId="0" fontId="7" fillId="0" borderId="0" xfId="9"/>
    <xf numFmtId="0" fontId="14" fillId="0" borderId="0" xfId="9" applyFont="1" applyAlignment="1">
      <alignment horizontal="center"/>
    </xf>
    <xf numFmtId="49" fontId="37" fillId="13" borderId="38" xfId="0" applyNumberFormat="1" applyFont="1" applyFill="1" applyBorder="1" applyAlignment="1">
      <alignment horizontal="center"/>
    </xf>
    <xf numFmtId="3" fontId="39" fillId="15" borderId="38" xfId="0" applyNumberFormat="1" applyFont="1" applyFill="1" applyBorder="1" applyAlignment="1">
      <alignment horizontal="center" vertical="center" wrapText="1"/>
    </xf>
    <xf numFmtId="0" fontId="6" fillId="0" borderId="0" xfId="9" applyFont="1" applyAlignment="1">
      <alignment vertical="center"/>
    </xf>
    <xf numFmtId="0" fontId="6" fillId="0" borderId="0" xfId="9" applyFont="1"/>
    <xf numFmtId="0" fontId="6" fillId="0" borderId="0" xfId="9" applyFont="1" applyAlignment="1">
      <alignment horizontal="center" vertical="center"/>
    </xf>
    <xf numFmtId="0" fontId="22" fillId="0" borderId="2" xfId="9" applyFont="1" applyBorder="1" applyAlignment="1">
      <alignment horizontal="center" vertical="center"/>
    </xf>
    <xf numFmtId="0" fontId="12" fillId="0" borderId="2" xfId="9" applyFont="1" applyBorder="1" applyAlignment="1">
      <alignment horizontal="left" vertical="center"/>
    </xf>
    <xf numFmtId="0" fontId="12" fillId="0" borderId="0" xfId="9" applyFont="1" applyAlignment="1">
      <alignment horizontal="center" vertical="center"/>
    </xf>
    <xf numFmtId="0" fontId="6" fillId="0" borderId="2" xfId="9" applyFont="1" applyBorder="1" applyAlignment="1">
      <alignment horizontal="left" vertical="center" wrapText="1"/>
    </xf>
    <xf numFmtId="165" fontId="6" fillId="30" borderId="2" xfId="9" applyNumberFormat="1" applyFont="1" applyFill="1" applyBorder="1" applyAlignment="1">
      <alignment horizontal="center" vertical="center"/>
    </xf>
    <xf numFmtId="0" fontId="6" fillId="0" borderId="2" xfId="9" applyFont="1" applyBorder="1" applyAlignment="1">
      <alignment horizontal="left" vertical="center"/>
    </xf>
    <xf numFmtId="0" fontId="12" fillId="31" borderId="2" xfId="9" applyFont="1" applyFill="1" applyBorder="1" applyAlignment="1">
      <alignment horizontal="left" vertical="center"/>
    </xf>
    <xf numFmtId="165" fontId="12" fillId="31" borderId="2" xfId="9" applyNumberFormat="1" applyFont="1" applyFill="1" applyBorder="1" applyAlignment="1">
      <alignment horizontal="center" vertical="center" wrapText="1"/>
    </xf>
    <xf numFmtId="3" fontId="12" fillId="31" borderId="2" xfId="9" applyNumberFormat="1" applyFont="1" applyFill="1" applyBorder="1" applyAlignment="1">
      <alignment horizontal="center" vertical="center" wrapText="1"/>
    </xf>
    <xf numFmtId="0" fontId="12" fillId="31" borderId="0" xfId="9" applyFont="1" applyFill="1" applyAlignment="1">
      <alignment horizontal="center" vertical="center"/>
    </xf>
    <xf numFmtId="0" fontId="6" fillId="30" borderId="2" xfId="9" applyFont="1" applyFill="1" applyBorder="1" applyAlignment="1">
      <alignment horizontal="center" vertical="center"/>
    </xf>
    <xf numFmtId="166" fontId="12" fillId="31" borderId="2" xfId="9" applyNumberFormat="1" applyFont="1" applyFill="1" applyBorder="1" applyAlignment="1">
      <alignment horizontal="center" vertical="center" wrapText="1"/>
    </xf>
    <xf numFmtId="0" fontId="56" fillId="13" borderId="2" xfId="9" applyFont="1" applyFill="1" applyBorder="1" applyAlignment="1">
      <alignment horizontal="left" vertical="center"/>
    </xf>
    <xf numFmtId="165" fontId="56" fillId="13" borderId="2" xfId="9" applyNumberFormat="1" applyFont="1" applyFill="1" applyBorder="1" applyAlignment="1">
      <alignment horizontal="center" vertical="center"/>
    </xf>
    <xf numFmtId="0" fontId="12" fillId="13" borderId="0" xfId="9" applyFont="1" applyFill="1" applyAlignment="1">
      <alignment vertical="center"/>
    </xf>
    <xf numFmtId="3" fontId="3" fillId="14" borderId="1" xfId="10" applyNumberFormat="1" applyFont="1" applyFill="1" applyBorder="1" applyAlignment="1">
      <alignment horizontal="center" vertical="center" wrapText="1"/>
    </xf>
    <xf numFmtId="0" fontId="0" fillId="0" borderId="38" xfId="0" applyBorder="1" applyAlignment="1">
      <alignment horizontal="center" vertical="center"/>
    </xf>
    <xf numFmtId="16" fontId="0" fillId="0" borderId="38" xfId="0" applyNumberFormat="1" applyBorder="1" applyAlignment="1">
      <alignment horizontal="left" vertical="center" wrapText="1"/>
    </xf>
    <xf numFmtId="0" fontId="0" fillId="0" borderId="38" xfId="0" applyFont="1" applyBorder="1" applyAlignment="1">
      <alignment horizontal="center" vertical="center" wrapText="1"/>
    </xf>
    <xf numFmtId="0" fontId="0" fillId="0" borderId="38" xfId="0" applyBorder="1" applyAlignment="1">
      <alignment vertical="center" wrapText="1"/>
    </xf>
    <xf numFmtId="3" fontId="0" fillId="0" borderId="38" xfId="0" applyNumberFormat="1" applyFont="1" applyBorder="1" applyAlignment="1">
      <alignment vertical="center" wrapText="1"/>
    </xf>
    <xf numFmtId="49" fontId="37" fillId="13" borderId="5" xfId="0" applyNumberFormat="1" applyFont="1" applyFill="1" applyBorder="1" applyAlignment="1">
      <alignment horizontal="center" vertical="center"/>
    </xf>
    <xf numFmtId="0" fontId="37" fillId="13" borderId="5" xfId="0" applyFont="1" applyFill="1" applyBorder="1" applyAlignment="1">
      <alignment vertical="center"/>
    </xf>
    <xf numFmtId="3" fontId="37" fillId="13" borderId="5" xfId="0" applyNumberFormat="1" applyFont="1" applyFill="1" applyBorder="1" applyAlignment="1">
      <alignment horizontal="right" vertical="center"/>
    </xf>
    <xf numFmtId="49" fontId="39" fillId="16" borderId="5" xfId="0" applyNumberFormat="1" applyFont="1" applyFill="1" applyBorder="1" applyAlignment="1">
      <alignment horizontal="center" vertical="center"/>
    </xf>
    <xf numFmtId="0" fontId="39" fillId="16" borderId="5" xfId="0" applyFont="1" applyFill="1" applyBorder="1" applyAlignment="1">
      <alignment vertical="center"/>
    </xf>
    <xf numFmtId="49" fontId="39" fillId="0" borderId="5" xfId="0" applyNumberFormat="1" applyFont="1" applyBorder="1" applyAlignment="1">
      <alignment horizontal="center" vertical="center"/>
    </xf>
    <xf numFmtId="49" fontId="39" fillId="0" borderId="5" xfId="0" applyNumberFormat="1" applyFont="1" applyBorder="1"/>
    <xf numFmtId="3" fontId="39" fillId="0" borderId="5" xfId="0" applyNumberFormat="1" applyFont="1" applyBorder="1"/>
    <xf numFmtId="49" fontId="0" fillId="0" borderId="5" xfId="0" applyNumberFormat="1" applyBorder="1" applyAlignment="1">
      <alignment horizontal="center" vertical="center"/>
    </xf>
    <xf numFmtId="49" fontId="0" fillId="0" borderId="5" xfId="0" applyNumberFormat="1" applyBorder="1"/>
    <xf numFmtId="49" fontId="0" fillId="0" borderId="5" xfId="0" applyNumberFormat="1" applyBorder="1" applyAlignment="1">
      <alignment vertical="center" wrapText="1"/>
    </xf>
    <xf numFmtId="3" fontId="0" fillId="0" borderId="5" xfId="0" applyNumberFormat="1" applyBorder="1" applyAlignment="1">
      <alignment vertical="center"/>
    </xf>
    <xf numFmtId="3" fontId="41" fillId="0" borderId="5" xfId="0" applyNumberFormat="1" applyFont="1" applyBorder="1" applyAlignment="1">
      <alignment vertical="center"/>
    </xf>
    <xf numFmtId="3" fontId="0" fillId="0" borderId="5" xfId="0" applyNumberFormat="1" applyFont="1" applyBorder="1"/>
    <xf numFmtId="0" fontId="37" fillId="32" borderId="5" xfId="0" applyFont="1" applyFill="1" applyBorder="1" applyAlignment="1">
      <alignment vertical="center" wrapText="1"/>
    </xf>
    <xf numFmtId="0" fontId="39" fillId="0" borderId="5" xfId="0" applyFont="1" applyFill="1" applyBorder="1" applyAlignment="1">
      <alignment horizontal="center" vertical="center" wrapText="1"/>
    </xf>
    <xf numFmtId="0" fontId="39" fillId="0" borderId="5" xfId="0" applyFont="1" applyFill="1" applyBorder="1" applyAlignment="1">
      <alignment horizontal="left" vertical="center"/>
    </xf>
    <xf numFmtId="165" fontId="39" fillId="0" borderId="5" xfId="0" applyNumberFormat="1" applyFont="1" applyFill="1" applyBorder="1" applyAlignment="1">
      <alignment horizontal="right" vertical="center" wrapText="1"/>
    </xf>
    <xf numFmtId="0" fontId="39" fillId="16" borderId="5" xfId="0" applyFont="1" applyFill="1" applyBorder="1" applyAlignment="1">
      <alignment horizontal="center" vertical="center"/>
    </xf>
    <xf numFmtId="0" fontId="39" fillId="16" borderId="5" xfId="0" applyFont="1" applyFill="1" applyBorder="1"/>
    <xf numFmtId="3" fontId="39" fillId="16" borderId="5" xfId="0" applyNumberFormat="1" applyFont="1" applyFill="1" applyBorder="1"/>
    <xf numFmtId="0" fontId="39" fillId="12" borderId="5" xfId="0" applyFont="1" applyFill="1" applyBorder="1" applyAlignment="1">
      <alignment horizontal="center" vertical="center"/>
    </xf>
    <xf numFmtId="0" fontId="39" fillId="12" borderId="5" xfId="0" applyFont="1" applyFill="1" applyBorder="1"/>
    <xf numFmtId="3" fontId="39" fillId="12" borderId="5" xfId="0" applyNumberFormat="1" applyFont="1" applyFill="1" applyBorder="1"/>
    <xf numFmtId="0" fontId="0" fillId="0" borderId="5" xfId="0" applyBorder="1" applyAlignment="1">
      <alignment horizontal="left" vertical="center" wrapText="1"/>
    </xf>
    <xf numFmtId="3" fontId="0" fillId="0" borderId="5" xfId="0" applyNumberFormat="1" applyBorder="1" applyAlignment="1">
      <alignment horizontal="right" vertical="center" wrapText="1"/>
    </xf>
    <xf numFmtId="0" fontId="0" fillId="0" borderId="5" xfId="0" applyBorder="1"/>
    <xf numFmtId="0" fontId="39" fillId="15" borderId="5" xfId="0" applyFont="1" applyFill="1" applyBorder="1" applyAlignment="1">
      <alignment horizontal="left" vertical="center"/>
    </xf>
    <xf numFmtId="3" fontId="39" fillId="15" borderId="5" xfId="0" applyNumberFormat="1" applyFont="1" applyFill="1" applyBorder="1" applyAlignment="1">
      <alignment horizontal="right" vertical="center" wrapText="1"/>
    </xf>
    <xf numFmtId="0" fontId="37" fillId="13" borderId="5" xfId="0" applyFont="1" applyFill="1" applyBorder="1" applyAlignment="1">
      <alignment horizontal="center" vertical="center"/>
    </xf>
    <xf numFmtId="0" fontId="37" fillId="13" borderId="5" xfId="0" applyFont="1" applyFill="1" applyBorder="1" applyAlignment="1">
      <alignment horizontal="left" vertical="center"/>
    </xf>
    <xf numFmtId="0" fontId="37" fillId="13" borderId="5" xfId="0" applyFont="1" applyFill="1" applyBorder="1" applyAlignment="1">
      <alignment vertical="center" wrapText="1"/>
    </xf>
    <xf numFmtId="49" fontId="51" fillId="16" borderId="5" xfId="0" applyNumberFormat="1" applyFont="1" applyFill="1" applyBorder="1" applyAlignment="1">
      <alignment horizontal="center" vertical="center"/>
    </xf>
    <xf numFmtId="0" fontId="51" fillId="16" borderId="5" xfId="0" applyFont="1" applyFill="1" applyBorder="1" applyAlignment="1">
      <alignment vertical="center" wrapText="1"/>
    </xf>
    <xf numFmtId="3" fontId="51" fillId="16" borderId="5" xfId="0" applyNumberFormat="1" applyFont="1" applyFill="1" applyBorder="1" applyAlignment="1">
      <alignment horizontal="right" vertical="center"/>
    </xf>
    <xf numFmtId="49" fontId="39" fillId="0" borderId="5" xfId="0" applyNumberFormat="1" applyFont="1" applyFill="1" applyBorder="1" applyAlignment="1">
      <alignment horizontal="center" vertical="center"/>
    </xf>
    <xf numFmtId="0" fontId="39" fillId="0" borderId="5" xfId="0" applyFont="1" applyFill="1" applyBorder="1" applyAlignment="1">
      <alignment vertical="center"/>
    </xf>
    <xf numFmtId="3" fontId="39" fillId="0" borderId="5" xfId="0" applyNumberFormat="1" applyFont="1" applyFill="1" applyBorder="1" applyAlignment="1">
      <alignment vertical="center"/>
    </xf>
    <xf numFmtId="49" fontId="0" fillId="0" borderId="5" xfId="0" applyNumberFormat="1" applyFont="1" applyBorder="1"/>
    <xf numFmtId="3" fontId="0" fillId="0" borderId="5" xfId="0" applyNumberFormat="1" applyFont="1" applyFill="1" applyBorder="1" applyAlignment="1">
      <alignment vertical="center"/>
    </xf>
    <xf numFmtId="3" fontId="37" fillId="13" borderId="5" xfId="0" applyNumberFormat="1" applyFont="1" applyFill="1" applyBorder="1" applyAlignment="1">
      <alignment horizontal="right" vertical="center" wrapText="1"/>
    </xf>
    <xf numFmtId="165" fontId="39" fillId="16" borderId="5" xfId="0" applyNumberFormat="1" applyFont="1" applyFill="1" applyBorder="1" applyAlignment="1">
      <alignment vertical="center"/>
    </xf>
    <xf numFmtId="165" fontId="0" fillId="0" borderId="5" xfId="0" applyNumberFormat="1" applyFont="1" applyBorder="1"/>
    <xf numFmtId="165" fontId="0" fillId="0" borderId="5" xfId="0" applyNumberFormat="1" applyFont="1" applyBorder="1" applyAlignment="1">
      <alignment vertical="center"/>
    </xf>
    <xf numFmtId="165" fontId="0" fillId="0" borderId="5" xfId="0" applyNumberFormat="1" applyBorder="1"/>
    <xf numFmtId="3" fontId="39" fillId="0" borderId="5" xfId="0" applyNumberFormat="1" applyFont="1" applyBorder="1" applyAlignment="1">
      <alignment horizontal="right" vertical="center" wrapText="1"/>
    </xf>
    <xf numFmtId="16" fontId="0" fillId="0" borderId="5" xfId="0" applyNumberFormat="1" applyBorder="1" applyAlignment="1">
      <alignment horizontal="left" vertical="center" wrapText="1"/>
    </xf>
    <xf numFmtId="0" fontId="0" fillId="0" borderId="5" xfId="0" applyBorder="1" applyAlignment="1">
      <alignment vertical="center" wrapText="1"/>
    </xf>
    <xf numFmtId="3" fontId="0" fillId="0" borderId="5" xfId="0" applyNumberFormat="1" applyBorder="1" applyAlignment="1">
      <alignment vertical="center" wrapText="1"/>
    </xf>
    <xf numFmtId="49" fontId="12" fillId="0" borderId="0" xfId="9" applyNumberFormat="1" applyFont="1" applyBorder="1" applyAlignment="1">
      <alignment horizontal="center" vertical="center" wrapText="1"/>
    </xf>
    <xf numFmtId="49" fontId="13" fillId="0" borderId="0" xfId="7" applyNumberFormat="1" applyFont="1" applyBorder="1" applyAlignment="1">
      <alignment horizontal="center" vertical="center"/>
    </xf>
    <xf numFmtId="49" fontId="14" fillId="0" borderId="0" xfId="7" applyNumberFormat="1" applyFont="1" applyBorder="1" applyAlignment="1">
      <alignment horizontal="center" vertical="center"/>
    </xf>
    <xf numFmtId="49" fontId="13" fillId="0" borderId="0" xfId="7" applyNumberFormat="1" applyFont="1" applyFill="1" applyBorder="1" applyAlignment="1">
      <alignment horizontal="center" vertical="center"/>
    </xf>
    <xf numFmtId="0" fontId="57" fillId="0" borderId="0" xfId="7" applyFont="1" applyAlignment="1">
      <alignment horizontal="center" vertical="center"/>
    </xf>
    <xf numFmtId="0" fontId="39" fillId="15" borderId="5" xfId="0" applyFont="1" applyFill="1" applyBorder="1" applyAlignment="1">
      <alignment horizontal="center" vertical="center"/>
    </xf>
    <xf numFmtId="0" fontId="39" fillId="15" borderId="5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165" fontId="39" fillId="15" borderId="5" xfId="0" applyNumberFormat="1" applyFont="1" applyFill="1" applyBorder="1" applyAlignment="1">
      <alignment horizontal="center" vertical="center" wrapText="1"/>
    </xf>
    <xf numFmtId="0" fontId="42" fillId="20" borderId="16" xfId="0" applyFont="1" applyFill="1" applyBorder="1" applyAlignment="1">
      <alignment vertical="center" wrapText="1"/>
    </xf>
    <xf numFmtId="3" fontId="42" fillId="20" borderId="16" xfId="0" applyNumberFormat="1" applyFont="1" applyFill="1" applyBorder="1" applyAlignment="1">
      <alignment horizontal="right" vertical="center"/>
    </xf>
    <xf numFmtId="3" fontId="37" fillId="13" borderId="15" xfId="0" applyNumberFormat="1" applyFont="1" applyFill="1" applyBorder="1" applyAlignment="1">
      <alignment horizontal="right" vertical="center"/>
    </xf>
    <xf numFmtId="171" fontId="36" fillId="0" borderId="0" xfId="1" applyNumberFormat="1" applyFont="1"/>
    <xf numFmtId="171" fontId="51" fillId="16" borderId="5" xfId="1" applyNumberFormat="1" applyFont="1" applyFill="1" applyBorder="1" applyAlignment="1">
      <alignment horizontal="right" vertical="center"/>
    </xf>
    <xf numFmtId="171" fontId="39" fillId="0" borderId="5" xfId="1" applyNumberFormat="1" applyFont="1" applyFill="1" applyBorder="1" applyAlignment="1">
      <alignment vertical="center"/>
    </xf>
    <xf numFmtId="171" fontId="39" fillId="0" borderId="5" xfId="1" applyNumberFormat="1" applyFont="1" applyBorder="1"/>
    <xf numFmtId="171" fontId="36" fillId="0" borderId="5" xfId="1" applyNumberFormat="1" applyFont="1" applyBorder="1"/>
    <xf numFmtId="171" fontId="36" fillId="0" borderId="5" xfId="1" applyNumberFormat="1" applyFont="1" applyBorder="1" applyAlignment="1">
      <alignment vertical="center"/>
    </xf>
    <xf numFmtId="171" fontId="36" fillId="0" borderId="5" xfId="1" applyNumberFormat="1" applyFont="1" applyFill="1" applyBorder="1" applyAlignment="1">
      <alignment vertical="center"/>
    </xf>
    <xf numFmtId="3" fontId="14" fillId="24" borderId="0" xfId="9" applyNumberFormat="1" applyFont="1" applyFill="1" applyBorder="1" applyAlignment="1">
      <alignment horizontal="right" vertical="center" wrapText="1"/>
    </xf>
    <xf numFmtId="170" fontId="6" fillId="9" borderId="0" xfId="1" applyNumberFormat="1" applyFont="1" applyFill="1" applyBorder="1" applyAlignment="1">
      <alignment horizontal="right" vertical="center"/>
    </xf>
    <xf numFmtId="170" fontId="14" fillId="0" borderId="0" xfId="1" applyNumberFormat="1" applyFont="1" applyFill="1" applyBorder="1" applyAlignment="1">
      <alignment horizontal="right" vertical="center"/>
    </xf>
    <xf numFmtId="170" fontId="59" fillId="26" borderId="0" xfId="1" applyNumberFormat="1" applyFont="1" applyFill="1" applyBorder="1" applyAlignment="1">
      <alignment vertical="center"/>
    </xf>
    <xf numFmtId="170" fontId="43" fillId="0" borderId="0" xfId="1" applyNumberFormat="1" applyFont="1" applyAlignment="1">
      <alignment vertical="center"/>
    </xf>
    <xf numFmtId="165" fontId="37" fillId="13" borderId="15" xfId="0" applyNumberFormat="1" applyFont="1" applyFill="1" applyBorder="1" applyAlignment="1">
      <alignment horizontal="right" vertical="center"/>
    </xf>
    <xf numFmtId="3" fontId="41" fillId="28" borderId="5" xfId="0" applyNumberFormat="1" applyFont="1" applyFill="1" applyBorder="1"/>
    <xf numFmtId="49" fontId="41" fillId="0" borderId="5" xfId="0" applyNumberFormat="1" applyFont="1" applyBorder="1"/>
    <xf numFmtId="49" fontId="41" fillId="0" borderId="0" xfId="0" applyNumberFormat="1" applyFont="1" applyAlignment="1">
      <alignment horizontal="center" vertical="center"/>
    </xf>
    <xf numFmtId="49" fontId="41" fillId="0" borderId="0" xfId="0" applyNumberFormat="1" applyFont="1"/>
    <xf numFmtId="3" fontId="41" fillId="0" borderId="0" xfId="0" applyNumberFormat="1" applyFont="1"/>
    <xf numFmtId="3" fontId="41" fillId="0" borderId="0" xfId="0" applyNumberFormat="1" applyFont="1" applyAlignment="1">
      <alignment horizontal="right"/>
    </xf>
    <xf numFmtId="0" fontId="41" fillId="0" borderId="0" xfId="0" applyFont="1"/>
    <xf numFmtId="49" fontId="51" fillId="13" borderId="5" xfId="0" applyNumberFormat="1" applyFont="1" applyFill="1" applyBorder="1" applyAlignment="1">
      <alignment horizontal="center" vertical="center"/>
    </xf>
    <xf numFmtId="0" fontId="51" fillId="13" borderId="5" xfId="0" applyFont="1" applyFill="1" applyBorder="1" applyAlignment="1">
      <alignment vertical="center"/>
    </xf>
    <xf numFmtId="0" fontId="51" fillId="16" borderId="5" xfId="0" applyFont="1" applyFill="1" applyBorder="1" applyAlignment="1">
      <alignment vertical="center"/>
    </xf>
    <xf numFmtId="171" fontId="51" fillId="16" borderId="5" xfId="1" applyNumberFormat="1" applyFont="1" applyFill="1" applyBorder="1" applyAlignment="1">
      <alignment vertical="center"/>
    </xf>
    <xf numFmtId="49" fontId="51" fillId="0" borderId="5" xfId="0" applyNumberFormat="1" applyFont="1" applyBorder="1" applyAlignment="1">
      <alignment horizontal="center" vertical="center"/>
    </xf>
    <xf numFmtId="49" fontId="51" fillId="0" borderId="5" xfId="0" applyNumberFormat="1" applyFont="1" applyBorder="1"/>
    <xf numFmtId="3" fontId="51" fillId="0" borderId="5" xfId="0" applyNumberFormat="1" applyFont="1" applyBorder="1"/>
    <xf numFmtId="49" fontId="41" fillId="0" borderId="5" xfId="0" applyNumberFormat="1" applyFont="1" applyBorder="1" applyAlignment="1">
      <alignment horizontal="center" vertical="center"/>
    </xf>
    <xf numFmtId="3" fontId="41" fillId="0" borderId="5" xfId="0" applyNumberFormat="1" applyFont="1" applyBorder="1"/>
    <xf numFmtId="49" fontId="41" fillId="0" borderId="5" xfId="0" applyNumberFormat="1" applyFont="1" applyBorder="1" applyAlignment="1">
      <alignment vertical="center" wrapText="1"/>
    </xf>
    <xf numFmtId="0" fontId="51" fillId="0" borderId="0" xfId="0" applyFont="1"/>
    <xf numFmtId="0" fontId="41" fillId="0" borderId="0" xfId="0" applyFont="1" applyAlignment="1">
      <alignment vertical="center"/>
    </xf>
    <xf numFmtId="49" fontId="41" fillId="0" borderId="18" xfId="0" applyNumberFormat="1" applyFont="1" applyFill="1" applyBorder="1" applyAlignment="1">
      <alignment horizontal="center" vertical="center"/>
    </xf>
    <xf numFmtId="0" fontId="41" fillId="0" borderId="0" xfId="0" applyFont="1" applyAlignment="1">
      <alignment horizontal="center"/>
    </xf>
    <xf numFmtId="0" fontId="51" fillId="15" borderId="38" xfId="0" applyFont="1" applyFill="1" applyBorder="1" applyAlignment="1">
      <alignment horizontal="center" vertical="center" wrapText="1"/>
    </xf>
    <xf numFmtId="3" fontId="51" fillId="15" borderId="38" xfId="0" applyNumberFormat="1" applyFont="1" applyFill="1" applyBorder="1" applyAlignment="1">
      <alignment horizontal="center" vertical="center" wrapText="1"/>
    </xf>
    <xf numFmtId="0" fontId="41" fillId="0" borderId="0" xfId="0" applyFont="1" applyAlignment="1">
      <alignment horizontal="center" vertical="center" wrapText="1"/>
    </xf>
    <xf numFmtId="49" fontId="51" fillId="13" borderId="38" xfId="0" applyNumberFormat="1" applyFont="1" applyFill="1" applyBorder="1" applyAlignment="1">
      <alignment horizontal="center"/>
    </xf>
    <xf numFmtId="0" fontId="51" fillId="13" borderId="38" xfId="0" applyFont="1" applyFill="1" applyBorder="1"/>
    <xf numFmtId="3" fontId="51" fillId="13" borderId="38" xfId="0" applyNumberFormat="1" applyFont="1" applyFill="1" applyBorder="1"/>
    <xf numFmtId="0" fontId="51" fillId="16" borderId="38" xfId="0" applyFont="1" applyFill="1" applyBorder="1" applyAlignment="1">
      <alignment horizontal="center"/>
    </xf>
    <xf numFmtId="0" fontId="51" fillId="16" borderId="38" xfId="0" applyFont="1" applyFill="1" applyBorder="1"/>
    <xf numFmtId="3" fontId="51" fillId="16" borderId="38" xfId="0" applyNumberFormat="1" applyFont="1" applyFill="1" applyBorder="1"/>
    <xf numFmtId="0" fontId="51" fillId="12" borderId="38" xfId="0" applyFont="1" applyFill="1" applyBorder="1" applyAlignment="1">
      <alignment horizontal="center"/>
    </xf>
    <xf numFmtId="0" fontId="51" fillId="12" borderId="38" xfId="0" applyFont="1" applyFill="1" applyBorder="1"/>
    <xf numFmtId="3" fontId="51" fillId="12" borderId="38" xfId="0" applyNumberFormat="1" applyFont="1" applyFill="1" applyBorder="1" applyAlignment="1"/>
    <xf numFmtId="3" fontId="51" fillId="12" borderId="38" xfId="0" applyNumberFormat="1" applyFont="1" applyFill="1" applyBorder="1"/>
    <xf numFmtId="0" fontId="41" fillId="0" borderId="38" xfId="0" applyFont="1" applyBorder="1" applyAlignment="1">
      <alignment horizontal="center"/>
    </xf>
    <xf numFmtId="0" fontId="41" fillId="0" borderId="38" xfId="0" applyFont="1" applyBorder="1"/>
    <xf numFmtId="3" fontId="41" fillId="0" borderId="38" xfId="0" applyNumberFormat="1" applyFont="1" applyBorder="1"/>
    <xf numFmtId="0" fontId="41" fillId="0" borderId="38" xfId="0" applyFont="1" applyBorder="1" applyAlignment="1">
      <alignment horizontal="left" indent="3"/>
    </xf>
    <xf numFmtId="0" fontId="41" fillId="0" borderId="38" xfId="0" applyFont="1" applyBorder="1" applyAlignment="1">
      <alignment horizontal="left"/>
    </xf>
    <xf numFmtId="0" fontId="51" fillId="15" borderId="38" xfId="0" applyFont="1" applyFill="1" applyBorder="1" applyAlignment="1">
      <alignment horizontal="center"/>
    </xf>
    <xf numFmtId="0" fontId="51" fillId="15" borderId="38" xfId="0" applyFont="1" applyFill="1" applyBorder="1"/>
    <xf numFmtId="3" fontId="51" fillId="15" borderId="38" xfId="0" applyNumberFormat="1" applyFont="1" applyFill="1" applyBorder="1"/>
    <xf numFmtId="165" fontId="51" fillId="0" borderId="5" xfId="0" applyNumberFormat="1" applyFont="1" applyFill="1" applyBorder="1" applyAlignment="1">
      <alignment horizontal="right" vertical="center" wrapText="1"/>
    </xf>
    <xf numFmtId="3" fontId="56" fillId="13" borderId="2" xfId="9" applyNumberFormat="1" applyFont="1" applyFill="1" applyBorder="1" applyAlignment="1">
      <alignment horizontal="center" vertical="center"/>
    </xf>
    <xf numFmtId="0" fontId="12" fillId="31" borderId="2" xfId="9" applyFont="1" applyFill="1" applyBorder="1" applyAlignment="1">
      <alignment horizontal="center" vertical="center" wrapText="1"/>
    </xf>
    <xf numFmtId="49" fontId="60" fillId="0" borderId="0" xfId="7" applyNumberFormat="1" applyFont="1" applyAlignment="1">
      <alignment horizontal="center"/>
    </xf>
    <xf numFmtId="0" fontId="17" fillId="0" borderId="0" xfId="7" applyFont="1" applyAlignment="1">
      <alignment horizontal="center"/>
    </xf>
    <xf numFmtId="0" fontId="17" fillId="0" borderId="0" xfId="7" applyFont="1"/>
    <xf numFmtId="0" fontId="7" fillId="0" borderId="0" xfId="7" applyFont="1" applyAlignment="1">
      <alignment vertical="center"/>
    </xf>
    <xf numFmtId="0" fontId="7" fillId="0" borderId="0" xfId="7" applyFont="1"/>
    <xf numFmtId="0" fontId="6" fillId="0" borderId="0" xfId="7" applyFont="1" applyAlignment="1">
      <alignment horizontal="right"/>
    </xf>
    <xf numFmtId="49" fontId="6" fillId="0" borderId="0" xfId="7" applyNumberFormat="1" applyFont="1" applyAlignment="1">
      <alignment horizontal="center"/>
    </xf>
    <xf numFmtId="0" fontId="7" fillId="0" borderId="0" xfId="7" applyFont="1" applyAlignment="1">
      <alignment horizontal="center"/>
    </xf>
    <xf numFmtId="0" fontId="7" fillId="0" borderId="0" xfId="7" applyFont="1" applyFill="1" applyAlignment="1">
      <alignment horizontal="center" vertical="center"/>
    </xf>
    <xf numFmtId="0" fontId="7" fillId="0" borderId="0" xfId="7" applyFont="1" applyFill="1" applyAlignment="1">
      <alignment vertical="center"/>
    </xf>
    <xf numFmtId="0" fontId="17" fillId="0" borderId="0" xfId="7" applyFont="1" applyFill="1" applyAlignment="1">
      <alignment vertical="center"/>
    </xf>
    <xf numFmtId="0" fontId="13" fillId="0" borderId="0" xfId="7" applyFont="1" applyFill="1" applyAlignment="1">
      <alignment vertical="center"/>
    </xf>
    <xf numFmtId="0" fontId="7" fillId="0" borderId="0" xfId="7" applyFont="1" applyAlignment="1">
      <alignment horizontal="center" vertical="center"/>
    </xf>
    <xf numFmtId="0" fontId="17" fillId="0" borderId="0" xfId="7" applyFont="1" applyAlignment="1">
      <alignment vertical="center"/>
    </xf>
    <xf numFmtId="49" fontId="13" fillId="26" borderId="0" xfId="7" applyNumberFormat="1" applyFont="1" applyFill="1" applyBorder="1" applyAlignment="1">
      <alignment horizontal="center"/>
    </xf>
    <xf numFmtId="0" fontId="7" fillId="26" borderId="0" xfId="7" applyFont="1" applyFill="1" applyAlignment="1">
      <alignment horizontal="center"/>
    </xf>
    <xf numFmtId="0" fontId="7" fillId="26" borderId="0" xfId="7" applyFont="1" applyFill="1"/>
    <xf numFmtId="49" fontId="7" fillId="0" borderId="0" xfId="7" applyNumberFormat="1" applyFont="1" applyAlignment="1">
      <alignment horizontal="center"/>
    </xf>
    <xf numFmtId="3" fontId="41" fillId="0" borderId="5" xfId="0" applyNumberFormat="1" applyFont="1" applyBorder="1" applyAlignment="1">
      <alignment horizontal="right" vertical="center" wrapText="1"/>
    </xf>
    <xf numFmtId="3" fontId="51" fillId="0" borderId="5" xfId="0" applyNumberFormat="1" applyFont="1" applyBorder="1" applyAlignment="1">
      <alignment horizontal="right" vertical="center" wrapText="1"/>
    </xf>
    <xf numFmtId="0" fontId="60" fillId="0" borderId="0" xfId="7" applyFont="1" applyAlignment="1">
      <alignment horizontal="center"/>
    </xf>
    <xf numFmtId="49" fontId="20" fillId="0" borderId="5" xfId="9" applyNumberFormat="1" applyFont="1" applyBorder="1" applyAlignment="1">
      <alignment horizontal="center"/>
    </xf>
    <xf numFmtId="0" fontId="20" fillId="0" borderId="5" xfId="9" applyFont="1" applyBorder="1" applyAlignment="1">
      <alignment horizontal="center"/>
    </xf>
    <xf numFmtId="49" fontId="14" fillId="0" borderId="5" xfId="9" applyNumberFormat="1" applyFont="1" applyBorder="1" applyAlignment="1">
      <alignment horizontal="center"/>
    </xf>
    <xf numFmtId="0" fontId="14" fillId="0" borderId="5" xfId="9" applyFont="1" applyBorder="1" applyAlignment="1">
      <alignment horizontal="left" indent="1"/>
    </xf>
    <xf numFmtId="0" fontId="14" fillId="0" borderId="5" xfId="9" applyFont="1" applyBorder="1" applyAlignment="1">
      <alignment horizontal="center"/>
    </xf>
    <xf numFmtId="167" fontId="7" fillId="0" borderId="0" xfId="7" applyNumberFormat="1" applyFont="1"/>
    <xf numFmtId="3" fontId="17" fillId="0" borderId="0" xfId="7" applyNumberFormat="1" applyFont="1"/>
    <xf numFmtId="3" fontId="51" fillId="13" borderId="5" xfId="0" applyNumberFormat="1" applyFont="1" applyFill="1" applyBorder="1" applyAlignment="1">
      <alignment horizontal="right" vertical="center" wrapText="1"/>
    </xf>
    <xf numFmtId="171" fontId="51" fillId="13" borderId="5" xfId="1" applyNumberFormat="1" applyFont="1" applyFill="1" applyBorder="1" applyAlignment="1">
      <alignment horizontal="right" vertical="center" wrapText="1"/>
    </xf>
    <xf numFmtId="3" fontId="51" fillId="16" borderId="5" xfId="0" applyNumberFormat="1" applyFont="1" applyFill="1" applyBorder="1" applyAlignment="1">
      <alignment vertical="center" wrapText="1"/>
    </xf>
    <xf numFmtId="171" fontId="51" fillId="16" borderId="5" xfId="1" applyNumberFormat="1" applyFont="1" applyFill="1" applyBorder="1" applyAlignment="1">
      <alignment vertical="center" wrapText="1"/>
    </xf>
    <xf numFmtId="3" fontId="51" fillId="0" borderId="5" xfId="0" applyNumberFormat="1" applyFont="1" applyBorder="1" applyAlignment="1">
      <alignment wrapText="1"/>
    </xf>
    <xf numFmtId="171" fontId="51" fillId="0" borderId="5" xfId="1" applyNumberFormat="1" applyFont="1" applyBorder="1" applyAlignment="1">
      <alignment wrapText="1"/>
    </xf>
    <xf numFmtId="3" fontId="41" fillId="0" borderId="5" xfId="0" applyNumberFormat="1" applyFont="1" applyBorder="1" applyAlignment="1">
      <alignment wrapText="1"/>
    </xf>
    <xf numFmtId="171" fontId="41" fillId="0" borderId="5" xfId="1" applyNumberFormat="1" applyFont="1" applyBorder="1" applyAlignment="1">
      <alignment wrapText="1"/>
    </xf>
    <xf numFmtId="3" fontId="41" fillId="0" borderId="5" xfId="0" applyNumberFormat="1" applyFont="1" applyBorder="1" applyAlignment="1">
      <alignment vertical="center" wrapText="1"/>
    </xf>
    <xf numFmtId="171" fontId="41" fillId="0" borderId="5" xfId="1" applyNumberFormat="1" applyFont="1" applyBorder="1" applyAlignment="1">
      <alignment vertical="center" wrapText="1"/>
    </xf>
    <xf numFmtId="3" fontId="51" fillId="0" borderId="5" xfId="0" applyNumberFormat="1" applyFont="1" applyBorder="1" applyAlignment="1">
      <alignment vertical="center" wrapText="1"/>
    </xf>
    <xf numFmtId="0" fontId="41" fillId="0" borderId="0" xfId="0" applyFont="1" applyAlignment="1">
      <alignment wrapText="1"/>
    </xf>
    <xf numFmtId="49" fontId="14" fillId="0" borderId="0" xfId="7" applyNumberFormat="1" applyFont="1" applyFill="1" applyBorder="1" applyAlignment="1">
      <alignment horizontal="center" vertical="center"/>
    </xf>
    <xf numFmtId="0" fontId="39" fillId="15" borderId="5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60" fillId="0" borderId="0" xfId="7" applyFont="1" applyAlignment="1">
      <alignment horizontal="center"/>
    </xf>
    <xf numFmtId="3" fontId="51" fillId="15" borderId="5" xfId="0" applyNumberFormat="1" applyFont="1" applyFill="1" applyBorder="1" applyAlignment="1">
      <alignment horizontal="center" vertical="center" wrapText="1"/>
    </xf>
    <xf numFmtId="49" fontId="39" fillId="0" borderId="5" xfId="0" applyNumberFormat="1" applyFont="1" applyBorder="1" applyAlignment="1">
      <alignment wrapText="1"/>
    </xf>
    <xf numFmtId="49" fontId="0" fillId="0" borderId="0" xfId="0" applyNumberFormat="1" applyAlignment="1">
      <alignment horizontal="center" vertical="center" wrapText="1"/>
    </xf>
    <xf numFmtId="49" fontId="0" fillId="0" borderId="0" xfId="0" applyNumberFormat="1" applyAlignment="1">
      <alignment wrapText="1"/>
    </xf>
    <xf numFmtId="3" fontId="0" fillId="0" borderId="0" xfId="0" applyNumberFormat="1" applyAlignment="1">
      <alignment wrapText="1"/>
    </xf>
    <xf numFmtId="49" fontId="37" fillId="13" borderId="5" xfId="0" applyNumberFormat="1" applyFont="1" applyFill="1" applyBorder="1" applyAlignment="1">
      <alignment horizontal="center" vertical="center" wrapText="1"/>
    </xf>
    <xf numFmtId="171" fontId="37" fillId="13" borderId="5" xfId="1" applyNumberFormat="1" applyFont="1" applyFill="1" applyBorder="1" applyAlignment="1">
      <alignment horizontal="right" vertical="center" wrapText="1"/>
    </xf>
    <xf numFmtId="49" fontId="39" fillId="16" borderId="5" xfId="0" applyNumberFormat="1" applyFont="1" applyFill="1" applyBorder="1" applyAlignment="1">
      <alignment horizontal="center" vertical="center" wrapText="1"/>
    </xf>
    <xf numFmtId="0" fontId="39" fillId="16" borderId="5" xfId="0" applyFont="1" applyFill="1" applyBorder="1" applyAlignment="1">
      <alignment vertical="center" wrapText="1"/>
    </xf>
    <xf numFmtId="3" fontId="39" fillId="16" borderId="5" xfId="0" applyNumberFormat="1" applyFont="1" applyFill="1" applyBorder="1" applyAlignment="1">
      <alignment vertical="center" wrapText="1"/>
    </xf>
    <xf numFmtId="171" fontId="39" fillId="16" borderId="5" xfId="1" applyNumberFormat="1" applyFont="1" applyFill="1" applyBorder="1" applyAlignment="1">
      <alignment vertical="center" wrapText="1"/>
    </xf>
    <xf numFmtId="49" fontId="39" fillId="0" borderId="5" xfId="0" applyNumberFormat="1" applyFont="1" applyBorder="1" applyAlignment="1">
      <alignment horizontal="center" vertical="center" wrapText="1"/>
    </xf>
    <xf numFmtId="3" fontId="39" fillId="0" borderId="5" xfId="0" applyNumberFormat="1" applyFont="1" applyBorder="1" applyAlignment="1">
      <alignment wrapText="1"/>
    </xf>
    <xf numFmtId="171" fontId="39" fillId="0" borderId="5" xfId="1" applyNumberFormat="1" applyFont="1" applyBorder="1" applyAlignment="1">
      <alignment wrapText="1"/>
    </xf>
    <xf numFmtId="49" fontId="0" fillId="0" borderId="5" xfId="0" applyNumberFormat="1" applyBorder="1" applyAlignment="1">
      <alignment horizontal="center" vertical="center" wrapText="1"/>
    </xf>
    <xf numFmtId="49" fontId="0" fillId="0" borderId="5" xfId="0" applyNumberFormat="1" applyBorder="1" applyAlignment="1">
      <alignment wrapText="1"/>
    </xf>
    <xf numFmtId="3" fontId="0" fillId="0" borderId="5" xfId="0" applyNumberFormat="1" applyBorder="1" applyAlignment="1">
      <alignment wrapText="1"/>
    </xf>
    <xf numFmtId="171" fontId="36" fillId="0" borderId="5" xfId="1" applyNumberFormat="1" applyFont="1" applyBorder="1" applyAlignment="1">
      <alignment wrapText="1"/>
    </xf>
    <xf numFmtId="0" fontId="39" fillId="0" borderId="0" xfId="0" applyFont="1" applyAlignment="1">
      <alignment wrapText="1"/>
    </xf>
    <xf numFmtId="49" fontId="0" fillId="0" borderId="5" xfId="0" applyNumberFormat="1" applyFont="1" applyBorder="1" applyAlignment="1">
      <alignment horizontal="center" vertical="center" wrapText="1"/>
    </xf>
    <xf numFmtId="3" fontId="0" fillId="0" borderId="5" xfId="0" applyNumberFormat="1" applyFont="1" applyBorder="1" applyAlignment="1">
      <alignment wrapText="1"/>
    </xf>
    <xf numFmtId="0" fontId="0" fillId="0" borderId="0" xfId="0" applyFont="1" applyAlignment="1">
      <alignment wrapText="1"/>
    </xf>
    <xf numFmtId="49" fontId="0" fillId="0" borderId="5" xfId="0" applyNumberFormat="1" applyFont="1" applyBorder="1" applyAlignment="1">
      <alignment wrapText="1"/>
    </xf>
    <xf numFmtId="49" fontId="39" fillId="0" borderId="0" xfId="0" applyNumberFormat="1" applyFont="1" applyAlignment="1">
      <alignment wrapText="1"/>
    </xf>
    <xf numFmtId="171" fontId="39" fillId="15" borderId="5" xfId="1" applyNumberFormat="1" applyFont="1" applyFill="1" applyBorder="1" applyAlignment="1">
      <alignment horizontal="center" vertical="center" wrapText="1"/>
    </xf>
    <xf numFmtId="0" fontId="39" fillId="0" borderId="5" xfId="0" applyFont="1" applyFill="1" applyBorder="1" applyAlignment="1">
      <alignment horizontal="left" vertical="center" wrapText="1"/>
    </xf>
    <xf numFmtId="0" fontId="39" fillId="16" borderId="5" xfId="0" applyFont="1" applyFill="1" applyBorder="1" applyAlignment="1">
      <alignment horizontal="center" vertical="center" wrapText="1"/>
    </xf>
    <xf numFmtId="0" fontId="39" fillId="16" borderId="5" xfId="0" applyFont="1" applyFill="1" applyBorder="1" applyAlignment="1">
      <alignment wrapText="1"/>
    </xf>
    <xf numFmtId="3" fontId="39" fillId="16" borderId="5" xfId="0" applyNumberFormat="1" applyFont="1" applyFill="1" applyBorder="1" applyAlignment="1">
      <alignment wrapText="1"/>
    </xf>
    <xf numFmtId="0" fontId="39" fillId="12" borderId="5" xfId="0" applyFont="1" applyFill="1" applyBorder="1" applyAlignment="1">
      <alignment horizontal="center" vertical="center" wrapText="1"/>
    </xf>
    <xf numFmtId="0" fontId="39" fillId="12" borderId="5" xfId="0" applyFont="1" applyFill="1" applyBorder="1" applyAlignment="1">
      <alignment wrapText="1"/>
    </xf>
    <xf numFmtId="3" fontId="39" fillId="12" borderId="5" xfId="0" applyNumberFormat="1" applyFont="1" applyFill="1" applyBorder="1" applyAlignment="1">
      <alignment wrapText="1"/>
    </xf>
    <xf numFmtId="0" fontId="39" fillId="15" borderId="5" xfId="0" applyFont="1" applyFill="1" applyBorder="1" applyAlignment="1">
      <alignment horizontal="left" vertical="center" wrapText="1"/>
    </xf>
    <xf numFmtId="0" fontId="37" fillId="13" borderId="5" xfId="0" applyFont="1" applyFill="1" applyBorder="1" applyAlignment="1">
      <alignment horizontal="center" vertical="center" wrapText="1"/>
    </xf>
    <xf numFmtId="0" fontId="37" fillId="13" borderId="5" xfId="0" applyFont="1" applyFill="1" applyBorder="1" applyAlignment="1">
      <alignment horizontal="left" vertical="center" wrapText="1"/>
    </xf>
    <xf numFmtId="3" fontId="39" fillId="12" borderId="5" xfId="0" applyNumberFormat="1" applyFont="1" applyFill="1" applyBorder="1" applyAlignment="1">
      <alignment vertical="center" wrapText="1"/>
    </xf>
    <xf numFmtId="3" fontId="51" fillId="12" borderId="5" xfId="0" applyNumberFormat="1" applyFont="1" applyFill="1" applyBorder="1" applyAlignment="1">
      <alignment vertical="center" wrapText="1"/>
    </xf>
    <xf numFmtId="3" fontId="39" fillId="0" borderId="5" xfId="0" applyNumberFormat="1" applyFont="1" applyBorder="1" applyAlignment="1">
      <alignment vertical="center" wrapText="1"/>
    </xf>
    <xf numFmtId="3" fontId="39" fillId="12" borderId="5" xfId="0" applyNumberFormat="1" applyFont="1" applyFill="1" applyBorder="1" applyAlignment="1">
      <alignment horizontal="right" vertical="center" wrapText="1"/>
    </xf>
    <xf numFmtId="3" fontId="51" fillId="16" borderId="5" xfId="0" applyNumberFormat="1" applyFont="1" applyFill="1" applyBorder="1" applyAlignment="1">
      <alignment wrapText="1"/>
    </xf>
    <xf numFmtId="3" fontId="51" fillId="12" borderId="5" xfId="0" applyNumberFormat="1" applyFont="1" applyFill="1" applyBorder="1" applyAlignment="1">
      <alignment wrapText="1"/>
    </xf>
    <xf numFmtId="3" fontId="51" fillId="15" borderId="5" xfId="0" applyNumberFormat="1" applyFont="1" applyFill="1" applyBorder="1" applyAlignment="1">
      <alignment horizontal="right" vertical="center" wrapText="1"/>
    </xf>
    <xf numFmtId="3" fontId="41" fillId="0" borderId="5" xfId="0" applyNumberFormat="1" applyFont="1" applyFill="1" applyBorder="1" applyAlignment="1">
      <alignment wrapText="1"/>
    </xf>
    <xf numFmtId="171" fontId="41" fillId="0" borderId="5" xfId="1" applyNumberFormat="1" applyFont="1" applyFill="1" applyBorder="1" applyAlignment="1">
      <alignment wrapText="1"/>
    </xf>
    <xf numFmtId="0" fontId="0" fillId="0" borderId="0" xfId="0" applyFont="1" applyAlignment="1">
      <alignment horizontal="center" vertical="center"/>
    </xf>
    <xf numFmtId="0" fontId="0" fillId="0" borderId="0" xfId="0" applyFont="1"/>
    <xf numFmtId="0" fontId="37" fillId="32" borderId="5" xfId="0" applyFont="1" applyFill="1" applyBorder="1" applyAlignment="1">
      <alignment vertical="center" wrapText="1"/>
    </xf>
    <xf numFmtId="0" fontId="39" fillId="16" borderId="5" xfId="0" applyFont="1" applyFill="1" applyBorder="1" applyAlignment="1">
      <alignment horizontal="center" vertical="center"/>
    </xf>
    <xf numFmtId="3" fontId="39" fillId="16" borderId="5" xfId="0" applyNumberFormat="1" applyFont="1" applyFill="1" applyBorder="1"/>
    <xf numFmtId="0" fontId="39" fillId="12" borderId="5" xfId="0" applyFont="1" applyFill="1" applyBorder="1" applyAlignment="1">
      <alignment horizontal="center" vertical="center"/>
    </xf>
    <xf numFmtId="3" fontId="39" fillId="12" borderId="5" xfId="0" applyNumberFormat="1" applyFont="1" applyFill="1" applyBorder="1"/>
    <xf numFmtId="0" fontId="0" fillId="0" borderId="5" xfId="0" applyFont="1" applyBorder="1" applyAlignment="1">
      <alignment horizontal="center" vertical="center"/>
    </xf>
    <xf numFmtId="3" fontId="39" fillId="0" borderId="5" xfId="0" applyNumberFormat="1" applyFont="1" applyBorder="1" applyAlignment="1">
      <alignment vertical="center"/>
    </xf>
    <xf numFmtId="0" fontId="0" fillId="0" borderId="0" xfId="0" applyFont="1" applyAlignment="1">
      <alignment vertical="center"/>
    </xf>
    <xf numFmtId="3" fontId="39" fillId="0" borderId="5" xfId="0" applyNumberFormat="1" applyFont="1" applyBorder="1"/>
    <xf numFmtId="0" fontId="39" fillId="0" borderId="5" xfId="0" applyFont="1" applyBorder="1" applyAlignment="1">
      <alignment horizontal="center" vertical="center"/>
    </xf>
    <xf numFmtId="3" fontId="51" fillId="0" borderId="5" xfId="0" applyNumberFormat="1" applyFont="1" applyBorder="1"/>
    <xf numFmtId="0" fontId="39" fillId="15" borderId="5" xfId="0" applyFont="1" applyFill="1" applyBorder="1" applyAlignment="1">
      <alignment horizontal="center" vertical="center"/>
    </xf>
    <xf numFmtId="3" fontId="39" fillId="15" borderId="5" xfId="0" applyNumberFormat="1" applyFont="1" applyFill="1" applyBorder="1" applyAlignment="1">
      <alignment horizontal="right" vertical="center" wrapText="1"/>
    </xf>
    <xf numFmtId="3" fontId="41" fillId="0" borderId="5" xfId="0" applyNumberFormat="1" applyFont="1" applyBorder="1"/>
    <xf numFmtId="0" fontId="37" fillId="13" borderId="5" xfId="0" applyFont="1" applyFill="1" applyBorder="1" applyAlignment="1">
      <alignment horizontal="center" vertical="center"/>
    </xf>
    <xf numFmtId="3" fontId="37" fillId="13" borderId="5" xfId="0" applyNumberFormat="1" applyFont="1" applyFill="1" applyBorder="1" applyAlignment="1">
      <alignment horizontal="right" vertical="center" wrapText="1"/>
    </xf>
    <xf numFmtId="3" fontId="0" fillId="0" borderId="0" xfId="0" applyNumberFormat="1" applyFont="1"/>
    <xf numFmtId="3" fontId="39" fillId="15" borderId="5" xfId="0" applyNumberFormat="1" applyFont="1" applyFill="1" applyBorder="1" applyAlignment="1">
      <alignment horizontal="center" vertical="center" wrapText="1"/>
    </xf>
    <xf numFmtId="3" fontId="37" fillId="32" borderId="5" xfId="0" applyNumberFormat="1" applyFont="1" applyFill="1" applyBorder="1" applyAlignment="1">
      <alignment horizontal="center" vertical="center" wrapText="1"/>
    </xf>
    <xf numFmtId="49" fontId="37" fillId="32" borderId="5" xfId="0" applyNumberFormat="1" applyFont="1" applyFill="1" applyBorder="1" applyAlignment="1">
      <alignment horizontal="center" vertical="center" wrapText="1"/>
    </xf>
    <xf numFmtId="3" fontId="39" fillId="15" borderId="5" xfId="0" applyNumberFormat="1" applyFont="1" applyFill="1" applyBorder="1" applyAlignment="1">
      <alignment horizontal="center" vertical="center" wrapText="1"/>
    </xf>
    <xf numFmtId="0" fontId="60" fillId="0" borderId="0" xfId="7" applyFont="1" applyAlignment="1">
      <alignment horizontal="center"/>
    </xf>
    <xf numFmtId="0" fontId="0" fillId="0" borderId="5" xfId="0" applyBorder="1" applyAlignment="1">
      <alignment horizontal="center" vertical="center" wrapText="1"/>
    </xf>
    <xf numFmtId="173" fontId="0" fillId="0" borderId="0" xfId="0" applyNumberFormat="1"/>
    <xf numFmtId="170" fontId="0" fillId="0" borderId="0" xfId="0" applyNumberFormat="1"/>
    <xf numFmtId="16" fontId="0" fillId="0" borderId="5" xfId="0" applyNumberFormat="1" applyFont="1" applyBorder="1" applyAlignment="1">
      <alignment horizontal="left" vertical="center" wrapText="1" indent="3"/>
    </xf>
    <xf numFmtId="49" fontId="14" fillId="16" borderId="0" xfId="7" applyNumberFormat="1" applyFont="1" applyFill="1" applyBorder="1" applyAlignment="1">
      <alignment horizontal="center" vertical="center"/>
    </xf>
    <xf numFmtId="3" fontId="13" fillId="16" borderId="0" xfId="9" applyNumberFormat="1" applyFont="1" applyFill="1" applyBorder="1" applyAlignment="1">
      <alignment horizontal="right" vertical="center" wrapText="1"/>
    </xf>
    <xf numFmtId="0" fontId="7" fillId="16" borderId="0" xfId="7" applyFont="1" applyFill="1" applyAlignment="1">
      <alignment vertical="center"/>
    </xf>
    <xf numFmtId="49" fontId="61" fillId="0" borderId="0" xfId="7" applyNumberFormat="1" applyFont="1" applyBorder="1" applyAlignment="1">
      <alignment horizontal="center" vertical="center"/>
    </xf>
    <xf numFmtId="3" fontId="62" fillId="24" borderId="0" xfId="9" applyNumberFormat="1" applyFont="1" applyFill="1" applyBorder="1" applyAlignment="1">
      <alignment horizontal="right" vertical="center" wrapText="1"/>
    </xf>
    <xf numFmtId="0" fontId="63" fillId="0" borderId="0" xfId="7" applyFont="1" applyFill="1" applyAlignment="1">
      <alignment vertical="center"/>
    </xf>
    <xf numFmtId="3" fontId="14" fillId="16" borderId="0" xfId="9" applyNumberFormat="1" applyFont="1" applyFill="1" applyBorder="1" applyAlignment="1">
      <alignment horizontal="right" vertical="center" wrapText="1"/>
    </xf>
    <xf numFmtId="0" fontId="65" fillId="0" borderId="0" xfId="0" applyFont="1"/>
    <xf numFmtId="49" fontId="65" fillId="0" borderId="5" xfId="0" applyNumberFormat="1" applyFont="1" applyBorder="1" applyAlignment="1">
      <alignment horizontal="center" vertical="center"/>
    </xf>
    <xf numFmtId="0" fontId="38" fillId="0" borderId="0" xfId="0" applyFont="1"/>
    <xf numFmtId="3" fontId="51" fillId="0" borderId="5" xfId="0" applyNumberFormat="1" applyFont="1" applyFill="1" applyBorder="1" applyAlignment="1">
      <alignment wrapText="1"/>
    </xf>
    <xf numFmtId="49" fontId="51" fillId="0" borderId="5" xfId="0" applyNumberFormat="1" applyFont="1" applyFill="1" applyBorder="1" applyAlignment="1">
      <alignment horizontal="center" vertical="center"/>
    </xf>
    <xf numFmtId="49" fontId="51" fillId="0" borderId="5" xfId="0" applyNumberFormat="1" applyFont="1" applyFill="1" applyBorder="1"/>
    <xf numFmtId="171" fontId="51" fillId="0" borderId="5" xfId="1" applyNumberFormat="1" applyFont="1" applyFill="1" applyBorder="1" applyAlignment="1">
      <alignment wrapText="1"/>
    </xf>
    <xf numFmtId="49" fontId="41" fillId="0" borderId="5" xfId="0" applyNumberFormat="1" applyFont="1" applyFill="1" applyBorder="1"/>
    <xf numFmtId="0" fontId="0" fillId="0" borderId="5" xfId="0" applyFont="1" applyFill="1" applyBorder="1" applyAlignment="1">
      <alignment horizontal="center" vertical="center"/>
    </xf>
    <xf numFmtId="49" fontId="14" fillId="0" borderId="0" xfId="7" applyNumberFormat="1" applyFont="1" applyBorder="1" applyAlignment="1">
      <alignment horizontal="left" vertical="center"/>
    </xf>
    <xf numFmtId="3" fontId="0" fillId="0" borderId="5" xfId="0" applyNumberFormat="1" applyFill="1" applyBorder="1" applyAlignment="1">
      <alignment vertical="center"/>
    </xf>
    <xf numFmtId="0" fontId="60" fillId="0" borderId="0" xfId="7" applyFont="1" applyAlignment="1">
      <alignment horizontal="center"/>
    </xf>
    <xf numFmtId="0" fontId="60" fillId="0" borderId="0" xfId="7" applyFont="1" applyAlignment="1">
      <alignment horizontal="center"/>
    </xf>
    <xf numFmtId="0" fontId="13" fillId="0" borderId="16" xfId="7" applyFont="1" applyFill="1" applyBorder="1" applyAlignment="1">
      <alignment horizontal="center" vertical="center"/>
    </xf>
    <xf numFmtId="0" fontId="13" fillId="0" borderId="16" xfId="7" applyFont="1" applyFill="1" applyBorder="1" applyAlignment="1">
      <alignment horizontal="center" vertical="center" wrapText="1"/>
    </xf>
    <xf numFmtId="3" fontId="12" fillId="0" borderId="16" xfId="9" applyNumberFormat="1" applyFont="1" applyBorder="1" applyAlignment="1">
      <alignment horizontal="center" vertical="center" wrapText="1"/>
    </xf>
    <xf numFmtId="0" fontId="13" fillId="24" borderId="16" xfId="7" applyFont="1" applyFill="1" applyBorder="1" applyAlignment="1">
      <alignment horizontal="center" vertical="center"/>
    </xf>
    <xf numFmtId="0" fontId="13" fillId="24" borderId="16" xfId="7" applyFont="1" applyFill="1" applyBorder="1" applyAlignment="1">
      <alignment vertical="center" wrapText="1"/>
    </xf>
    <xf numFmtId="3" fontId="13" fillId="24" borderId="16" xfId="9" applyNumberFormat="1" applyFont="1" applyFill="1" applyBorder="1" applyAlignment="1">
      <alignment horizontal="right" vertical="center" wrapText="1" indent="2"/>
    </xf>
    <xf numFmtId="0" fontId="13" fillId="28" borderId="16" xfId="7" applyFont="1" applyFill="1" applyBorder="1" applyAlignment="1">
      <alignment horizontal="center" vertical="center"/>
    </xf>
    <xf numFmtId="0" fontId="13" fillId="28" borderId="16" xfId="7" applyFont="1" applyFill="1" applyBorder="1" applyAlignment="1">
      <alignment vertical="center" wrapText="1"/>
    </xf>
    <xf numFmtId="167" fontId="13" fillId="0" borderId="16" xfId="7" applyNumberFormat="1" applyFont="1" applyBorder="1" applyAlignment="1">
      <alignment horizontal="right" vertical="center"/>
    </xf>
    <xf numFmtId="0" fontId="14" fillId="28" borderId="16" xfId="7" applyFont="1" applyFill="1" applyBorder="1" applyAlignment="1">
      <alignment horizontal="center" vertical="center"/>
    </xf>
    <xf numFmtId="0" fontId="14" fillId="28" borderId="16" xfId="0" applyFont="1" applyFill="1" applyBorder="1" applyAlignment="1">
      <alignment vertical="top" wrapText="1"/>
    </xf>
    <xf numFmtId="167" fontId="14" fillId="0" borderId="16" xfId="7" applyNumberFormat="1" applyFont="1" applyBorder="1" applyAlignment="1">
      <alignment horizontal="right" vertical="center"/>
    </xf>
    <xf numFmtId="167" fontId="14" fillId="0" borderId="16" xfId="7" applyNumberFormat="1" applyFont="1" applyFill="1" applyBorder="1" applyAlignment="1">
      <alignment horizontal="right" vertical="center"/>
    </xf>
    <xf numFmtId="167" fontId="14" fillId="28" borderId="16" xfId="7" applyNumberFormat="1" applyFont="1" applyFill="1" applyBorder="1" applyAlignment="1">
      <alignment horizontal="right" vertical="center"/>
    </xf>
    <xf numFmtId="0" fontId="14" fillId="28" borderId="16" xfId="7" applyFont="1" applyFill="1" applyBorder="1" applyAlignment="1">
      <alignment vertical="center" wrapText="1"/>
    </xf>
    <xf numFmtId="0" fontId="14" fillId="0" borderId="16" xfId="7" applyFont="1" applyFill="1" applyBorder="1" applyAlignment="1">
      <alignment vertical="center" wrapText="1"/>
    </xf>
    <xf numFmtId="0" fontId="62" fillId="28" borderId="16" xfId="7" applyFont="1" applyFill="1" applyBorder="1" applyAlignment="1">
      <alignment horizontal="center" vertical="center"/>
    </xf>
    <xf numFmtId="167" fontId="13" fillId="0" borderId="16" xfId="7" applyNumberFormat="1" applyFont="1" applyFill="1" applyBorder="1" applyAlignment="1">
      <alignment horizontal="right" vertical="center"/>
    </xf>
    <xf numFmtId="167" fontId="13" fillId="28" borderId="16" xfId="7" applyNumberFormat="1" applyFont="1" applyFill="1" applyBorder="1" applyAlignment="1">
      <alignment horizontal="right" vertical="center"/>
    </xf>
    <xf numFmtId="0" fontId="14" fillId="0" borderId="16" xfId="7" applyFont="1" applyFill="1" applyBorder="1" applyAlignment="1">
      <alignment horizontal="center" vertical="center"/>
    </xf>
    <xf numFmtId="0" fontId="14" fillId="0" borderId="16" xfId="0" applyFont="1" applyFill="1" applyBorder="1" applyAlignment="1">
      <alignment vertical="top" wrapText="1"/>
    </xf>
    <xf numFmtId="0" fontId="14" fillId="28" borderId="16" xfId="0" applyFont="1" applyFill="1" applyBorder="1" applyAlignment="1">
      <alignment horizontal="left" vertical="top" wrapText="1"/>
    </xf>
    <xf numFmtId="0" fontId="14" fillId="28" borderId="16" xfId="0" applyNumberFormat="1" applyFont="1" applyFill="1" applyBorder="1" applyAlignment="1">
      <alignment horizontal="left" vertical="top" wrapText="1"/>
    </xf>
    <xf numFmtId="16" fontId="14" fillId="28" borderId="16" xfId="7" applyNumberFormat="1" applyFont="1" applyFill="1" applyBorder="1" applyAlignment="1">
      <alignment vertical="center" wrapText="1"/>
    </xf>
    <xf numFmtId="0" fontId="14" fillId="28" borderId="16" xfId="7" applyFont="1" applyFill="1" applyBorder="1" applyAlignment="1">
      <alignment vertical="center"/>
    </xf>
    <xf numFmtId="49" fontId="13" fillId="0" borderId="16" xfId="7" applyNumberFormat="1" applyFont="1" applyFill="1" applyBorder="1" applyAlignment="1">
      <alignment vertical="center" wrapText="1"/>
    </xf>
    <xf numFmtId="0" fontId="13" fillId="0" borderId="16" xfId="7" quotePrefix="1" applyFont="1" applyBorder="1" applyAlignment="1">
      <alignment horizontal="center" vertical="center"/>
    </xf>
    <xf numFmtId="49" fontId="14" fillId="0" borderId="16" xfId="7" applyNumberFormat="1" applyFont="1" applyFill="1" applyBorder="1" applyAlignment="1">
      <alignment vertical="center" wrapText="1"/>
    </xf>
    <xf numFmtId="0" fontId="13" fillId="0" borderId="16" xfId="7" applyFont="1" applyBorder="1" applyAlignment="1">
      <alignment horizontal="center" vertical="center"/>
    </xf>
    <xf numFmtId="0" fontId="13" fillId="26" borderId="16" xfId="7" applyFont="1" applyFill="1" applyBorder="1" applyAlignment="1">
      <alignment horizontal="center" vertical="center"/>
    </xf>
    <xf numFmtId="0" fontId="13" fillId="26" borderId="16" xfId="7" applyFont="1" applyFill="1" applyBorder="1" applyAlignment="1">
      <alignment horizontal="left" wrapText="1"/>
    </xf>
    <xf numFmtId="167" fontId="13" fillId="26" borderId="16" xfId="7" applyNumberFormat="1" applyFont="1" applyFill="1" applyBorder="1"/>
    <xf numFmtId="0" fontId="60" fillId="0" borderId="0" xfId="7" applyFont="1" applyAlignment="1">
      <alignment horizontal="center"/>
    </xf>
    <xf numFmtId="0" fontId="41" fillId="0" borderId="5" xfId="0" applyFont="1" applyBorder="1" applyAlignment="1">
      <alignment wrapText="1"/>
    </xf>
    <xf numFmtId="0" fontId="12" fillId="12" borderId="5" xfId="0" applyFont="1" applyFill="1" applyBorder="1" applyAlignment="1">
      <alignment vertical="center" wrapText="1"/>
    </xf>
    <xf numFmtId="0" fontId="0" fillId="0" borderId="5" xfId="0" applyBorder="1" applyAlignment="1">
      <alignment horizontal="center" vertical="center" wrapText="1"/>
    </xf>
    <xf numFmtId="49" fontId="0" fillId="0" borderId="5" xfId="0" applyNumberFormat="1" applyFont="1" applyBorder="1" applyAlignment="1">
      <alignment horizontal="center" vertical="center"/>
    </xf>
    <xf numFmtId="171" fontId="36" fillId="0" borderId="5" xfId="1" applyNumberFormat="1" applyFont="1" applyBorder="1"/>
    <xf numFmtId="0" fontId="0" fillId="0" borderId="5" xfId="0" applyFont="1" applyBorder="1" applyAlignment="1">
      <alignment wrapText="1"/>
    </xf>
    <xf numFmtId="0" fontId="39" fillId="0" borderId="5" xfId="0" applyFont="1" applyBorder="1" applyAlignment="1">
      <alignment horizontal="center" vertical="center"/>
    </xf>
    <xf numFmtId="16" fontId="14" fillId="28" borderId="16" xfId="0" applyNumberFormat="1" applyFont="1" applyFill="1" applyBorder="1" applyAlignment="1">
      <alignment vertical="top" wrapText="1"/>
    </xf>
    <xf numFmtId="49" fontId="41" fillId="0" borderId="5" xfId="0" applyNumberFormat="1" applyFont="1" applyBorder="1" applyAlignment="1">
      <alignment wrapText="1"/>
    </xf>
    <xf numFmtId="3" fontId="13" fillId="24" borderId="17" xfId="9" applyNumberFormat="1" applyFont="1" applyFill="1" applyBorder="1" applyAlignment="1">
      <alignment horizontal="right" vertical="center" wrapText="1"/>
    </xf>
    <xf numFmtId="0" fontId="59" fillId="0" borderId="16" xfId="7" applyFont="1" applyFill="1" applyBorder="1" applyAlignment="1">
      <alignment horizontal="center" vertical="center"/>
    </xf>
    <xf numFmtId="172" fontId="13" fillId="24" borderId="16" xfId="1" applyNumberFormat="1" applyFont="1" applyFill="1" applyBorder="1" applyAlignment="1">
      <alignment vertical="center"/>
    </xf>
    <xf numFmtId="170" fontId="13" fillId="0" borderId="16" xfId="1" applyNumberFormat="1" applyFont="1" applyFill="1" applyBorder="1" applyAlignment="1">
      <alignment horizontal="right" vertical="center"/>
    </xf>
    <xf numFmtId="0" fontId="14" fillId="0" borderId="16" xfId="7" applyFont="1" applyBorder="1" applyAlignment="1">
      <alignment horizontal="center" vertical="center"/>
    </xf>
    <xf numFmtId="170" fontId="14" fillId="0" borderId="16" xfId="1" applyNumberFormat="1" applyFont="1" applyFill="1" applyBorder="1" applyAlignment="1">
      <alignment horizontal="right" vertical="center"/>
    </xf>
    <xf numFmtId="0" fontId="14" fillId="0" borderId="16" xfId="0" applyFont="1" applyBorder="1" applyAlignment="1">
      <alignment wrapText="1"/>
    </xf>
    <xf numFmtId="0" fontId="14" fillId="0" borderId="16" xfId="8" applyFont="1" applyFill="1" applyBorder="1" applyAlignment="1">
      <alignment horizontal="left" vertical="center" wrapText="1"/>
    </xf>
    <xf numFmtId="170" fontId="13" fillId="24" borderId="16" xfId="1" applyNumberFormat="1" applyFont="1" applyFill="1" applyBorder="1" applyAlignment="1">
      <alignment horizontal="right" vertical="center" wrapText="1" indent="2"/>
    </xf>
    <xf numFmtId="0" fontId="14" fillId="26" borderId="16" xfId="7" applyFont="1" applyFill="1" applyBorder="1" applyAlignment="1">
      <alignment vertical="center"/>
    </xf>
    <xf numFmtId="0" fontId="13" fillId="26" borderId="16" xfId="7" applyFont="1" applyFill="1" applyBorder="1" applyAlignment="1">
      <alignment horizontal="left" vertical="center"/>
    </xf>
    <xf numFmtId="170" fontId="13" fillId="26" borderId="16" xfId="1" applyNumberFormat="1" applyFont="1" applyFill="1" applyBorder="1" applyAlignment="1">
      <alignment vertical="center"/>
    </xf>
    <xf numFmtId="0" fontId="60" fillId="0" borderId="0" xfId="7" applyFont="1" applyAlignment="1">
      <alignment horizontal="center"/>
    </xf>
    <xf numFmtId="49" fontId="60" fillId="0" borderId="0" xfId="7" applyNumberFormat="1" applyFont="1" applyAlignment="1">
      <alignment horizontal="right"/>
    </xf>
    <xf numFmtId="49" fontId="7" fillId="0" borderId="0" xfId="7" applyNumberFormat="1" applyFont="1" applyAlignment="1">
      <alignment horizontal="right"/>
    </xf>
    <xf numFmtId="49" fontId="6" fillId="0" borderId="0" xfId="7" applyNumberFormat="1" applyFont="1" applyAlignment="1">
      <alignment horizontal="right"/>
    </xf>
    <xf numFmtId="49" fontId="12" fillId="0" borderId="0" xfId="9" applyNumberFormat="1" applyFont="1" applyBorder="1" applyAlignment="1">
      <alignment horizontal="right" vertical="center" wrapText="1"/>
    </xf>
    <xf numFmtId="49" fontId="13" fillId="0" borderId="0" xfId="7" applyNumberFormat="1" applyFont="1" applyBorder="1" applyAlignment="1">
      <alignment horizontal="right" vertical="center"/>
    </xf>
    <xf numFmtId="49" fontId="14" fillId="0" borderId="0" xfId="7" applyNumberFormat="1" applyFont="1" applyBorder="1" applyAlignment="1">
      <alignment horizontal="right" vertical="center"/>
    </xf>
    <xf numFmtId="49" fontId="14" fillId="16" borderId="0" xfId="7" applyNumberFormat="1" applyFont="1" applyFill="1" applyBorder="1" applyAlignment="1">
      <alignment horizontal="right" vertical="center"/>
    </xf>
    <xf numFmtId="49" fontId="61" fillId="0" borderId="0" xfId="7" applyNumberFormat="1" applyFont="1" applyBorder="1" applyAlignment="1">
      <alignment horizontal="right" vertical="center"/>
    </xf>
    <xf numFmtId="49" fontId="13" fillId="0" borderId="0" xfId="7" applyNumberFormat="1" applyFont="1" applyFill="1" applyBorder="1" applyAlignment="1">
      <alignment horizontal="right" vertical="center"/>
    </xf>
    <xf numFmtId="49" fontId="14" fillId="0" borderId="0" xfId="7" applyNumberFormat="1" applyFont="1" applyFill="1" applyBorder="1" applyAlignment="1">
      <alignment horizontal="right" vertical="center"/>
    </xf>
    <xf numFmtId="49" fontId="13" fillId="26" borderId="0" xfId="7" applyNumberFormat="1" applyFont="1" applyFill="1" applyBorder="1" applyAlignment="1">
      <alignment horizontal="right"/>
    </xf>
    <xf numFmtId="0" fontId="7" fillId="0" borderId="16" xfId="7" applyFont="1" applyFill="1" applyBorder="1" applyAlignment="1">
      <alignment horizontal="center" vertical="center"/>
    </xf>
    <xf numFmtId="0" fontId="7" fillId="16" borderId="16" xfId="7" applyFont="1" applyFill="1" applyBorder="1" applyAlignment="1">
      <alignment horizontal="center" vertical="center"/>
    </xf>
    <xf numFmtId="0" fontId="63" fillId="0" borderId="16" xfId="7" applyFont="1" applyFill="1" applyBorder="1" applyAlignment="1">
      <alignment horizontal="center" vertical="center"/>
    </xf>
    <xf numFmtId="0" fontId="17" fillId="0" borderId="16" xfId="7" applyFont="1" applyFill="1" applyBorder="1" applyAlignment="1">
      <alignment horizontal="center" vertical="center"/>
    </xf>
    <xf numFmtId="0" fontId="7" fillId="0" borderId="16" xfId="7" applyFont="1" applyBorder="1" applyAlignment="1">
      <alignment horizontal="center" vertical="center"/>
    </xf>
    <xf numFmtId="0" fontId="17" fillId="0" borderId="16" xfId="7" applyFont="1" applyBorder="1" applyAlignment="1">
      <alignment horizontal="center" vertical="center"/>
    </xf>
    <xf numFmtId="0" fontId="43" fillId="0" borderId="16" xfId="7" applyFont="1" applyFill="1" applyBorder="1" applyAlignment="1">
      <alignment vertical="center"/>
    </xf>
    <xf numFmtId="0" fontId="43" fillId="0" borderId="16" xfId="7" applyFont="1" applyBorder="1" applyAlignment="1">
      <alignment vertical="center"/>
    </xf>
    <xf numFmtId="0" fontId="43" fillId="26" borderId="16" xfId="7" applyFont="1" applyFill="1" applyBorder="1" applyAlignment="1">
      <alignment vertical="center"/>
    </xf>
    <xf numFmtId="3" fontId="7" fillId="0" borderId="0" xfId="7" applyNumberFormat="1" applyFont="1" applyFill="1" applyAlignment="1">
      <alignment vertical="center"/>
    </xf>
    <xf numFmtId="0" fontId="60" fillId="0" borderId="0" xfId="7" applyFont="1" applyAlignment="1">
      <alignment horizontal="center"/>
    </xf>
    <xf numFmtId="0" fontId="41" fillId="0" borderId="0" xfId="0" applyFont="1" applyAlignment="1">
      <alignment horizontal="right"/>
    </xf>
    <xf numFmtId="3" fontId="51" fillId="12" borderId="5" xfId="0" applyNumberFormat="1" applyFont="1" applyFill="1" applyBorder="1"/>
    <xf numFmtId="0" fontId="41" fillId="0" borderId="16" xfId="0" applyFont="1" applyBorder="1"/>
    <xf numFmtId="0" fontId="51" fillId="0" borderId="5" xfId="0" applyFont="1" applyFill="1" applyBorder="1" applyAlignment="1">
      <alignment vertical="center"/>
    </xf>
    <xf numFmtId="0" fontId="37" fillId="32" borderId="5" xfId="0" applyFont="1" applyFill="1" applyBorder="1" applyAlignment="1">
      <alignment vertical="center"/>
    </xf>
    <xf numFmtId="3" fontId="0" fillId="0" borderId="5" xfId="0" applyNumberFormat="1" applyFont="1" applyFill="1" applyBorder="1"/>
    <xf numFmtId="0" fontId="66" fillId="0" borderId="16" xfId="0" applyFont="1" applyBorder="1" applyAlignment="1">
      <alignment vertical="center"/>
    </xf>
    <xf numFmtId="0" fontId="67" fillId="0" borderId="16" xfId="0" applyFont="1" applyBorder="1" applyAlignment="1">
      <alignment horizontal="center" vertical="center"/>
    </xf>
    <xf numFmtId="0" fontId="67" fillId="0" borderId="16" xfId="0" applyFont="1" applyBorder="1" applyAlignment="1">
      <alignment vertical="center" wrapText="1"/>
    </xf>
    <xf numFmtId="167" fontId="67" fillId="0" borderId="16" xfId="0" applyNumberFormat="1" applyFont="1" applyBorder="1" applyAlignment="1">
      <alignment vertical="center"/>
    </xf>
    <xf numFmtId="0" fontId="67" fillId="0" borderId="16" xfId="0" applyFont="1" applyBorder="1" applyAlignment="1">
      <alignment vertical="center"/>
    </xf>
    <xf numFmtId="0" fontId="67" fillId="16" borderId="16" xfId="0" applyFont="1" applyFill="1" applyBorder="1" applyAlignment="1">
      <alignment horizontal="center" vertical="center"/>
    </xf>
    <xf numFmtId="0" fontId="67" fillId="16" borderId="16" xfId="0" applyFont="1" applyFill="1" applyBorder="1" applyAlignment="1">
      <alignment horizontal="center" vertical="center" wrapText="1"/>
    </xf>
    <xf numFmtId="0" fontId="67" fillId="33" borderId="16" xfId="0" applyFont="1" applyFill="1" applyBorder="1" applyAlignment="1">
      <alignment horizontal="center" vertical="center"/>
    </xf>
    <xf numFmtId="0" fontId="67" fillId="33" borderId="16" xfId="0" applyFont="1" applyFill="1" applyBorder="1" applyAlignment="1">
      <alignment vertical="center" wrapText="1"/>
    </xf>
    <xf numFmtId="167" fontId="67" fillId="33" borderId="16" xfId="0" applyNumberFormat="1" applyFont="1" applyFill="1" applyBorder="1" applyAlignment="1">
      <alignment vertical="center"/>
    </xf>
    <xf numFmtId="0" fontId="67" fillId="33" borderId="16" xfId="0" applyFont="1" applyFill="1" applyBorder="1" applyAlignment="1">
      <alignment wrapText="1"/>
    </xf>
    <xf numFmtId="0" fontId="68" fillId="0" borderId="16" xfId="0" applyFont="1" applyFill="1" applyBorder="1" applyAlignment="1">
      <alignment horizontal="center" vertical="center"/>
    </xf>
    <xf numFmtId="0" fontId="68" fillId="0" borderId="16" xfId="0" applyFont="1" applyFill="1" applyBorder="1" applyAlignment="1">
      <alignment vertical="center" wrapText="1"/>
    </xf>
    <xf numFmtId="167" fontId="68" fillId="0" borderId="16" xfId="0" applyNumberFormat="1" applyFont="1" applyFill="1" applyBorder="1" applyAlignment="1">
      <alignment vertical="center"/>
    </xf>
    <xf numFmtId="0" fontId="67" fillId="34" borderId="16" xfId="0" applyFont="1" applyFill="1" applyBorder="1" applyAlignment="1">
      <alignment wrapText="1"/>
    </xf>
    <xf numFmtId="0" fontId="68" fillId="0" borderId="16" xfId="0" applyFont="1" applyBorder="1" applyAlignment="1">
      <alignment wrapText="1"/>
    </xf>
    <xf numFmtId="0" fontId="68" fillId="0" borderId="16" xfId="0" applyFont="1" applyBorder="1" applyAlignment="1">
      <alignment vertical="center"/>
    </xf>
    <xf numFmtId="0" fontId="68" fillId="0" borderId="16" xfId="0" applyFont="1" applyBorder="1" applyAlignment="1">
      <alignment horizontal="left" wrapText="1"/>
    </xf>
    <xf numFmtId="0" fontId="68" fillId="34" borderId="16" xfId="0" applyFont="1" applyFill="1" applyBorder="1" applyAlignment="1">
      <alignment horizontal="left" wrapText="1"/>
    </xf>
    <xf numFmtId="0" fontId="69" fillId="34" borderId="16" xfId="0" applyFont="1" applyFill="1" applyBorder="1" applyAlignment="1">
      <alignment vertical="center" wrapText="1"/>
    </xf>
    <xf numFmtId="0" fontId="69" fillId="0" borderId="16" xfId="0" applyFont="1" applyBorder="1" applyAlignment="1">
      <alignment vertical="center"/>
    </xf>
    <xf numFmtId="0" fontId="68" fillId="0" borderId="16" xfId="0" applyFont="1" applyBorder="1" applyAlignment="1">
      <alignment vertical="center" wrapText="1"/>
    </xf>
    <xf numFmtId="167" fontId="68" fillId="0" borderId="16" xfId="0" applyNumberFormat="1" applyFont="1" applyBorder="1" applyAlignment="1">
      <alignment vertical="center"/>
    </xf>
    <xf numFmtId="0" fontId="68" fillId="0" borderId="16" xfId="0" applyFont="1" applyFill="1" applyBorder="1" applyAlignment="1">
      <alignment wrapText="1"/>
    </xf>
    <xf numFmtId="0" fontId="66" fillId="0" borderId="16" xfId="0" applyFont="1" applyBorder="1" applyAlignment="1">
      <alignment horizontal="center" vertical="center"/>
    </xf>
    <xf numFmtId="0" fontId="70" fillId="0" borderId="16" xfId="0" applyFont="1" applyBorder="1" applyAlignment="1">
      <alignment vertical="center" wrapText="1"/>
    </xf>
    <xf numFmtId="167" fontId="70" fillId="0" borderId="16" xfId="0" applyNumberFormat="1" applyFont="1" applyBorder="1" applyAlignment="1">
      <alignment vertical="center"/>
    </xf>
    <xf numFmtId="0" fontId="70" fillId="0" borderId="16" xfId="0" applyFont="1" applyFill="1" applyBorder="1" applyAlignment="1">
      <alignment wrapText="1"/>
    </xf>
    <xf numFmtId="0" fontId="68" fillId="0" borderId="16" xfId="0" applyFont="1" applyFill="1" applyBorder="1" applyAlignment="1">
      <alignment vertical="center"/>
    </xf>
    <xf numFmtId="0" fontId="67" fillId="0" borderId="16" xfId="0" applyFont="1" applyFill="1" applyBorder="1" applyAlignment="1">
      <alignment wrapText="1"/>
    </xf>
    <xf numFmtId="0" fontId="67" fillId="0" borderId="16" xfId="0" applyFont="1" applyFill="1" applyBorder="1" applyAlignment="1">
      <alignment vertical="center"/>
    </xf>
    <xf numFmtId="0" fontId="68" fillId="0" borderId="16" xfId="0" applyFont="1" applyBorder="1" applyAlignment="1">
      <alignment horizontal="center" vertical="center"/>
    </xf>
    <xf numFmtId="0" fontId="70" fillId="0" borderId="16" xfId="0" applyFont="1" applyBorder="1" applyAlignment="1">
      <alignment wrapText="1"/>
    </xf>
    <xf numFmtId="0" fontId="70" fillId="0" borderId="16" xfId="0" applyFont="1" applyBorder="1" applyAlignment="1">
      <alignment vertical="center"/>
    </xf>
    <xf numFmtId="0" fontId="67" fillId="34" borderId="16" xfId="0" applyFont="1" applyFill="1" applyBorder="1" applyAlignment="1">
      <alignment horizontal="center" vertical="center" wrapText="1"/>
    </xf>
    <xf numFmtId="0" fontId="68" fillId="34" borderId="16" xfId="0" applyFont="1" applyFill="1" applyBorder="1" applyAlignment="1">
      <alignment wrapText="1"/>
    </xf>
    <xf numFmtId="0" fontId="70" fillId="34" borderId="16" xfId="0" applyFont="1" applyFill="1" applyBorder="1" applyAlignment="1">
      <alignment wrapText="1"/>
    </xf>
    <xf numFmtId="0" fontId="67" fillId="0" borderId="16" xfId="0" applyFont="1" applyFill="1" applyBorder="1" applyAlignment="1">
      <alignment horizontal="center" vertical="center"/>
    </xf>
    <xf numFmtId="0" fontId="68" fillId="0" borderId="16" xfId="0" applyFont="1" applyBorder="1" applyAlignment="1">
      <alignment vertical="top" wrapText="1"/>
    </xf>
    <xf numFmtId="0" fontId="68" fillId="0" borderId="16" xfId="0" applyFont="1" applyFill="1" applyBorder="1"/>
    <xf numFmtId="0" fontId="68" fillId="0" borderId="16" xfId="0" applyFont="1" applyBorder="1" applyAlignment="1">
      <alignment horizontal="left" vertical="center" wrapText="1"/>
    </xf>
    <xf numFmtId="0" fontId="67" fillId="34" borderId="16" xfId="0" applyFont="1" applyFill="1" applyBorder="1" applyAlignment="1">
      <alignment horizontal="left" vertical="center" wrapText="1"/>
    </xf>
    <xf numFmtId="0" fontId="61" fillId="0" borderId="16" xfId="7" applyFont="1" applyBorder="1" applyAlignment="1">
      <alignment horizontal="center" vertical="center"/>
    </xf>
    <xf numFmtId="0" fontId="61" fillId="28" borderId="16" xfId="7" applyFont="1" applyFill="1" applyBorder="1" applyAlignment="1">
      <alignment horizontal="center" vertical="center"/>
    </xf>
    <xf numFmtId="166" fontId="6" fillId="30" borderId="2" xfId="9" applyNumberFormat="1" applyFont="1" applyFill="1" applyBorder="1" applyAlignment="1">
      <alignment horizontal="center" vertical="center"/>
    </xf>
    <xf numFmtId="169" fontId="0" fillId="0" borderId="0" xfId="0" applyNumberFormat="1"/>
    <xf numFmtId="0" fontId="69" fillId="0" borderId="16" xfId="0" applyFont="1" applyFill="1" applyBorder="1" applyAlignment="1">
      <alignment vertical="center"/>
    </xf>
    <xf numFmtId="167" fontId="67" fillId="16" borderId="16" xfId="0" applyNumberFormat="1" applyFont="1" applyFill="1" applyBorder="1" applyAlignment="1">
      <alignment horizontal="center" vertical="center" wrapText="1"/>
    </xf>
    <xf numFmtId="167" fontId="67" fillId="16" borderId="16" xfId="0" applyNumberFormat="1" applyFont="1" applyFill="1" applyBorder="1" applyAlignment="1">
      <alignment vertical="center"/>
    </xf>
    <xf numFmtId="0" fontId="67" fillId="16" borderId="16" xfId="0" applyFont="1" applyFill="1" applyBorder="1" applyAlignment="1">
      <alignment wrapText="1"/>
    </xf>
    <xf numFmtId="167" fontId="71" fillId="16" borderId="16" xfId="0" applyNumberFormat="1" applyFont="1" applyFill="1" applyBorder="1" applyAlignment="1">
      <alignment vertical="center"/>
    </xf>
    <xf numFmtId="167" fontId="71" fillId="16" borderId="16" xfId="0" applyNumberFormat="1" applyFont="1" applyFill="1" applyBorder="1" applyAlignment="1">
      <alignment horizontal="center" vertical="center" wrapText="1"/>
    </xf>
    <xf numFmtId="167" fontId="71" fillId="33" borderId="16" xfId="0" applyNumberFormat="1" applyFont="1" applyFill="1" applyBorder="1" applyAlignment="1">
      <alignment vertical="center"/>
    </xf>
    <xf numFmtId="0" fontId="72" fillId="0" borderId="16" xfId="0" applyFont="1" applyFill="1" applyBorder="1" applyAlignment="1">
      <alignment vertical="center"/>
    </xf>
    <xf numFmtId="0" fontId="72" fillId="0" borderId="16" xfId="0" applyFont="1" applyBorder="1" applyAlignment="1">
      <alignment vertical="center"/>
    </xf>
    <xf numFmtId="167" fontId="71" fillId="0" borderId="16" xfId="0" applyNumberFormat="1" applyFont="1" applyBorder="1" applyAlignment="1">
      <alignment vertical="center"/>
    </xf>
    <xf numFmtId="0" fontId="71" fillId="0" borderId="16" xfId="0" applyFont="1" applyFill="1" applyBorder="1" applyAlignment="1">
      <alignment vertical="center"/>
    </xf>
    <xf numFmtId="167" fontId="69" fillId="0" borderId="16" xfId="0" applyNumberFormat="1" applyFont="1" applyFill="1" applyBorder="1" applyAlignment="1">
      <alignment vertical="center"/>
    </xf>
    <xf numFmtId="0" fontId="71" fillId="0" borderId="16" xfId="0" applyFont="1" applyBorder="1" applyAlignment="1">
      <alignment vertical="center"/>
    </xf>
    <xf numFmtId="0" fontId="73" fillId="0" borderId="16" xfId="0" applyFont="1" applyFill="1" applyBorder="1" applyAlignment="1">
      <alignment vertical="center"/>
    </xf>
    <xf numFmtId="167" fontId="69" fillId="0" borderId="16" xfId="0" applyNumberFormat="1" applyFont="1" applyBorder="1" applyAlignment="1">
      <alignment vertical="center"/>
    </xf>
    <xf numFmtId="0" fontId="73" fillId="0" borderId="16" xfId="0" applyFont="1" applyBorder="1" applyAlignment="1">
      <alignment vertical="center"/>
    </xf>
    <xf numFmtId="3" fontId="39" fillId="15" borderId="5" xfId="0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horizontal="right"/>
    </xf>
    <xf numFmtId="3" fontId="0" fillId="0" borderId="5" xfId="0" applyNumberFormat="1" applyFont="1" applyBorder="1" applyAlignment="1">
      <alignment vertical="center"/>
    </xf>
    <xf numFmtId="3" fontId="0" fillId="0" borderId="5" xfId="0" applyNumberFormat="1" applyFont="1" applyBorder="1"/>
    <xf numFmtId="164" fontId="36" fillId="0" borderId="0" xfId="1" applyFont="1"/>
    <xf numFmtId="164" fontId="51" fillId="0" borderId="5" xfId="1" applyNumberFormat="1" applyFont="1" applyBorder="1"/>
    <xf numFmtId="164" fontId="51" fillId="16" borderId="5" xfId="1" applyNumberFormat="1" applyFont="1" applyFill="1" applyBorder="1" applyAlignment="1">
      <alignment horizontal="right" vertical="center"/>
    </xf>
    <xf numFmtId="4" fontId="37" fillId="13" borderId="5" xfId="0" applyNumberFormat="1" applyFont="1" applyFill="1" applyBorder="1" applyAlignment="1">
      <alignment horizontal="right" vertical="center"/>
    </xf>
    <xf numFmtId="4" fontId="51" fillId="0" borderId="5" xfId="0" applyNumberFormat="1" applyFont="1" applyFill="1" applyBorder="1" applyAlignment="1">
      <alignment horizontal="right" vertical="center" wrapText="1"/>
    </xf>
    <xf numFmtId="167" fontId="18" fillId="28" borderId="16" xfId="0" applyNumberFormat="1" applyFont="1" applyFill="1" applyBorder="1" applyAlignment="1">
      <alignment horizontal="center" vertical="center" wrapText="1"/>
    </xf>
    <xf numFmtId="0" fontId="38" fillId="0" borderId="0" xfId="0" applyFont="1" applyFill="1"/>
    <xf numFmtId="0" fontId="58" fillId="0" borderId="0" xfId="0" applyFont="1" applyFill="1"/>
    <xf numFmtId="49" fontId="41" fillId="0" borderId="5" xfId="0" applyNumberFormat="1" applyFont="1" applyFill="1" applyBorder="1" applyAlignment="1">
      <alignment horizontal="center" vertical="center"/>
    </xf>
    <xf numFmtId="49" fontId="41" fillId="0" borderId="5" xfId="0" applyNumberFormat="1" applyFont="1" applyFill="1" applyBorder="1" applyAlignment="1">
      <alignment vertical="center" wrapText="1"/>
    </xf>
    <xf numFmtId="3" fontId="41" fillId="0" borderId="5" xfId="0" applyNumberFormat="1" applyFont="1" applyFill="1" applyBorder="1" applyAlignment="1">
      <alignment vertical="center" wrapText="1"/>
    </xf>
    <xf numFmtId="171" fontId="41" fillId="0" borderId="5" xfId="1" applyNumberFormat="1" applyFont="1" applyFill="1" applyBorder="1" applyAlignment="1">
      <alignment vertical="center" wrapText="1"/>
    </xf>
    <xf numFmtId="164" fontId="51" fillId="0" borderId="5" xfId="1" applyFont="1" applyFill="1" applyBorder="1" applyAlignment="1">
      <alignment horizontal="right" vertical="center" wrapText="1"/>
    </xf>
    <xf numFmtId="164" fontId="39" fillId="15" borderId="5" xfId="1" applyFont="1" applyFill="1" applyBorder="1" applyAlignment="1">
      <alignment horizontal="center" vertical="center" wrapText="1"/>
    </xf>
    <xf numFmtId="164" fontId="39" fillId="16" borderId="5" xfId="1" applyFont="1" applyFill="1" applyBorder="1" applyAlignment="1">
      <alignment vertical="center"/>
    </xf>
    <xf numFmtId="164" fontId="36" fillId="0" borderId="5" xfId="1" applyFont="1" applyBorder="1"/>
    <xf numFmtId="164" fontId="36" fillId="0" borderId="5" xfId="1" applyFont="1" applyBorder="1" applyAlignment="1">
      <alignment vertical="center"/>
    </xf>
    <xf numFmtId="0" fontId="41" fillId="0" borderId="5" xfId="0" applyFont="1" applyBorder="1" applyAlignment="1">
      <alignment horizontal="center" vertical="center" wrapText="1"/>
    </xf>
    <xf numFmtId="0" fontId="29" fillId="0" borderId="0" xfId="0" applyFont="1"/>
    <xf numFmtId="0" fontId="19" fillId="0" borderId="16" xfId="0" applyFont="1" applyBorder="1" applyAlignment="1">
      <alignment horizontal="center"/>
    </xf>
    <xf numFmtId="0" fontId="19" fillId="0" borderId="16" xfId="0" applyFont="1" applyBorder="1"/>
    <xf numFmtId="170" fontId="29" fillId="0" borderId="16" xfId="1" applyNumberFormat="1" applyFont="1" applyBorder="1"/>
    <xf numFmtId="170" fontId="29" fillId="0" borderId="0" xfId="0" applyNumberFormat="1" applyFont="1"/>
    <xf numFmtId="0" fontId="19" fillId="0" borderId="16" xfId="0" applyFont="1" applyBorder="1" applyAlignment="1">
      <alignment wrapText="1"/>
    </xf>
    <xf numFmtId="0" fontId="19" fillId="0" borderId="16" xfId="0" applyFont="1" applyBorder="1" applyAlignment="1">
      <alignment horizontal="justify" vertical="center"/>
    </xf>
    <xf numFmtId="0" fontId="19" fillId="0" borderId="0" xfId="0" applyFont="1"/>
    <xf numFmtId="0" fontId="18" fillId="0" borderId="0" xfId="0" applyFont="1" applyAlignment="1">
      <alignment horizontal="right"/>
    </xf>
    <xf numFmtId="170" fontId="31" fillId="0" borderId="0" xfId="1" applyNumberFormat="1" applyFont="1"/>
    <xf numFmtId="170" fontId="29" fillId="0" borderId="0" xfId="1" applyNumberFormat="1" applyFont="1"/>
    <xf numFmtId="170" fontId="29" fillId="0" borderId="16" xfId="1" applyNumberFormat="1" applyFont="1" applyFill="1" applyBorder="1"/>
    <xf numFmtId="0" fontId="18" fillId="0" borderId="19" xfId="0" applyFont="1" applyFill="1" applyBorder="1" applyAlignment="1">
      <alignment horizontal="right" vertical="center"/>
    </xf>
    <xf numFmtId="170" fontId="18" fillId="0" borderId="0" xfId="1" applyNumberFormat="1" applyFont="1"/>
    <xf numFmtId="0" fontId="41" fillId="0" borderId="0" xfId="0" applyFont="1" applyAlignment="1">
      <alignment vertical="center" wrapText="1"/>
    </xf>
    <xf numFmtId="0" fontId="41" fillId="0" borderId="0" xfId="0" applyFont="1" applyAlignment="1">
      <alignment horizontal="right" vertical="center"/>
    </xf>
    <xf numFmtId="0" fontId="51" fillId="16" borderId="5" xfId="0" applyFont="1" applyFill="1" applyBorder="1" applyAlignment="1">
      <alignment horizontal="center" vertical="center" wrapText="1"/>
    </xf>
    <xf numFmtId="0" fontId="51" fillId="12" borderId="5" xfId="0" applyFont="1" applyFill="1" applyBorder="1" applyAlignment="1">
      <alignment horizontal="center" vertical="center" wrapText="1"/>
    </xf>
    <xf numFmtId="0" fontId="51" fillId="12" borderId="5" xfId="0" applyFont="1" applyFill="1" applyBorder="1" applyAlignment="1">
      <alignment vertical="center" wrapText="1"/>
    </xf>
    <xf numFmtId="3" fontId="41" fillId="0" borderId="0" xfId="0" applyNumberFormat="1" applyFont="1" applyAlignment="1">
      <alignment wrapText="1"/>
    </xf>
    <xf numFmtId="0" fontId="41" fillId="0" borderId="5" xfId="0" applyFont="1" applyBorder="1" applyAlignment="1">
      <alignment horizontal="left" vertical="center" wrapText="1"/>
    </xf>
    <xf numFmtId="0" fontId="51" fillId="15" borderId="5" xfId="0" applyFont="1" applyFill="1" applyBorder="1" applyAlignment="1">
      <alignment horizontal="center" vertical="center" wrapText="1"/>
    </xf>
    <xf numFmtId="0" fontId="51" fillId="15" borderId="5" xfId="0" applyFont="1" applyFill="1" applyBorder="1" applyAlignment="1">
      <alignment horizontal="left" vertical="center" wrapText="1"/>
    </xf>
    <xf numFmtId="3" fontId="51" fillId="12" borderId="5" xfId="0" applyNumberFormat="1" applyFont="1" applyFill="1" applyBorder="1" applyAlignment="1">
      <alignment horizontal="right" vertical="center" wrapText="1"/>
    </xf>
    <xf numFmtId="0" fontId="41" fillId="0" borderId="5" xfId="0" applyFont="1" applyBorder="1" applyAlignment="1">
      <alignment vertical="center" wrapText="1"/>
    </xf>
    <xf numFmtId="0" fontId="51" fillId="13" borderId="5" xfId="0" applyFont="1" applyFill="1" applyBorder="1" applyAlignment="1">
      <alignment horizontal="center" vertical="center" wrapText="1"/>
    </xf>
    <xf numFmtId="0" fontId="51" fillId="13" borderId="5" xfId="0" applyFont="1" applyFill="1" applyBorder="1" applyAlignment="1">
      <alignment horizontal="left" vertical="center" wrapText="1"/>
    </xf>
    <xf numFmtId="3" fontId="51" fillId="16" borderId="5" xfId="0" applyNumberFormat="1" applyFont="1" applyFill="1" applyBorder="1" applyAlignment="1">
      <alignment vertical="center"/>
    </xf>
    <xf numFmtId="3" fontId="17" fillId="27" borderId="5" xfId="0" applyNumberFormat="1" applyFont="1" applyFill="1" applyBorder="1"/>
    <xf numFmtId="3" fontId="51" fillId="16" borderId="5" xfId="0" applyNumberFormat="1" applyFont="1" applyFill="1" applyBorder="1"/>
    <xf numFmtId="3" fontId="51" fillId="0" borderId="5" xfId="0" applyNumberFormat="1" applyFont="1" applyFill="1" applyBorder="1" applyAlignment="1">
      <alignment vertical="center"/>
    </xf>
    <xf numFmtId="3" fontId="41" fillId="0" borderId="5" xfId="0" applyNumberFormat="1" applyFont="1" applyFill="1" applyBorder="1"/>
    <xf numFmtId="0" fontId="18" fillId="0" borderId="0" xfId="0" applyFont="1" applyAlignment="1">
      <alignment horizontal="center"/>
    </xf>
    <xf numFmtId="0" fontId="32" fillId="0" borderId="0" xfId="0" applyFont="1" applyAlignment="1">
      <alignment horizontal="center"/>
    </xf>
    <xf numFmtId="0" fontId="29" fillId="0" borderId="0" xfId="0" applyFont="1" applyAlignment="1">
      <alignment horizontal="right"/>
    </xf>
    <xf numFmtId="0" fontId="18" fillId="0" borderId="0" xfId="0" applyFont="1" applyFill="1" applyBorder="1" applyAlignment="1">
      <alignment horizontal="right" vertical="center"/>
    </xf>
    <xf numFmtId="170" fontId="31" fillId="0" borderId="16" xfId="1" applyNumberFormat="1" applyFont="1" applyBorder="1"/>
    <xf numFmtId="170" fontId="32" fillId="0" borderId="0" xfId="1" applyNumberFormat="1" applyFont="1"/>
    <xf numFmtId="170" fontId="32" fillId="0" borderId="0" xfId="0" applyNumberFormat="1" applyFont="1"/>
    <xf numFmtId="0" fontId="33" fillId="0" borderId="0" xfId="0" applyFont="1"/>
    <xf numFmtId="0" fontId="35" fillId="0" borderId="16" xfId="0" applyFont="1" applyBorder="1" applyAlignment="1">
      <alignment horizontal="center"/>
    </xf>
    <xf numFmtId="0" fontId="35" fillId="0" borderId="0" xfId="0" applyFont="1"/>
    <xf numFmtId="0" fontId="34" fillId="0" borderId="0" xfId="0" applyFont="1" applyAlignment="1">
      <alignment horizontal="center"/>
    </xf>
    <xf numFmtId="4" fontId="0" fillId="0" borderId="5" xfId="0" applyNumberFormat="1" applyFont="1" applyBorder="1"/>
    <xf numFmtId="164" fontId="36" fillId="0" borderId="5" xfId="1" applyFont="1" applyBorder="1" applyAlignment="1">
      <alignment horizontal="right"/>
    </xf>
    <xf numFmtId="4" fontId="39" fillId="16" borderId="5" xfId="0" applyNumberFormat="1" applyFont="1" applyFill="1" applyBorder="1" applyAlignment="1">
      <alignment vertical="center"/>
    </xf>
    <xf numFmtId="0" fontId="41" fillId="0" borderId="20" xfId="0" applyFont="1" applyBorder="1" applyAlignment="1">
      <alignment horizontal="center" vertical="center" wrapText="1"/>
    </xf>
    <xf numFmtId="3" fontId="51" fillId="15" borderId="11" xfId="0" applyNumberFormat="1" applyFont="1" applyFill="1" applyBorder="1" applyAlignment="1">
      <alignment horizontal="center" vertical="center" wrapText="1"/>
    </xf>
    <xf numFmtId="3" fontId="51" fillId="15" borderId="15" xfId="0" applyNumberFormat="1" applyFont="1" applyFill="1" applyBorder="1" applyAlignment="1">
      <alignment horizontal="center" vertical="center" wrapText="1"/>
    </xf>
    <xf numFmtId="0" fontId="18" fillId="16" borderId="0" xfId="0" applyFont="1" applyFill="1" applyBorder="1" applyAlignment="1">
      <alignment horizontal="center" vertical="center"/>
    </xf>
    <xf numFmtId="3" fontId="39" fillId="12" borderId="18" xfId="0" applyNumberFormat="1" applyFont="1" applyFill="1" applyBorder="1"/>
    <xf numFmtId="0" fontId="18" fillId="16" borderId="16" xfId="0" applyFont="1" applyFill="1" applyBorder="1" applyAlignment="1">
      <alignment horizontal="center" vertical="center"/>
    </xf>
    <xf numFmtId="170" fontId="31" fillId="0" borderId="23" xfId="1" applyNumberFormat="1" applyFont="1" applyBorder="1"/>
    <xf numFmtId="0" fontId="0" fillId="0" borderId="5" xfId="0" applyBorder="1" applyAlignment="1">
      <alignment horizontal="center" vertical="center" wrapText="1"/>
    </xf>
    <xf numFmtId="0" fontId="0" fillId="0" borderId="5" xfId="0" applyFont="1" applyBorder="1" applyAlignment="1">
      <alignment horizontal="left" vertical="center" wrapText="1"/>
    </xf>
    <xf numFmtId="3" fontId="41" fillId="0" borderId="0" xfId="0" applyNumberFormat="1" applyFont="1"/>
    <xf numFmtId="3" fontId="0" fillId="0" borderId="0" xfId="0" applyNumberFormat="1" applyAlignment="1">
      <alignment wrapText="1"/>
    </xf>
    <xf numFmtId="170" fontId="29" fillId="0" borderId="16" xfId="1" applyNumberFormat="1" applyFont="1" applyBorder="1"/>
    <xf numFmtId="0" fontId="19" fillId="0" borderId="16" xfId="0" applyFont="1" applyBorder="1" applyAlignment="1">
      <alignment horizontal="justify" vertical="center"/>
    </xf>
    <xf numFmtId="170" fontId="31" fillId="0" borderId="16" xfId="1" applyNumberFormat="1" applyFont="1" applyBorder="1"/>
    <xf numFmtId="170" fontId="32" fillId="0" borderId="0" xfId="1" applyNumberFormat="1" applyFont="1"/>
    <xf numFmtId="170" fontId="32" fillId="0" borderId="0" xfId="0" applyNumberFormat="1" applyFont="1"/>
    <xf numFmtId="0" fontId="35" fillId="0" borderId="16" xfId="0" applyFont="1" applyBorder="1" applyAlignment="1">
      <alignment horizontal="center"/>
    </xf>
    <xf numFmtId="0" fontId="37" fillId="32" borderId="7" xfId="0" applyFont="1" applyFill="1" applyBorder="1" applyAlignment="1">
      <alignment vertical="center" wrapText="1"/>
    </xf>
    <xf numFmtId="0" fontId="39" fillId="0" borderId="7" xfId="0" applyFont="1" applyFill="1" applyBorder="1" applyAlignment="1">
      <alignment horizontal="left" vertical="center" wrapText="1"/>
    </xf>
    <xf numFmtId="0" fontId="39" fillId="16" borderId="7" xfId="0" applyFont="1" applyFill="1" applyBorder="1" applyAlignment="1">
      <alignment vertical="center" wrapText="1"/>
    </xf>
    <xf numFmtId="0" fontId="39" fillId="12" borderId="7" xfId="0" applyFont="1" applyFill="1" applyBorder="1" applyAlignment="1">
      <alignment vertical="center" wrapText="1"/>
    </xf>
    <xf numFmtId="0" fontId="39" fillId="0" borderId="7" xfId="0" applyFont="1" applyBorder="1" applyAlignment="1">
      <alignment horizontal="left" vertical="center" wrapText="1"/>
    </xf>
    <xf numFmtId="16" fontId="0" fillId="0" borderId="7" xfId="0" applyNumberFormat="1" applyBorder="1" applyAlignment="1">
      <alignment horizontal="left" vertical="center" wrapText="1"/>
    </xf>
    <xf numFmtId="0" fontId="39" fillId="15" borderId="7" xfId="0" applyFont="1" applyFill="1" applyBorder="1" applyAlignment="1">
      <alignment horizontal="left" vertical="center" wrapText="1"/>
    </xf>
    <xf numFmtId="0" fontId="39" fillId="0" borderId="7" xfId="0" applyFont="1" applyBorder="1" applyAlignment="1">
      <alignment vertical="center" wrapText="1"/>
    </xf>
    <xf numFmtId="0" fontId="37" fillId="13" borderId="7" xfId="0" applyFont="1" applyFill="1" applyBorder="1" applyAlignment="1">
      <alignment horizontal="left" vertical="center" wrapText="1"/>
    </xf>
    <xf numFmtId="3" fontId="37" fillId="32" borderId="40" xfId="0" applyNumberFormat="1" applyFont="1" applyFill="1" applyBorder="1" applyAlignment="1">
      <alignment horizontal="center" vertical="center" wrapText="1"/>
    </xf>
    <xf numFmtId="3" fontId="37" fillId="32" borderId="41" xfId="0" applyNumberFormat="1" applyFont="1" applyFill="1" applyBorder="1" applyAlignment="1">
      <alignment horizontal="center" vertical="center" wrapText="1"/>
    </xf>
    <xf numFmtId="3" fontId="51" fillId="32" borderId="42" xfId="0" applyNumberFormat="1" applyFont="1" applyFill="1" applyBorder="1" applyAlignment="1">
      <alignment horizontal="center" vertical="center" wrapText="1"/>
    </xf>
    <xf numFmtId="3" fontId="39" fillId="15" borderId="45" xfId="0" applyNumberFormat="1" applyFont="1" applyFill="1" applyBorder="1" applyAlignment="1">
      <alignment horizontal="center" vertical="center" wrapText="1"/>
    </xf>
    <xf numFmtId="3" fontId="51" fillId="15" borderId="46" xfId="0" applyNumberFormat="1" applyFont="1" applyFill="1" applyBorder="1" applyAlignment="1">
      <alignment horizontal="center" vertical="center" wrapText="1"/>
    </xf>
    <xf numFmtId="165" fontId="39" fillId="0" borderId="45" xfId="0" applyNumberFormat="1" applyFont="1" applyFill="1" applyBorder="1" applyAlignment="1">
      <alignment horizontal="right" vertical="center" wrapText="1"/>
    </xf>
    <xf numFmtId="165" fontId="51" fillId="0" borderId="46" xfId="0" applyNumberFormat="1" applyFont="1" applyFill="1" applyBorder="1" applyAlignment="1">
      <alignment horizontal="right" vertical="center" wrapText="1"/>
    </xf>
    <xf numFmtId="3" fontId="39" fillId="16" borderId="45" xfId="0" applyNumberFormat="1" applyFont="1" applyFill="1" applyBorder="1" applyAlignment="1">
      <alignment vertical="center" wrapText="1"/>
    </xf>
    <xf numFmtId="3" fontId="51" fillId="16" borderId="46" xfId="0" applyNumberFormat="1" applyFont="1" applyFill="1" applyBorder="1" applyAlignment="1">
      <alignment vertical="center" wrapText="1"/>
    </xf>
    <xf numFmtId="3" fontId="39" fillId="12" borderId="45" xfId="0" applyNumberFormat="1" applyFont="1" applyFill="1" applyBorder="1" applyAlignment="1">
      <alignment vertical="center" wrapText="1"/>
    </xf>
    <xf numFmtId="3" fontId="51" fillId="12" borderId="46" xfId="0" applyNumberFormat="1" applyFont="1" applyFill="1" applyBorder="1" applyAlignment="1">
      <alignment vertical="center" wrapText="1"/>
    </xf>
    <xf numFmtId="3" fontId="51" fillId="12" borderId="45" xfId="0" applyNumberFormat="1" applyFont="1" applyFill="1" applyBorder="1" applyAlignment="1">
      <alignment vertical="center" wrapText="1"/>
    </xf>
    <xf numFmtId="3" fontId="51" fillId="0" borderId="45" xfId="0" applyNumberFormat="1" applyFont="1" applyBorder="1" applyAlignment="1">
      <alignment vertical="center" wrapText="1"/>
    </xf>
    <xf numFmtId="3" fontId="51" fillId="0" borderId="46" xfId="0" applyNumberFormat="1" applyFont="1" applyBorder="1" applyAlignment="1">
      <alignment vertical="center" wrapText="1"/>
    </xf>
    <xf numFmtId="3" fontId="51" fillId="0" borderId="46" xfId="0" applyNumberFormat="1" applyFont="1" applyBorder="1" applyAlignment="1">
      <alignment horizontal="right" vertical="center" wrapText="1"/>
    </xf>
    <xf numFmtId="3" fontId="41" fillId="0" borderId="45" xfId="0" applyNumberFormat="1" applyFont="1" applyBorder="1" applyAlignment="1">
      <alignment vertical="center" wrapText="1"/>
    </xf>
    <xf numFmtId="3" fontId="41" fillId="0" borderId="46" xfId="0" applyNumberFormat="1" applyFont="1" applyBorder="1" applyAlignment="1">
      <alignment vertical="center" wrapText="1"/>
    </xf>
    <xf numFmtId="3" fontId="0" fillId="0" borderId="45" xfId="0" applyNumberFormat="1" applyBorder="1" applyAlignment="1">
      <alignment vertical="center" wrapText="1"/>
    </xf>
    <xf numFmtId="3" fontId="39" fillId="0" borderId="45" xfId="0" applyNumberFormat="1" applyFont="1" applyBorder="1" applyAlignment="1">
      <alignment vertical="center" wrapText="1"/>
    </xf>
    <xf numFmtId="3" fontId="39" fillId="15" borderId="45" xfId="0" applyNumberFormat="1" applyFont="1" applyFill="1" applyBorder="1" applyAlignment="1">
      <alignment horizontal="right" vertical="center" wrapText="1"/>
    </xf>
    <xf numFmtId="3" fontId="51" fillId="15" borderId="46" xfId="0" applyNumberFormat="1" applyFont="1" applyFill="1" applyBorder="1" applyAlignment="1">
      <alignment horizontal="right" vertical="center" wrapText="1"/>
    </xf>
    <xf numFmtId="3" fontId="39" fillId="12" borderId="45" xfId="0" applyNumberFormat="1" applyFont="1" applyFill="1" applyBorder="1" applyAlignment="1">
      <alignment horizontal="right" vertical="center" wrapText="1"/>
    </xf>
    <xf numFmtId="3" fontId="51" fillId="12" borderId="46" xfId="0" applyNumberFormat="1" applyFont="1" applyFill="1" applyBorder="1" applyAlignment="1">
      <alignment horizontal="right" vertical="center" wrapText="1"/>
    </xf>
    <xf numFmtId="3" fontId="39" fillId="0" borderId="45" xfId="0" applyNumberFormat="1" applyFont="1" applyBorder="1" applyAlignment="1">
      <alignment horizontal="right" vertical="center" wrapText="1"/>
    </xf>
    <xf numFmtId="3" fontId="0" fillId="0" borderId="45" xfId="0" applyNumberFormat="1" applyBorder="1" applyAlignment="1">
      <alignment horizontal="right" vertical="center" wrapText="1"/>
    </xf>
    <xf numFmtId="3" fontId="41" fillId="0" borderId="46" xfId="0" applyNumberFormat="1" applyFont="1" applyBorder="1" applyAlignment="1">
      <alignment horizontal="right" vertical="center" wrapText="1"/>
    </xf>
    <xf numFmtId="0" fontId="0" fillId="0" borderId="0" xfId="0" applyBorder="1" applyAlignment="1">
      <alignment wrapText="1"/>
    </xf>
    <xf numFmtId="3" fontId="37" fillId="13" borderId="47" xfId="0" applyNumberFormat="1" applyFont="1" applyFill="1" applyBorder="1" applyAlignment="1">
      <alignment horizontal="right" vertical="center" wrapText="1"/>
    </xf>
    <xf numFmtId="3" fontId="37" fillId="13" borderId="48" xfId="0" applyNumberFormat="1" applyFont="1" applyFill="1" applyBorder="1" applyAlignment="1">
      <alignment horizontal="right" vertical="center" wrapText="1"/>
    </xf>
    <xf numFmtId="3" fontId="37" fillId="13" borderId="49" xfId="0" applyNumberFormat="1" applyFont="1" applyFill="1" applyBorder="1" applyAlignment="1">
      <alignment horizontal="right" vertical="center" wrapText="1"/>
    </xf>
    <xf numFmtId="0" fontId="39" fillId="16" borderId="7" xfId="0" applyFont="1" applyFill="1" applyBorder="1"/>
    <xf numFmtId="0" fontId="39" fillId="12" borderId="7" xfId="0" applyFont="1" applyFill="1" applyBorder="1"/>
    <xf numFmtId="16" fontId="0" fillId="0" borderId="7" xfId="0" applyNumberFormat="1" applyFont="1" applyBorder="1" applyAlignment="1">
      <alignment horizontal="left" vertical="center" wrapText="1" indent="3"/>
    </xf>
    <xf numFmtId="49" fontId="0" fillId="0" borderId="7" xfId="0" applyNumberFormat="1" applyFont="1" applyBorder="1" applyAlignment="1">
      <alignment horizontal="left" vertical="center" wrapText="1" indent="5"/>
    </xf>
    <xf numFmtId="0" fontId="39" fillId="0" borderId="7" xfId="0" applyFont="1" applyBorder="1"/>
    <xf numFmtId="16" fontId="0" fillId="0" borderId="7" xfId="0" applyNumberFormat="1" applyFont="1" applyFill="1" applyBorder="1" applyAlignment="1">
      <alignment horizontal="left" vertical="center" wrapText="1" indent="3"/>
    </xf>
    <xf numFmtId="0" fontId="39" fillId="0" borderId="7" xfId="0" applyFont="1" applyBorder="1" applyAlignment="1">
      <alignment wrapText="1"/>
    </xf>
    <xf numFmtId="0" fontId="39" fillId="15" borderId="7" xfId="0" applyFont="1" applyFill="1" applyBorder="1" applyAlignment="1">
      <alignment horizontal="left" vertical="center"/>
    </xf>
    <xf numFmtId="0" fontId="37" fillId="13" borderId="7" xfId="0" applyFont="1" applyFill="1" applyBorder="1" applyAlignment="1">
      <alignment horizontal="left" vertical="center"/>
    </xf>
    <xf numFmtId="3" fontId="37" fillId="32" borderId="42" xfId="0" applyNumberFormat="1" applyFont="1" applyFill="1" applyBorder="1" applyAlignment="1">
      <alignment horizontal="center" vertical="center" wrapText="1"/>
    </xf>
    <xf numFmtId="3" fontId="39" fillId="15" borderId="46" xfId="0" applyNumberFormat="1" applyFont="1" applyFill="1" applyBorder="1" applyAlignment="1">
      <alignment horizontal="center" vertical="center" wrapText="1"/>
    </xf>
    <xf numFmtId="3" fontId="39" fillId="16" borderId="45" xfId="0" applyNumberFormat="1" applyFont="1" applyFill="1" applyBorder="1"/>
    <xf numFmtId="3" fontId="39" fillId="16" borderId="46" xfId="0" applyNumberFormat="1" applyFont="1" applyFill="1" applyBorder="1"/>
    <xf numFmtId="3" fontId="39" fillId="12" borderId="45" xfId="0" applyNumberFormat="1" applyFont="1" applyFill="1" applyBorder="1"/>
    <xf numFmtId="3" fontId="39" fillId="12" borderId="46" xfId="0" applyNumberFormat="1" applyFont="1" applyFill="1" applyBorder="1"/>
    <xf numFmtId="3" fontId="39" fillId="0" borderId="45" xfId="0" applyNumberFormat="1" applyFont="1" applyBorder="1" applyAlignment="1">
      <alignment vertical="center"/>
    </xf>
    <xf numFmtId="3" fontId="39" fillId="0" borderId="46" xfId="0" applyNumberFormat="1" applyFont="1" applyBorder="1" applyAlignment="1">
      <alignment vertical="center"/>
    </xf>
    <xf numFmtId="3" fontId="0" fillId="0" borderId="45" xfId="0" applyNumberFormat="1" applyFont="1" applyBorder="1" applyAlignment="1">
      <alignment vertical="center"/>
    </xf>
    <xf numFmtId="3" fontId="0" fillId="0" borderId="46" xfId="0" applyNumberFormat="1" applyFont="1" applyBorder="1" applyAlignment="1">
      <alignment vertical="center"/>
    </xf>
    <xf numFmtId="3" fontId="41" fillId="0" borderId="45" xfId="0" applyNumberFormat="1" applyFont="1" applyBorder="1" applyAlignment="1">
      <alignment vertical="center"/>
    </xf>
    <xf numFmtId="3" fontId="0" fillId="0" borderId="45" xfId="0" applyNumberFormat="1" applyFont="1" applyBorder="1"/>
    <xf numFmtId="3" fontId="0" fillId="0" borderId="46" xfId="0" applyNumberFormat="1" applyFont="1" applyBorder="1"/>
    <xf numFmtId="3" fontId="39" fillId="0" borderId="45" xfId="0" applyNumberFormat="1" applyFont="1" applyBorder="1"/>
    <xf numFmtId="3" fontId="39" fillId="0" borderId="46" xfId="0" applyNumberFormat="1" applyFont="1" applyBorder="1"/>
    <xf numFmtId="3" fontId="51" fillId="12" borderId="46" xfId="0" applyNumberFormat="1" applyFont="1" applyFill="1" applyBorder="1"/>
    <xf numFmtId="3" fontId="51" fillId="0" borderId="46" xfId="0" applyNumberFormat="1" applyFont="1" applyBorder="1"/>
    <xf numFmtId="3" fontId="0" fillId="0" borderId="45" xfId="0" applyNumberFormat="1" applyFont="1" applyFill="1" applyBorder="1"/>
    <xf numFmtId="3" fontId="0" fillId="0" borderId="46" xfId="0" applyNumberFormat="1" applyFont="1" applyFill="1" applyBorder="1"/>
    <xf numFmtId="3" fontId="39" fillId="15" borderId="46" xfId="0" applyNumberFormat="1" applyFont="1" applyFill="1" applyBorder="1" applyAlignment="1">
      <alignment horizontal="right" vertical="center" wrapText="1"/>
    </xf>
    <xf numFmtId="3" fontId="51" fillId="0" borderId="45" xfId="0" applyNumberFormat="1" applyFont="1" applyBorder="1"/>
    <xf numFmtId="3" fontId="41" fillId="0" borderId="45" xfId="0" applyNumberFormat="1" applyFont="1" applyBorder="1"/>
    <xf numFmtId="3" fontId="41" fillId="0" borderId="46" xfId="0" applyNumberFormat="1" applyFont="1" applyBorder="1"/>
    <xf numFmtId="0" fontId="18" fillId="0" borderId="0" xfId="0" applyFont="1" applyAlignment="1">
      <alignment horizontal="center"/>
    </xf>
    <xf numFmtId="0" fontId="18" fillId="16" borderId="16" xfId="0" applyFont="1" applyFill="1" applyBorder="1" applyAlignment="1">
      <alignment horizontal="center" vertical="center"/>
    </xf>
    <xf numFmtId="49" fontId="51" fillId="28" borderId="5" xfId="0" applyNumberFormat="1" applyFont="1" applyFill="1" applyBorder="1" applyAlignment="1">
      <alignment horizontal="center" vertical="center"/>
    </xf>
    <xf numFmtId="49" fontId="51" fillId="28" borderId="5" xfId="0" applyNumberFormat="1" applyFont="1" applyFill="1" applyBorder="1"/>
    <xf numFmtId="171" fontId="51" fillId="28" borderId="5" xfId="1" applyNumberFormat="1" applyFont="1" applyFill="1" applyBorder="1"/>
    <xf numFmtId="3" fontId="39" fillId="28" borderId="5" xfId="0" applyNumberFormat="1" applyFont="1" applyFill="1" applyBorder="1"/>
    <xf numFmtId="3" fontId="51" fillId="28" borderId="5" xfId="0" applyNumberFormat="1" applyFont="1" applyFill="1" applyBorder="1"/>
    <xf numFmtId="0" fontId="0" fillId="28" borderId="0" xfId="0" applyFill="1"/>
    <xf numFmtId="49" fontId="41" fillId="28" borderId="5" xfId="0" applyNumberFormat="1" applyFont="1" applyFill="1" applyBorder="1" applyAlignment="1">
      <alignment horizontal="center" vertical="center"/>
    </xf>
    <xf numFmtId="49" fontId="41" fillId="28" borderId="5" xfId="0" applyNumberFormat="1" applyFont="1" applyFill="1" applyBorder="1"/>
    <xf numFmtId="171" fontId="36" fillId="28" borderId="5" xfId="1" applyNumberFormat="1" applyFont="1" applyFill="1" applyBorder="1"/>
    <xf numFmtId="3" fontId="0" fillId="28" borderId="5" xfId="0" applyNumberFormat="1" applyFill="1" applyBorder="1"/>
    <xf numFmtId="3" fontId="0" fillId="28" borderId="5" xfId="0" applyNumberFormat="1" applyFont="1" applyFill="1" applyBorder="1"/>
    <xf numFmtId="171" fontId="41" fillId="28" borderId="5" xfId="1" applyNumberFormat="1" applyFont="1" applyFill="1" applyBorder="1"/>
    <xf numFmtId="3" fontId="0" fillId="28" borderId="5" xfId="0" applyNumberFormat="1" applyFont="1" applyFill="1" applyBorder="1" applyAlignment="1">
      <alignment vertical="center"/>
    </xf>
    <xf numFmtId="49" fontId="41" fillId="28" borderId="5" xfId="0" applyNumberFormat="1" applyFont="1" applyFill="1" applyBorder="1" applyAlignment="1">
      <alignment vertical="center" wrapText="1"/>
    </xf>
    <xf numFmtId="171" fontId="41" fillId="28" borderId="5" xfId="1" applyNumberFormat="1" applyFont="1" applyFill="1" applyBorder="1" applyAlignment="1">
      <alignment vertical="center"/>
    </xf>
    <xf numFmtId="3" fontId="41" fillId="28" borderId="5" xfId="0" applyNumberFormat="1" applyFont="1" applyFill="1" applyBorder="1" applyAlignment="1">
      <alignment vertical="center"/>
    </xf>
    <xf numFmtId="164" fontId="51" fillId="28" borderId="5" xfId="1" applyNumberFormat="1" applyFont="1" applyFill="1" applyBorder="1"/>
    <xf numFmtId="49" fontId="39" fillId="28" borderId="5" xfId="0" applyNumberFormat="1" applyFont="1" applyFill="1" applyBorder="1" applyAlignment="1">
      <alignment horizontal="center" vertical="center"/>
    </xf>
    <xf numFmtId="171" fontId="39" fillId="28" borderId="5" xfId="1" applyNumberFormat="1" applyFont="1" applyFill="1" applyBorder="1"/>
    <xf numFmtId="49" fontId="0" fillId="28" borderId="5" xfId="0" applyNumberFormat="1" applyFont="1" applyFill="1" applyBorder="1" applyAlignment="1">
      <alignment horizontal="center" vertical="center"/>
    </xf>
    <xf numFmtId="49" fontId="0" fillId="28" borderId="5" xfId="0" applyNumberFormat="1" applyFont="1" applyFill="1" applyBorder="1"/>
    <xf numFmtId="0" fontId="0" fillId="28" borderId="0" xfId="0" applyFont="1" applyFill="1"/>
    <xf numFmtId="49" fontId="0" fillId="28" borderId="0" xfId="0" applyNumberFormat="1" applyFont="1" applyFill="1"/>
    <xf numFmtId="0" fontId="38" fillId="35" borderId="0" xfId="0" applyFont="1" applyFill="1"/>
    <xf numFmtId="0" fontId="29" fillId="35" borderId="0" xfId="0" applyFont="1" applyFill="1"/>
    <xf numFmtId="0" fontId="41" fillId="35" borderId="0" xfId="0" applyFont="1" applyFill="1"/>
    <xf numFmtId="0" fontId="38" fillId="36" borderId="0" xfId="0" applyFont="1" applyFill="1"/>
    <xf numFmtId="0" fontId="51" fillId="36" borderId="0" xfId="0" applyFont="1" applyFill="1"/>
    <xf numFmtId="0" fontId="64" fillId="36" borderId="0" xfId="0" applyFont="1" applyFill="1"/>
    <xf numFmtId="0" fontId="51" fillId="36" borderId="0" xfId="0" applyFont="1" applyFill="1" applyAlignment="1">
      <alignment vertical="center"/>
    </xf>
    <xf numFmtId="0" fontId="58" fillId="36" borderId="0" xfId="0" applyFont="1" applyFill="1"/>
    <xf numFmtId="0" fontId="65" fillId="36" borderId="0" xfId="0" applyFont="1" applyFill="1"/>
    <xf numFmtId="0" fontId="41" fillId="36" borderId="0" xfId="0" applyFont="1" applyFill="1"/>
    <xf numFmtId="0" fontId="29" fillId="36" borderId="0" xfId="0" applyFont="1" applyFill="1"/>
    <xf numFmtId="0" fontId="35" fillId="0" borderId="16" xfId="0" applyFont="1" applyBorder="1" applyAlignment="1">
      <alignment horizontal="center" wrapText="1"/>
    </xf>
    <xf numFmtId="49" fontId="51" fillId="0" borderId="5" xfId="0" applyNumberFormat="1" applyFont="1" applyFill="1" applyBorder="1" applyAlignment="1">
      <alignment vertical="center" wrapText="1"/>
    </xf>
    <xf numFmtId="171" fontId="51" fillId="0" borderId="5" xfId="1" applyNumberFormat="1" applyFont="1" applyFill="1" applyBorder="1" applyAlignment="1">
      <alignment vertical="center" wrapText="1"/>
    </xf>
    <xf numFmtId="3" fontId="51" fillId="0" borderId="5" xfId="0" applyNumberFormat="1" applyFont="1" applyFill="1" applyBorder="1" applyAlignment="1">
      <alignment vertical="center" wrapText="1"/>
    </xf>
    <xf numFmtId="0" fontId="19" fillId="0" borderId="16" xfId="0" applyFont="1" applyFill="1" applyBorder="1" applyAlignment="1">
      <alignment horizontal="center"/>
    </xf>
    <xf numFmtId="0" fontId="35" fillId="0" borderId="16" xfId="0" applyFont="1" applyFill="1" applyBorder="1" applyAlignment="1">
      <alignment horizontal="center"/>
    </xf>
    <xf numFmtId="0" fontId="19" fillId="0" borderId="16" xfId="0" applyFont="1" applyFill="1" applyBorder="1"/>
    <xf numFmtId="170" fontId="31" fillId="0" borderId="16" xfId="1" applyNumberFormat="1" applyFont="1" applyFill="1" applyBorder="1"/>
    <xf numFmtId="0" fontId="29" fillId="0" borderId="0" xfId="0" applyFont="1" applyFill="1"/>
    <xf numFmtId="0" fontId="19" fillId="0" borderId="16" xfId="0" applyFont="1" applyFill="1" applyBorder="1" applyAlignment="1">
      <alignment wrapText="1"/>
    </xf>
    <xf numFmtId="0" fontId="19" fillId="0" borderId="16" xfId="0" applyFont="1" applyFill="1" applyBorder="1" applyAlignment="1">
      <alignment horizontal="justify" vertical="center"/>
    </xf>
    <xf numFmtId="0" fontId="51" fillId="0" borderId="0" xfId="0" applyFont="1" applyFill="1" applyAlignment="1">
      <alignment vertical="center"/>
    </xf>
    <xf numFmtId="3" fontId="41" fillId="12" borderId="5" xfId="0" applyNumberFormat="1" applyFont="1" applyFill="1" applyBorder="1" applyAlignment="1">
      <alignment wrapText="1"/>
    </xf>
    <xf numFmtId="170" fontId="31" fillId="12" borderId="16" xfId="1" applyNumberFormat="1" applyFont="1" applyFill="1" applyBorder="1"/>
    <xf numFmtId="170" fontId="29" fillId="36" borderId="0" xfId="0" applyNumberFormat="1" applyFont="1" applyFill="1"/>
    <xf numFmtId="3" fontId="75" fillId="0" borderId="0" xfId="0" applyNumberFormat="1" applyFont="1"/>
    <xf numFmtId="3" fontId="38" fillId="0" borderId="5" xfId="0" applyNumberFormat="1" applyFont="1" applyFill="1" applyBorder="1" applyAlignment="1">
      <alignment wrapText="1"/>
    </xf>
    <xf numFmtId="3" fontId="0" fillId="0" borderId="0" xfId="0" applyNumberFormat="1" applyAlignment="1">
      <alignment horizontal="center" vertical="center"/>
    </xf>
    <xf numFmtId="3" fontId="39" fillId="0" borderId="0" xfId="0" applyNumberFormat="1" applyFont="1"/>
    <xf numFmtId="170" fontId="31" fillId="0" borderId="0" xfId="1" applyNumberFormat="1" applyFont="1" applyFill="1"/>
    <xf numFmtId="170" fontId="29" fillId="0" borderId="0" xfId="1" applyNumberFormat="1" applyFont="1" applyFill="1"/>
    <xf numFmtId="170" fontId="32" fillId="0" borderId="0" xfId="1" applyNumberFormat="1" applyFont="1" applyFill="1"/>
    <xf numFmtId="3" fontId="29" fillId="0" borderId="0" xfId="0" applyNumberFormat="1" applyFont="1"/>
    <xf numFmtId="3" fontId="15" fillId="0" borderId="0" xfId="9" applyNumberFormat="1" applyFont="1" applyBorder="1" applyAlignment="1">
      <alignment horizontal="left" vertical="center"/>
    </xf>
    <xf numFmtId="3" fontId="41" fillId="35" borderId="0" xfId="0" applyNumberFormat="1" applyFont="1" applyFill="1"/>
    <xf numFmtId="3" fontId="12" fillId="16" borderId="5" xfId="9" applyNumberFormat="1" applyFont="1" applyFill="1" applyBorder="1" applyAlignment="1">
      <alignment horizontal="right" vertical="center" wrapText="1"/>
    </xf>
    <xf numFmtId="3" fontId="0" fillId="0" borderId="0" xfId="0" applyNumberFormat="1" applyAlignment="1">
      <alignment vertical="center" wrapText="1"/>
    </xf>
    <xf numFmtId="3" fontId="38" fillId="0" borderId="0" xfId="0" applyNumberFormat="1" applyFont="1" applyFill="1"/>
    <xf numFmtId="0" fontId="39" fillId="15" borderId="5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39" fillId="15" borderId="5" xfId="0" applyFont="1" applyFill="1" applyBorder="1" applyAlignment="1">
      <alignment horizontal="center" vertical="center"/>
    </xf>
    <xf numFmtId="0" fontId="6" fillId="0" borderId="2" xfId="9" applyFont="1" applyBorder="1" applyAlignment="1">
      <alignment horizontal="center" vertical="center" wrapText="1"/>
    </xf>
    <xf numFmtId="0" fontId="6" fillId="0" borderId="2" xfId="9" applyFont="1" applyBorder="1" applyAlignment="1">
      <alignment horizontal="center" vertical="center"/>
    </xf>
    <xf numFmtId="10" fontId="39" fillId="16" borderId="18" xfId="16" applyNumberFormat="1" applyFont="1" applyFill="1" applyBorder="1" applyAlignment="1">
      <alignment vertical="center"/>
    </xf>
    <xf numFmtId="0" fontId="0" fillId="0" borderId="5" xfId="0" applyBorder="1" applyAlignment="1">
      <alignment vertical="center"/>
    </xf>
    <xf numFmtId="3" fontId="0" fillId="0" borderId="5" xfId="0" applyNumberFormat="1" applyBorder="1" applyAlignment="1">
      <alignment horizontal="right" vertical="center"/>
    </xf>
    <xf numFmtId="3" fontId="41" fillId="0" borderId="5" xfId="0" applyNumberFormat="1" applyFont="1" applyBorder="1" applyAlignment="1">
      <alignment horizontal="right" vertical="center"/>
    </xf>
    <xf numFmtId="3" fontId="0" fillId="0" borderId="0" xfId="0" applyNumberFormat="1" applyAlignment="1">
      <alignment vertical="center"/>
    </xf>
    <xf numFmtId="3" fontId="58" fillId="0" borderId="0" xfId="0" applyNumberFormat="1" applyFont="1" applyAlignment="1">
      <alignment vertical="center"/>
    </xf>
    <xf numFmtId="3" fontId="39" fillId="0" borderId="0" xfId="0" applyNumberFormat="1" applyFont="1" applyAlignment="1">
      <alignment horizontal="right" vertical="center" wrapText="1"/>
    </xf>
    <xf numFmtId="3" fontId="39" fillId="0" borderId="0" xfId="0" applyNumberFormat="1" applyFont="1" applyAlignment="1">
      <alignment vertical="center"/>
    </xf>
    <xf numFmtId="3" fontId="39" fillId="0" borderId="0" xfId="0" applyNumberFormat="1" applyFont="1" applyAlignment="1">
      <alignment horizontal="right" vertical="center"/>
    </xf>
    <xf numFmtId="3" fontId="0" fillId="0" borderId="0" xfId="0" applyNumberFormat="1" applyAlignment="1">
      <alignment horizontal="right" vertical="center"/>
    </xf>
    <xf numFmtId="164" fontId="22" fillId="0" borderId="2" xfId="2" applyFont="1" applyBorder="1" applyAlignment="1">
      <alignment horizontal="center" vertical="center"/>
    </xf>
    <xf numFmtId="164" fontId="12" fillId="0" borderId="2" xfId="2" applyFont="1" applyBorder="1" applyAlignment="1">
      <alignment horizontal="left" vertical="center"/>
    </xf>
    <xf numFmtId="164" fontId="6" fillId="30" borderId="2" xfId="2" applyFont="1" applyFill="1" applyBorder="1" applyAlignment="1">
      <alignment horizontal="center" vertical="center"/>
    </xf>
    <xf numFmtId="164" fontId="12" fillId="31" borderId="2" xfId="2" applyFont="1" applyFill="1" applyBorder="1" applyAlignment="1">
      <alignment horizontal="center" vertical="center" wrapText="1"/>
    </xf>
    <xf numFmtId="164" fontId="56" fillId="13" borderId="2" xfId="2" applyFont="1" applyFill="1" applyBorder="1" applyAlignment="1">
      <alignment horizontal="center" vertical="center"/>
    </xf>
    <xf numFmtId="164" fontId="6" fillId="0" borderId="0" xfId="2" applyFont="1"/>
    <xf numFmtId="0" fontId="53" fillId="0" borderId="0" xfId="0" applyFont="1" applyAlignment="1">
      <alignment horizontal="center" vertical="top" wrapText="1"/>
    </xf>
    <xf numFmtId="0" fontId="54" fillId="0" borderId="0" xfId="0" applyFont="1" applyAlignment="1">
      <alignment horizontal="center" vertical="top" wrapText="1"/>
    </xf>
    <xf numFmtId="170" fontId="36" fillId="0" borderId="0" xfId="2" applyNumberFormat="1" applyFont="1"/>
    <xf numFmtId="0" fontId="74" fillId="0" borderId="24" xfId="0" applyFont="1" applyBorder="1" applyAlignment="1">
      <alignment horizontal="center"/>
    </xf>
    <xf numFmtId="3" fontId="39" fillId="15" borderId="43" xfId="0" applyNumberFormat="1" applyFont="1" applyFill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44" xfId="0" applyBorder="1" applyAlignment="1">
      <alignment horizontal="center" vertical="center" wrapText="1"/>
    </xf>
    <xf numFmtId="0" fontId="39" fillId="15" borderId="5" xfId="0" applyFont="1" applyFill="1" applyBorder="1" applyAlignment="1">
      <alignment horizontal="center" vertical="center" wrapText="1"/>
    </xf>
    <xf numFmtId="3" fontId="39" fillId="15" borderId="7" xfId="0" applyNumberFormat="1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51" fillId="15" borderId="5" xfId="0" applyFont="1" applyFill="1" applyBorder="1" applyAlignment="1">
      <alignment horizontal="center" vertical="center" wrapText="1"/>
    </xf>
    <xf numFmtId="3" fontId="51" fillId="15" borderId="7" xfId="0" applyNumberFormat="1" applyFont="1" applyFill="1" applyBorder="1" applyAlignment="1">
      <alignment horizontal="center" vertical="center" wrapText="1"/>
    </xf>
    <xf numFmtId="0" fontId="41" fillId="0" borderId="20" xfId="0" applyFont="1" applyBorder="1" applyAlignment="1">
      <alignment horizontal="center" vertical="center" wrapText="1"/>
    </xf>
    <xf numFmtId="0" fontId="41" fillId="0" borderId="17" xfId="0" applyFont="1" applyBorder="1" applyAlignment="1">
      <alignment horizontal="center" vertical="center" wrapText="1"/>
    </xf>
    <xf numFmtId="3" fontId="39" fillId="15" borderId="25" xfId="0" applyNumberFormat="1" applyFont="1" applyFill="1" applyBorder="1" applyAlignment="1">
      <alignment horizontal="center" vertical="center" wrapText="1"/>
    </xf>
    <xf numFmtId="3" fontId="39" fillId="15" borderId="21" xfId="0" applyNumberFormat="1" applyFont="1" applyFill="1" applyBorder="1" applyAlignment="1">
      <alignment horizontal="center" vertical="center" wrapText="1"/>
    </xf>
    <xf numFmtId="49" fontId="39" fillId="15" borderId="5" xfId="0" applyNumberFormat="1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49" fontId="39" fillId="15" borderId="5" xfId="0" applyNumberFormat="1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9" fillId="15" borderId="7" xfId="0" applyFont="1" applyFill="1" applyBorder="1" applyAlignment="1">
      <alignment horizontal="center" vertical="center"/>
    </xf>
    <xf numFmtId="0" fontId="39" fillId="15" borderId="7" xfId="0" applyFont="1" applyFill="1" applyBorder="1" applyAlignment="1">
      <alignment horizontal="center" vertical="center" wrapText="1"/>
    </xf>
    <xf numFmtId="171" fontId="51" fillId="15" borderId="11" xfId="1" applyNumberFormat="1" applyFont="1" applyFill="1" applyBorder="1" applyAlignment="1">
      <alignment horizontal="center" vertical="center" wrapText="1"/>
    </xf>
    <xf numFmtId="171" fontId="51" fillId="15" borderId="15" xfId="1" applyNumberFormat="1" applyFont="1" applyFill="1" applyBorder="1" applyAlignment="1">
      <alignment horizontal="center" vertical="center" wrapText="1"/>
    </xf>
    <xf numFmtId="3" fontId="51" fillId="15" borderId="11" xfId="0" applyNumberFormat="1" applyFont="1" applyFill="1" applyBorder="1" applyAlignment="1">
      <alignment horizontal="center" vertical="center" wrapText="1"/>
    </xf>
    <xf numFmtId="3" fontId="51" fillId="15" borderId="15" xfId="0" applyNumberFormat="1" applyFont="1" applyFill="1" applyBorder="1" applyAlignment="1">
      <alignment horizontal="center" vertical="center" wrapText="1"/>
    </xf>
    <xf numFmtId="49" fontId="51" fillId="15" borderId="5" xfId="0" applyNumberFormat="1" applyFont="1" applyFill="1" applyBorder="1" applyAlignment="1">
      <alignment horizontal="center" vertical="center" wrapText="1"/>
    </xf>
    <xf numFmtId="0" fontId="41" fillId="0" borderId="5" xfId="0" applyFont="1" applyBorder="1" applyAlignment="1">
      <alignment horizontal="center" vertical="center" wrapText="1"/>
    </xf>
    <xf numFmtId="49" fontId="51" fillId="15" borderId="5" xfId="0" applyNumberFormat="1" applyFont="1" applyFill="1" applyBorder="1" applyAlignment="1">
      <alignment horizontal="center" vertical="center"/>
    </xf>
    <xf numFmtId="0" fontId="41" fillId="0" borderId="5" xfId="0" applyFont="1" applyBorder="1" applyAlignment="1">
      <alignment horizontal="center" vertical="center"/>
    </xf>
    <xf numFmtId="166" fontId="51" fillId="15" borderId="7" xfId="0" applyNumberFormat="1" applyFont="1" applyFill="1" applyBorder="1" applyAlignment="1">
      <alignment horizontal="center" vertical="center" wrapText="1"/>
    </xf>
    <xf numFmtId="166" fontId="39" fillId="15" borderId="7" xfId="0" applyNumberFormat="1" applyFont="1" applyFill="1" applyBorder="1" applyAlignment="1">
      <alignment horizontal="center" vertical="center" wrapText="1"/>
    </xf>
    <xf numFmtId="3" fontId="39" fillId="15" borderId="20" xfId="0" applyNumberFormat="1" applyFont="1" applyFill="1" applyBorder="1" applyAlignment="1">
      <alignment horizontal="center" vertical="center" wrapText="1"/>
    </xf>
    <xf numFmtId="3" fontId="39" fillId="15" borderId="17" xfId="0" applyNumberFormat="1" applyFont="1" applyFill="1" applyBorder="1" applyAlignment="1">
      <alignment horizontal="center" vertical="center" wrapText="1"/>
    </xf>
    <xf numFmtId="0" fontId="39" fillId="15" borderId="5" xfId="0" applyFont="1" applyFill="1" applyBorder="1" applyAlignment="1">
      <alignment horizontal="center" vertical="center"/>
    </xf>
    <xf numFmtId="49" fontId="40" fillId="11" borderId="4" xfId="10" applyNumberFormat="1" applyFont="1" applyFill="1" applyBorder="1" applyAlignment="1">
      <alignment horizontal="center" vertical="center"/>
    </xf>
    <xf numFmtId="49" fontId="40" fillId="11" borderId="13" xfId="10" applyNumberFormat="1" applyFont="1" applyFill="1" applyBorder="1" applyAlignment="1">
      <alignment horizontal="center" vertical="center"/>
    </xf>
    <xf numFmtId="49" fontId="40" fillId="11" borderId="14" xfId="10" applyNumberFormat="1" applyFont="1" applyFill="1" applyBorder="1" applyAlignment="1">
      <alignment horizontal="center" vertical="center"/>
    </xf>
    <xf numFmtId="3" fontId="3" fillId="2" borderId="9" xfId="10" applyNumberFormat="1" applyFont="1" applyFill="1" applyBorder="1" applyAlignment="1">
      <alignment horizontal="center" vertical="center" wrapText="1"/>
    </xf>
    <xf numFmtId="3" fontId="3" fillId="2" borderId="3" xfId="10" applyNumberFormat="1" applyFont="1" applyFill="1" applyBorder="1" applyAlignment="1">
      <alignment horizontal="center" vertical="center" wrapText="1"/>
    </xf>
    <xf numFmtId="3" fontId="3" fillId="2" borderId="4" xfId="10" applyNumberFormat="1" applyFont="1" applyFill="1" applyBorder="1" applyAlignment="1">
      <alignment horizontal="center" vertical="center" wrapText="1"/>
    </xf>
    <xf numFmtId="3" fontId="3" fillId="2" borderId="14" xfId="10" applyNumberFormat="1" applyFont="1" applyFill="1" applyBorder="1" applyAlignment="1">
      <alignment horizontal="center" vertical="center" wrapText="1"/>
    </xf>
    <xf numFmtId="49" fontId="3" fillId="7" borderId="13" xfId="10" applyNumberFormat="1" applyFont="1" applyFill="1" applyBorder="1" applyAlignment="1">
      <alignment horizontal="center" vertical="center"/>
    </xf>
    <xf numFmtId="49" fontId="3" fillId="2" borderId="1" xfId="10" applyNumberFormat="1" applyFont="1" applyFill="1" applyBorder="1" applyAlignment="1">
      <alignment horizontal="center" vertical="center"/>
    </xf>
    <xf numFmtId="49" fontId="3" fillId="2" borderId="1" xfId="10" applyNumberFormat="1" applyFont="1" applyFill="1" applyBorder="1" applyAlignment="1">
      <alignment horizontal="center" vertical="center" wrapText="1"/>
    </xf>
    <xf numFmtId="3" fontId="3" fillId="2" borderId="1" xfId="10" applyNumberFormat="1" applyFont="1" applyFill="1" applyBorder="1" applyAlignment="1">
      <alignment horizontal="center" vertical="center" wrapText="1"/>
    </xf>
    <xf numFmtId="49" fontId="3" fillId="6" borderId="4" xfId="10" applyNumberFormat="1" applyFont="1" applyFill="1" applyBorder="1" applyAlignment="1">
      <alignment horizontal="center" vertical="center"/>
    </xf>
    <xf numFmtId="49" fontId="3" fillId="6" borderId="13" xfId="10" applyNumberFormat="1" applyFont="1" applyFill="1" applyBorder="1" applyAlignment="1">
      <alignment horizontal="center" vertical="center"/>
    </xf>
    <xf numFmtId="49" fontId="3" fillId="6" borderId="14" xfId="10" applyNumberFormat="1" applyFont="1" applyFill="1" applyBorder="1" applyAlignment="1">
      <alignment horizontal="center" vertical="center"/>
    </xf>
    <xf numFmtId="171" fontId="39" fillId="15" borderId="11" xfId="1" applyNumberFormat="1" applyFont="1" applyFill="1" applyBorder="1" applyAlignment="1">
      <alignment horizontal="center" vertical="center" wrapText="1"/>
    </xf>
    <xf numFmtId="171" fontId="39" fillId="15" borderId="15" xfId="1" applyNumberFormat="1" applyFont="1" applyFill="1" applyBorder="1" applyAlignment="1">
      <alignment horizontal="center" vertical="center" wrapText="1"/>
    </xf>
    <xf numFmtId="3" fontId="39" fillId="15" borderId="11" xfId="0" applyNumberFormat="1" applyFont="1" applyFill="1" applyBorder="1" applyAlignment="1">
      <alignment horizontal="center" vertical="center" wrapText="1"/>
    </xf>
    <xf numFmtId="3" fontId="39" fillId="15" borderId="15" xfId="0" applyNumberFormat="1" applyFont="1" applyFill="1" applyBorder="1" applyAlignment="1">
      <alignment horizontal="center" vertical="center" wrapText="1"/>
    </xf>
    <xf numFmtId="0" fontId="21" fillId="0" borderId="29" xfId="9" applyFont="1" applyBorder="1" applyAlignment="1">
      <alignment horizontal="center" vertical="center"/>
    </xf>
    <xf numFmtId="0" fontId="6" fillId="0" borderId="2" xfId="9" applyFont="1" applyBorder="1" applyAlignment="1">
      <alignment horizontal="center" vertical="center"/>
    </xf>
    <xf numFmtId="0" fontId="6" fillId="0" borderId="2" xfId="9" applyFont="1" applyBorder="1" applyAlignment="1">
      <alignment horizontal="center" vertical="center" wrapText="1"/>
    </xf>
    <xf numFmtId="164" fontId="6" fillId="0" borderId="2" xfId="2" applyFont="1" applyBorder="1" applyAlignment="1">
      <alignment horizontal="center" vertical="center" wrapText="1"/>
    </xf>
    <xf numFmtId="0" fontId="21" fillId="0" borderId="22" xfId="0" applyFont="1" applyBorder="1" applyAlignment="1">
      <alignment horizontal="center" vertical="center"/>
    </xf>
    <xf numFmtId="0" fontId="21" fillId="0" borderId="27" xfId="0" applyFont="1" applyBorder="1" applyAlignment="1">
      <alignment horizontal="center" vertical="center"/>
    </xf>
    <xf numFmtId="167" fontId="18" fillId="16" borderId="26" xfId="0" applyNumberFormat="1" applyFont="1" applyFill="1" applyBorder="1" applyAlignment="1">
      <alignment horizontal="center" vertical="center" wrapText="1"/>
    </xf>
    <xf numFmtId="167" fontId="18" fillId="16" borderId="22" xfId="0" applyNumberFormat="1" applyFont="1" applyFill="1" applyBorder="1" applyAlignment="1">
      <alignment horizontal="center" vertical="center" wrapText="1"/>
    </xf>
    <xf numFmtId="167" fontId="18" fillId="16" borderId="27" xfId="0" applyNumberFormat="1" applyFont="1" applyFill="1" applyBorder="1" applyAlignment="1">
      <alignment horizontal="center" vertical="center" wrapText="1"/>
    </xf>
    <xf numFmtId="0" fontId="18" fillId="16" borderId="16" xfId="0" applyFont="1" applyFill="1" applyBorder="1" applyAlignment="1">
      <alignment horizontal="center" vertical="center" wrapText="1"/>
    </xf>
    <xf numFmtId="0" fontId="34" fillId="16" borderId="28" xfId="0" applyFont="1" applyFill="1" applyBorder="1" applyAlignment="1">
      <alignment horizontal="center" vertical="center" wrapText="1"/>
    </xf>
    <xf numFmtId="0" fontId="34" fillId="16" borderId="23" xfId="0" applyFont="1" applyFill="1" applyBorder="1" applyAlignment="1">
      <alignment horizontal="center" vertical="center" wrapText="1"/>
    </xf>
    <xf numFmtId="0" fontId="18" fillId="16" borderId="16" xfId="0" applyFont="1" applyFill="1" applyBorder="1" applyAlignment="1">
      <alignment horizontal="center" vertical="center"/>
    </xf>
    <xf numFmtId="0" fontId="31" fillId="0" borderId="0" xfId="0" applyFont="1" applyAlignment="1">
      <alignment horizontal="right"/>
    </xf>
    <xf numFmtId="0" fontId="18" fillId="0" borderId="0" xfId="0" applyFont="1" applyAlignment="1">
      <alignment horizontal="center"/>
    </xf>
    <xf numFmtId="0" fontId="32" fillId="0" borderId="0" xfId="0" applyFont="1" applyAlignment="1">
      <alignment horizontal="right"/>
    </xf>
    <xf numFmtId="0" fontId="57" fillId="0" borderId="0" xfId="0" applyFont="1" applyAlignment="1">
      <alignment horizontal="center" vertical="top" wrapText="1"/>
    </xf>
    <xf numFmtId="49" fontId="3" fillId="2" borderId="4" xfId="10" applyNumberFormat="1" applyFont="1" applyFill="1" applyBorder="1" applyAlignment="1">
      <alignment horizontal="center" vertical="center"/>
    </xf>
    <xf numFmtId="49" fontId="3" fillId="2" borderId="13" xfId="10" applyNumberFormat="1" applyFont="1" applyFill="1" applyBorder="1" applyAlignment="1">
      <alignment horizontal="center" vertical="center"/>
    </xf>
    <xf numFmtId="49" fontId="3" fillId="2" borderId="14" xfId="10" applyNumberFormat="1" applyFont="1" applyFill="1" applyBorder="1" applyAlignment="1">
      <alignment horizontal="center" vertical="center"/>
    </xf>
    <xf numFmtId="0" fontId="60" fillId="0" borderId="0" xfId="7" applyFont="1" applyAlignment="1">
      <alignment horizontal="center"/>
    </xf>
    <xf numFmtId="0" fontId="57" fillId="0" borderId="0" xfId="7" applyFont="1" applyAlignment="1">
      <alignment horizontal="center" vertical="center"/>
    </xf>
    <xf numFmtId="0" fontId="60" fillId="0" borderId="22" xfId="0" applyFont="1" applyBorder="1" applyAlignment="1">
      <alignment horizontal="center" vertical="center"/>
    </xf>
    <xf numFmtId="0" fontId="60" fillId="0" borderId="27" xfId="0" applyFont="1" applyBorder="1" applyAlignment="1">
      <alignment horizontal="center" vertical="center"/>
    </xf>
    <xf numFmtId="0" fontId="67" fillId="16" borderId="28" xfId="0" applyFont="1" applyFill="1" applyBorder="1" applyAlignment="1">
      <alignment horizontal="center" vertical="center" wrapText="1"/>
    </xf>
    <xf numFmtId="0" fontId="67" fillId="16" borderId="23" xfId="0" applyFont="1" applyFill="1" applyBorder="1" applyAlignment="1">
      <alignment horizontal="center" vertical="center" wrapText="1"/>
    </xf>
    <xf numFmtId="0" fontId="67" fillId="16" borderId="26" xfId="0" applyFont="1" applyFill="1" applyBorder="1" applyAlignment="1">
      <alignment horizontal="center" vertical="center"/>
    </xf>
    <xf numFmtId="0" fontId="67" fillId="16" borderId="22" xfId="0" applyFont="1" applyFill="1" applyBorder="1" applyAlignment="1">
      <alignment horizontal="center" vertical="center"/>
    </xf>
    <xf numFmtId="0" fontId="67" fillId="16" borderId="27" xfId="0" applyFont="1" applyFill="1" applyBorder="1" applyAlignment="1">
      <alignment horizontal="center" vertical="center"/>
    </xf>
    <xf numFmtId="0" fontId="39" fillId="16" borderId="16" xfId="0" applyFont="1" applyFill="1" applyBorder="1" applyAlignment="1">
      <alignment horizontal="center" vertical="center" wrapText="1"/>
    </xf>
    <xf numFmtId="170" fontId="39" fillId="16" borderId="16" xfId="1" applyNumberFormat="1" applyFont="1" applyFill="1" applyBorder="1" applyAlignment="1">
      <alignment horizontal="center"/>
    </xf>
    <xf numFmtId="0" fontId="0" fillId="0" borderId="28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18" fillId="0" borderId="0" xfId="9" applyFont="1" applyAlignment="1">
      <alignment horizontal="center"/>
    </xf>
    <xf numFmtId="0" fontId="12" fillId="15" borderId="5" xfId="8" applyFont="1" applyFill="1" applyBorder="1" applyAlignment="1">
      <alignment horizontal="left"/>
    </xf>
    <xf numFmtId="3" fontId="3" fillId="14" borderId="4" xfId="10" applyNumberFormat="1" applyFont="1" applyFill="1" applyBorder="1" applyAlignment="1">
      <alignment horizontal="center" vertical="center" wrapText="1"/>
    </xf>
    <xf numFmtId="3" fontId="3" fillId="14" borderId="14" xfId="10" applyNumberFormat="1" applyFont="1" applyFill="1" applyBorder="1" applyAlignment="1">
      <alignment horizontal="center" vertical="center" wrapText="1"/>
    </xf>
    <xf numFmtId="49" fontId="3" fillId="2" borderId="30" xfId="10" applyNumberFormat="1" applyFont="1" applyFill="1" applyBorder="1" applyAlignment="1">
      <alignment horizontal="center" vertical="center"/>
    </xf>
    <xf numFmtId="49" fontId="3" fillId="2" borderId="12" xfId="10" applyNumberFormat="1" applyFont="1" applyFill="1" applyBorder="1" applyAlignment="1">
      <alignment horizontal="center" vertical="center"/>
    </xf>
    <xf numFmtId="3" fontId="3" fillId="2" borderId="32" xfId="10" applyNumberFormat="1" applyFont="1" applyFill="1" applyBorder="1" applyAlignment="1">
      <alignment horizontal="center" vertical="center" wrapText="1"/>
    </xf>
    <xf numFmtId="3" fontId="3" fillId="2" borderId="33" xfId="10" applyNumberFormat="1" applyFont="1" applyFill="1" applyBorder="1" applyAlignment="1">
      <alignment horizontal="center" vertical="center" wrapText="1"/>
    </xf>
    <xf numFmtId="3" fontId="3" fillId="2" borderId="30" xfId="10" applyNumberFormat="1" applyFont="1" applyFill="1" applyBorder="1" applyAlignment="1">
      <alignment horizontal="center" vertical="center" wrapText="1"/>
    </xf>
    <xf numFmtId="3" fontId="3" fillId="2" borderId="12" xfId="10" applyNumberFormat="1" applyFont="1" applyFill="1" applyBorder="1" applyAlignment="1">
      <alignment horizontal="center" vertical="center" wrapText="1"/>
    </xf>
    <xf numFmtId="49" fontId="3" fillId="2" borderId="3" xfId="10" applyNumberFormat="1" applyFont="1" applyFill="1" applyBorder="1" applyAlignment="1">
      <alignment horizontal="center" vertical="center"/>
    </xf>
    <xf numFmtId="49" fontId="3" fillId="2" borderId="3" xfId="10" applyNumberFormat="1" applyFont="1" applyFill="1" applyBorder="1" applyAlignment="1">
      <alignment horizontal="center" vertical="center" wrapText="1"/>
    </xf>
    <xf numFmtId="3" fontId="3" fillId="2" borderId="8" xfId="10" applyNumberFormat="1" applyFont="1" applyFill="1" applyBorder="1" applyAlignment="1">
      <alignment horizontal="center" vertical="center" wrapText="1"/>
    </xf>
    <xf numFmtId="3" fontId="3" fillId="2" borderId="31" xfId="10" applyNumberFormat="1" applyFont="1" applyFill="1" applyBorder="1" applyAlignment="1">
      <alignment horizontal="center" vertical="center" wrapText="1"/>
    </xf>
    <xf numFmtId="3" fontId="3" fillId="14" borderId="32" xfId="10" applyNumberFormat="1" applyFont="1" applyFill="1" applyBorder="1" applyAlignment="1">
      <alignment horizontal="center" vertical="center" wrapText="1"/>
    </xf>
    <xf numFmtId="3" fontId="3" fillId="14" borderId="33" xfId="10" applyNumberFormat="1" applyFont="1" applyFill="1" applyBorder="1" applyAlignment="1">
      <alignment horizontal="center" vertical="center" wrapText="1"/>
    </xf>
    <xf numFmtId="3" fontId="3" fillId="2" borderId="34" xfId="10" applyNumberFormat="1" applyFont="1" applyFill="1" applyBorder="1" applyAlignment="1">
      <alignment horizontal="center" vertical="center" wrapText="1"/>
    </xf>
    <xf numFmtId="49" fontId="40" fillId="11" borderId="10" xfId="10" applyNumberFormat="1" applyFont="1" applyFill="1" applyBorder="1" applyAlignment="1">
      <alignment horizontal="center" vertical="center"/>
    </xf>
    <xf numFmtId="49" fontId="40" fillId="11" borderId="35" xfId="10" applyNumberFormat="1" applyFont="1" applyFill="1" applyBorder="1" applyAlignment="1">
      <alignment horizontal="center" vertical="center"/>
    </xf>
    <xf numFmtId="49" fontId="40" fillId="11" borderId="36" xfId="10" applyNumberFormat="1" applyFont="1" applyFill="1" applyBorder="1" applyAlignment="1">
      <alignment horizontal="center" vertical="center"/>
    </xf>
    <xf numFmtId="3" fontId="3" fillId="2" borderId="15" xfId="10" applyNumberFormat="1" applyFont="1" applyFill="1" applyBorder="1" applyAlignment="1">
      <alignment horizontal="center" vertical="center" wrapText="1"/>
    </xf>
    <xf numFmtId="3" fontId="3" fillId="19" borderId="32" xfId="10" applyNumberFormat="1" applyFont="1" applyFill="1" applyBorder="1" applyAlignment="1">
      <alignment horizontal="center" vertical="center" wrapText="1"/>
    </xf>
    <xf numFmtId="3" fontId="3" fillId="19" borderId="33" xfId="10" applyNumberFormat="1" applyFont="1" applyFill="1" applyBorder="1" applyAlignment="1">
      <alignment horizontal="center" vertical="center" wrapText="1"/>
    </xf>
    <xf numFmtId="3" fontId="3" fillId="14" borderId="1" xfId="10" applyNumberFormat="1" applyFont="1" applyFill="1" applyBorder="1" applyAlignment="1">
      <alignment horizontal="center" vertical="center" wrapText="1"/>
    </xf>
    <xf numFmtId="3" fontId="3" fillId="14" borderId="34" xfId="10" applyNumberFormat="1" applyFont="1" applyFill="1" applyBorder="1" applyAlignment="1">
      <alignment horizontal="center" vertical="center" wrapText="1"/>
    </xf>
  </cellXfs>
  <cellStyles count="17">
    <cellStyle name="Ezres" xfId="1" builtinId="3"/>
    <cellStyle name="Ezres 2" xfId="2" xr:uid="{00000000-0005-0000-0000-000001000000}"/>
    <cellStyle name="Ezres 2 2" xfId="3" xr:uid="{00000000-0005-0000-0000-000002000000}"/>
    <cellStyle name="Ezres 3" xfId="4" xr:uid="{00000000-0005-0000-0000-000003000000}"/>
    <cellStyle name="Ezres 4" xfId="5" xr:uid="{00000000-0005-0000-0000-000004000000}"/>
    <cellStyle name="Ezres 4 2" xfId="14" xr:uid="{00000000-0005-0000-0000-000005000000}"/>
    <cellStyle name="Ezres 5" xfId="6" xr:uid="{00000000-0005-0000-0000-000006000000}"/>
    <cellStyle name="Normál" xfId="0" builtinId="0"/>
    <cellStyle name="Normál 2" xfId="7" xr:uid="{00000000-0005-0000-0000-000008000000}"/>
    <cellStyle name="Normál 2 2" xfId="8" xr:uid="{00000000-0005-0000-0000-000009000000}"/>
    <cellStyle name="Normál 3" xfId="9" xr:uid="{00000000-0005-0000-0000-00000A000000}"/>
    <cellStyle name="Normál 4" xfId="10" xr:uid="{00000000-0005-0000-0000-00000B000000}"/>
    <cellStyle name="Százalék" xfId="16" builtinId="5"/>
    <cellStyle name="Százalék 2" xfId="11" xr:uid="{00000000-0005-0000-0000-00000D000000}"/>
    <cellStyle name="Százalék 2 2" xfId="15" xr:uid="{00000000-0005-0000-0000-00000E000000}"/>
    <cellStyle name="Százalék 3" xfId="12" xr:uid="{00000000-0005-0000-0000-00000F000000}"/>
    <cellStyle name="TableStyleLight1" xfId="13" xr:uid="{00000000-0005-0000-0000-000010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externalLink" Target="externalLinks/externalLink4.xml"/><Relationship Id="rId47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externalLink" Target="externalLinks/externalLink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externalLink" Target="externalLinks/externalLink2.xml"/><Relationship Id="rId45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externalLink" Target="externalLinks/externalLink6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externalLink" Target="externalLinks/externalLink5.xml"/><Relationship Id="rId48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Documents%20and%20Settings\lantoso\Asztal\Munka\2016%20&#233;vi%20k&#246;lts&#233;gvet&#233;s\Ktgv_2015_elso_olvasat_2015_10_3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lantoso\Asztal\Munka\El&#337;terjeszt&#233;sek\&#214;nkorm&#225;nyzat%20el&#337;terjeszt&#233;sei\2015%20&#233;v\Els&#337;%20f&#233;l&#233;v\20150226\Koltsegvetes%202015\V&#233;gleges%20anyagok\Ktgv_2015_2015_02_25_jav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lantoso\Asztal\Munka\2016%20&#233;vi%20k&#246;lts&#233;gvet&#233;s\R&#233;gi%20t&#225;bla\Ktgv_2015_elso_olvasat_2015_10_3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Documents%20and%20Settings\lantoso\Asztal\Munka\El&#337;terjeszt&#233;sek\&#214;nkorm&#225;nyzat%20el&#337;terjeszt&#233;sei\2015%20&#233;v\Els&#337;%20f&#233;l&#233;v\20150226\Koltsegvetes%202015\V&#233;gleges%20anyagok\Ktgv_2015_2015_02_25_jav2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lantoso\Asztal\Munka\2016%20&#233;vi%20k&#246;lts&#233;gvet&#233;s\Ktgv_2015_elso_olvasat_2015_10_31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Regi_Szervezes_meghajto\ESZTER_KATA\KT_KIVONATOK\2020\Rendeletek\2_2020_R_M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ntroll"/>
      <sheetName val="0.Mérleg"/>
      <sheetName val="1A. Fő bev"/>
      <sheetName val="1B. Fő kiad"/>
      <sheetName val="1C Bev kiad fel"/>
      <sheetName val="2A Önk bev"/>
      <sheetName val="2B Önk kiad"/>
      <sheetName val="2C Önk bev kiad fel"/>
      <sheetName val="2D Céltartalék"/>
      <sheetName val="3A PH"/>
      <sheetName val="3B PH fel"/>
      <sheetName val="4A. VG bev kiad"/>
      <sheetName val="4B VG fel"/>
      <sheetName val="5A Walla"/>
      <sheetName val="5B Nyitnikék"/>
      <sheetName val="5C Bóbita"/>
      <sheetName val="5D MMMH"/>
      <sheetName val="5E Könyvtár"/>
      <sheetName val="5F Segítő Kéz"/>
      <sheetName val="5G GSZNR fel"/>
      <sheetName val="6. létszámkeret"/>
      <sheetName val="7. beruházás"/>
      <sheetName val="8. felújítás"/>
      <sheetName val="9. hitelállomány"/>
      <sheetName val="9. stab tv"/>
      <sheetName val="10. Uniós tám"/>
      <sheetName val="11. címrend"/>
      <sheetName val="SKSZ"/>
      <sheetName val="ph"/>
      <sheetName val="ÖK kiad"/>
      <sheetName val="VG"/>
      <sheetName val="Volf"/>
      <sheetName val="MMMH"/>
      <sheetName val="MMMH reszletes"/>
      <sheetName val="MMMH dologi"/>
      <sheetName val="MMMH bevetel"/>
      <sheetName val="Bóbita"/>
      <sheetName val="Nyitnikék"/>
      <sheetName val="Wall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>
        <row r="1">
          <cell r="A1" t="str">
            <v>Főkönyvi szám</v>
          </cell>
          <cell r="B1" t="str">
            <v>Megnevezés</v>
          </cell>
          <cell r="C1" t="str">
            <v>2015. évi előirányzat</v>
          </cell>
          <cell r="D1" t="str">
            <v>2016. évi előirányzat</v>
          </cell>
          <cell r="E1" t="str">
            <v>Óvodai étkeztetés 2015.</v>
          </cell>
          <cell r="F1" t="str">
            <v>Óvodai étkeztetés 2016.</v>
          </cell>
          <cell r="G1" t="str">
            <v>Óvodai nevelés 2015.</v>
          </cell>
          <cell r="H1" t="str">
            <v>Óvodai nevelés 2016.</v>
          </cell>
          <cell r="I1" t="str">
            <v>Közfoglal-koztatás</v>
          </cell>
        </row>
        <row r="2">
          <cell r="A2" t="str">
            <v>05110111</v>
          </cell>
          <cell r="B2" t="str">
            <v>Alapilletmények</v>
          </cell>
        </row>
        <row r="3">
          <cell r="A3" t="str">
            <v>05110112</v>
          </cell>
          <cell r="B3" t="str">
            <v>Illetménykiegészítések</v>
          </cell>
        </row>
        <row r="4">
          <cell r="A4" t="str">
            <v>05110113</v>
          </cell>
          <cell r="B4" t="str">
            <v>Nyelvpótlékok</v>
          </cell>
        </row>
        <row r="5">
          <cell r="A5" t="str">
            <v>05110114</v>
          </cell>
          <cell r="B5" t="str">
            <v>Egyéb kötelező pótlékok</v>
          </cell>
        </row>
        <row r="6">
          <cell r="A6" t="str">
            <v>05110115</v>
          </cell>
          <cell r="B6" t="str">
            <v>Egyéb feltételektől függő pótlékok és juttatások</v>
          </cell>
        </row>
        <row r="7">
          <cell r="A7" t="str">
            <v>05110119</v>
          </cell>
          <cell r="B7" t="str">
            <v>Egyéb juttatások</v>
          </cell>
        </row>
        <row r="8">
          <cell r="A8" t="str">
            <v>0511011</v>
          </cell>
          <cell r="B8" t="str">
            <v>Törvény szerinti illetmények, munkabérek</v>
          </cell>
        </row>
        <row r="9">
          <cell r="A9" t="str">
            <v>0511021</v>
          </cell>
          <cell r="B9" t="str">
            <v>Normatív jutalmak</v>
          </cell>
        </row>
        <row r="10">
          <cell r="A10" t="str">
            <v>0511031</v>
          </cell>
          <cell r="B10" t="str">
            <v>Céljuttatás, projektprémium</v>
          </cell>
        </row>
        <row r="11">
          <cell r="A11" t="str">
            <v>05110411</v>
          </cell>
          <cell r="B11" t="str">
            <v>Készenléti, ügyeleti, helyettesítési díj</v>
          </cell>
        </row>
        <row r="12">
          <cell r="A12" t="str">
            <v>05110412</v>
          </cell>
          <cell r="B12" t="str">
            <v>Túlóra, túlszolgálat</v>
          </cell>
        </row>
        <row r="13">
          <cell r="A13" t="str">
            <v>0511041</v>
          </cell>
          <cell r="B13" t="str">
            <v>Készenlét, ügyelet, helyettesítés, túlóra</v>
          </cell>
        </row>
        <row r="14">
          <cell r="A14" t="str">
            <v>0511051</v>
          </cell>
          <cell r="B14" t="str">
            <v>Végkielégítés</v>
          </cell>
        </row>
        <row r="15">
          <cell r="A15" t="str">
            <v>0511061</v>
          </cell>
          <cell r="B15" t="str">
            <v>Jubileumi jutalom</v>
          </cell>
        </row>
        <row r="16">
          <cell r="A16" t="str">
            <v>05110711</v>
          </cell>
          <cell r="B16" t="str">
            <v>Étkezési hozzájárulás</v>
          </cell>
        </row>
        <row r="17">
          <cell r="A17" t="str">
            <v>05110712</v>
          </cell>
          <cell r="B17" t="str">
            <v>Üdülési hozzájárulás</v>
          </cell>
        </row>
        <row r="18">
          <cell r="A18" t="str">
            <v>05110713</v>
          </cell>
          <cell r="B18" t="str">
            <v>Erzsébet-utalvány kiadásai</v>
          </cell>
        </row>
        <row r="19">
          <cell r="A19" t="str">
            <v>05110714</v>
          </cell>
          <cell r="B19" t="str">
            <v>Széchenyi Pihenő Kártya kiadásai</v>
          </cell>
        </row>
        <row r="20">
          <cell r="A20" t="str">
            <v>05110715</v>
          </cell>
          <cell r="B20" t="str">
            <v>Iskolakezdési támogatás</v>
          </cell>
        </row>
        <row r="21">
          <cell r="A21" t="str">
            <v>05110716</v>
          </cell>
          <cell r="B21" t="str">
            <v>Önkéntes biztosító pénztárakba befizetés</v>
          </cell>
        </row>
        <row r="22">
          <cell r="A22" t="str">
            <v>05110719</v>
          </cell>
          <cell r="B22" t="str">
            <v>Egyéb béren kívüli juttatások</v>
          </cell>
        </row>
        <row r="23">
          <cell r="A23" t="str">
            <v>0511071</v>
          </cell>
          <cell r="B23" t="str">
            <v>Béren kívüli juttatások</v>
          </cell>
        </row>
        <row r="24">
          <cell r="A24" t="str">
            <v>0511081</v>
          </cell>
          <cell r="B24" t="str">
            <v>Ruházati költségtérítés</v>
          </cell>
        </row>
        <row r="25">
          <cell r="A25" t="str">
            <v>0511091</v>
          </cell>
          <cell r="B25" t="str">
            <v>Közlekedési költségtérítés</v>
          </cell>
        </row>
        <row r="26">
          <cell r="A26" t="str">
            <v>0511101</v>
          </cell>
          <cell r="B26" t="str">
            <v>Egyéb költségtérítések</v>
          </cell>
        </row>
        <row r="27">
          <cell r="A27" t="str">
            <v>05111111</v>
          </cell>
          <cell r="B27" t="str">
            <v>Albérleti díj hozzájárulás</v>
          </cell>
        </row>
        <row r="28">
          <cell r="A28" t="str">
            <v>05111112</v>
          </cell>
          <cell r="B28" t="str">
            <v>Családalapítási támogatás</v>
          </cell>
        </row>
        <row r="29">
          <cell r="A29" t="str">
            <v>0511111</v>
          </cell>
          <cell r="B29" t="str">
            <v>Lakhatási támogatások</v>
          </cell>
        </row>
        <row r="30">
          <cell r="A30" t="str">
            <v>0511121</v>
          </cell>
          <cell r="B30" t="str">
            <v>Szociális támogatások</v>
          </cell>
        </row>
        <row r="31">
          <cell r="A31" t="str">
            <v>05111311</v>
          </cell>
          <cell r="B31" t="str">
            <v>Belföldi napidíj</v>
          </cell>
        </row>
        <row r="32">
          <cell r="A32" t="str">
            <v>05111312</v>
          </cell>
          <cell r="B32" t="str">
            <v>Külföldi napidíj</v>
          </cell>
        </row>
        <row r="33">
          <cell r="A33" t="str">
            <v>05111313</v>
          </cell>
          <cell r="B33" t="str">
            <v>Biztosítási díjak</v>
          </cell>
        </row>
        <row r="34">
          <cell r="A34" t="str">
            <v>05111314</v>
          </cell>
          <cell r="B34" t="str">
            <v>Kereset-kiegészítés fedezete</v>
          </cell>
        </row>
        <row r="35">
          <cell r="A35" t="str">
            <v>05111315</v>
          </cell>
          <cell r="B35" t="str">
            <v>Munkáltatói kártérítés egyéb kiegészítések</v>
          </cell>
        </row>
        <row r="36">
          <cell r="A36" t="str">
            <v>05111319</v>
          </cell>
          <cell r="B36" t="str">
            <v>Egyéb sajátos juttatások</v>
          </cell>
        </row>
        <row r="37">
          <cell r="A37" t="str">
            <v>0511131</v>
          </cell>
          <cell r="B37" t="str">
            <v>foglalkoztatottak egyéb személyi juttatásai</v>
          </cell>
        </row>
        <row r="38">
          <cell r="A38" t="str">
            <v>0511</v>
          </cell>
          <cell r="B38" t="str">
            <v>Foglalkoztatottak személyi juttatásai</v>
          </cell>
        </row>
        <row r="39">
          <cell r="A39" t="str">
            <v>0512113</v>
          </cell>
          <cell r="B39" t="str">
            <v>Képviselők, polgármesterek juttatásai</v>
          </cell>
        </row>
        <row r="40">
          <cell r="A40" t="str">
            <v>0512119</v>
          </cell>
          <cell r="B40" t="str">
            <v>Egyéb választott tisztségviselők juttatásai</v>
          </cell>
        </row>
        <row r="41">
          <cell r="A41" t="str">
            <v>051211</v>
          </cell>
          <cell r="B41" t="str">
            <v>Választott tisztviselők juttatásai</v>
          </cell>
        </row>
        <row r="42">
          <cell r="A42" t="str">
            <v>0512211</v>
          </cell>
          <cell r="B42" t="str">
            <v>Állományba nem tartozók megbízási díja</v>
          </cell>
        </row>
        <row r="43">
          <cell r="A43" t="str">
            <v>0512212</v>
          </cell>
          <cell r="B43" t="str">
            <v>Tiszteletdíj, szerzői díj, honorárium</v>
          </cell>
        </row>
        <row r="44">
          <cell r="A44" t="str">
            <v>051221</v>
          </cell>
          <cell r="B44" t="str">
            <v>Nem saját foglalkoztatottnak fizetett juttatás</v>
          </cell>
        </row>
        <row r="45">
          <cell r="A45" t="str">
            <v>0512311</v>
          </cell>
          <cell r="B45" t="str">
            <v>Prémiumévek program résztvevőinek juttatása</v>
          </cell>
        </row>
        <row r="46">
          <cell r="A46" t="str">
            <v>0512312</v>
          </cell>
          <cell r="B46" t="str">
            <v>Egyszerűsített fogl. alá tartozó mváll. juttatásai</v>
          </cell>
        </row>
        <row r="47">
          <cell r="A47" t="str">
            <v>0512314</v>
          </cell>
          <cell r="B47" t="str">
            <v>További munkaviszonyt létesítők juttatásai</v>
          </cell>
        </row>
        <row r="48">
          <cell r="A48" t="str">
            <v>0512315</v>
          </cell>
          <cell r="B48" t="str">
            <v>Felmentett munkavállalók egyéb juttatásai</v>
          </cell>
        </row>
        <row r="49">
          <cell r="A49" t="str">
            <v>0512316</v>
          </cell>
          <cell r="B49" t="str">
            <v>Adományozott kitüntetések, díjak, pénzjutalmak</v>
          </cell>
        </row>
        <row r="50">
          <cell r="A50" t="str">
            <v>0512318</v>
          </cell>
          <cell r="B50" t="str">
            <v>Reprezentációs kiadások</v>
          </cell>
        </row>
        <row r="51">
          <cell r="A51" t="str">
            <v>0512319</v>
          </cell>
          <cell r="B51" t="str">
            <v>Egyéb külső személyi juttatások</v>
          </cell>
        </row>
        <row r="52">
          <cell r="A52" t="str">
            <v>051231</v>
          </cell>
          <cell r="B52" t="str">
            <v>Egyéb külső személyi juttatások összesen</v>
          </cell>
        </row>
        <row r="53">
          <cell r="A53" t="str">
            <v>0512</v>
          </cell>
          <cell r="B53" t="str">
            <v>Külső személyi juttatások</v>
          </cell>
        </row>
        <row r="54">
          <cell r="A54" t="str">
            <v>051</v>
          </cell>
          <cell r="B54" t="str">
            <v>Személyi juttatások összesen</v>
          </cell>
        </row>
        <row r="55">
          <cell r="A55" t="str">
            <v>05211</v>
          </cell>
          <cell r="B55" t="str">
            <v>Szociális hozzájárulási adó</v>
          </cell>
        </row>
        <row r="56">
          <cell r="A56" t="str">
            <v>05212</v>
          </cell>
          <cell r="B56" t="str">
            <v>EKHO</v>
          </cell>
        </row>
        <row r="57">
          <cell r="A57" t="str">
            <v>05213</v>
          </cell>
          <cell r="B57" t="str">
            <v>Egészségügyi hozzájárulás</v>
          </cell>
        </row>
        <row r="58">
          <cell r="A58" t="str">
            <v>05214</v>
          </cell>
          <cell r="B58" t="str">
            <v>Táppénz hozzájárulás</v>
          </cell>
        </row>
        <row r="59">
          <cell r="A59" t="str">
            <v>05215</v>
          </cell>
          <cell r="B59" t="str">
            <v>Korkedvezmény-biztosítási járulék</v>
          </cell>
        </row>
        <row r="60">
          <cell r="A60" t="str">
            <v>05216</v>
          </cell>
          <cell r="B60" t="str">
            <v>Rehabilitációs hozzájárulás</v>
          </cell>
        </row>
        <row r="61">
          <cell r="A61" t="str">
            <v>05217</v>
          </cell>
          <cell r="B61" t="str">
            <v>Munkáltatót terhelő SZJA</v>
          </cell>
        </row>
        <row r="62">
          <cell r="A62" t="str">
            <v>05219</v>
          </cell>
          <cell r="B62" t="str">
            <v>Egyéb munkaadókat terhelő járulékok</v>
          </cell>
        </row>
        <row r="63">
          <cell r="A63" t="str">
            <v>052</v>
          </cell>
          <cell r="B63" t="str">
            <v>Munkaadókat terhelő járulékok összesen</v>
          </cell>
        </row>
        <row r="64">
          <cell r="A64" t="str">
            <v>0531111</v>
          </cell>
          <cell r="B64" t="str">
            <v>Gyógyszerbeszerzés</v>
          </cell>
        </row>
        <row r="65">
          <cell r="A65" t="str">
            <v>0531112</v>
          </cell>
          <cell r="B65" t="str">
            <v>Vegyszerbeszerzés</v>
          </cell>
        </row>
        <row r="66">
          <cell r="A66" t="str">
            <v>0531113</v>
          </cell>
          <cell r="B66" t="str">
            <v>Könyvbeszerzés</v>
          </cell>
        </row>
        <row r="67">
          <cell r="A67" t="str">
            <v>0531114</v>
          </cell>
          <cell r="B67" t="str">
            <v>Folyóirat-beszerzés</v>
          </cell>
        </row>
        <row r="68">
          <cell r="A68" t="str">
            <v>0531115</v>
          </cell>
          <cell r="B68" t="str">
            <v>Egyéb információhordozó-beszerzés</v>
          </cell>
        </row>
        <row r="69">
          <cell r="A69" t="str">
            <v>0531119</v>
          </cell>
          <cell r="B69" t="str">
            <v>Egyéb szakmai anyagbeszerzés</v>
          </cell>
        </row>
        <row r="70">
          <cell r="A70" t="str">
            <v>053111</v>
          </cell>
          <cell r="B70" t="str">
            <v>Szakmai anyagok beszerzése összesen</v>
          </cell>
        </row>
        <row r="71">
          <cell r="A71" t="str">
            <v>0531211</v>
          </cell>
          <cell r="B71" t="str">
            <v>Élelmiszer-beszerzés</v>
          </cell>
        </row>
        <row r="72">
          <cell r="A72" t="str">
            <v>0531212</v>
          </cell>
          <cell r="B72" t="str">
            <v>Irodaszer-, nyomtatványbeszerzés</v>
          </cell>
        </row>
        <row r="73">
          <cell r="A73" t="str">
            <v>0531213</v>
          </cell>
          <cell r="B73" t="str">
            <v>Tüzelőanyag-beszerzés</v>
          </cell>
        </row>
        <row r="74">
          <cell r="A74" t="str">
            <v>0531214</v>
          </cell>
          <cell r="B74" t="str">
            <v>Hajtó- és kenőanyag-beszerzés</v>
          </cell>
        </row>
        <row r="75">
          <cell r="A75" t="str">
            <v>0531215</v>
          </cell>
          <cell r="B75" t="str">
            <v>Munkaruha, védőruha, formaruha, egyenruha</v>
          </cell>
        </row>
        <row r="76">
          <cell r="A76" t="str">
            <v>0531219</v>
          </cell>
          <cell r="B76" t="str">
            <v>Egyéb üzemeltetési, fenntartási anyagbeszerzés</v>
          </cell>
        </row>
        <row r="77">
          <cell r="A77" t="str">
            <v>053121</v>
          </cell>
          <cell r="B77" t="str">
            <v>Üzemeltetési anyagok beszerzése összesen</v>
          </cell>
        </row>
        <row r="78">
          <cell r="A78" t="str">
            <v>0531311</v>
          </cell>
          <cell r="B78" t="str">
            <v>Árubeszerzés</v>
          </cell>
        </row>
        <row r="79">
          <cell r="A79" t="str">
            <v>0531312</v>
          </cell>
          <cell r="B79" t="str">
            <v>Göngyölegbeszerzés</v>
          </cell>
        </row>
        <row r="80">
          <cell r="A80" t="str">
            <v>053131</v>
          </cell>
          <cell r="B80" t="str">
            <v>Árubeszerzés összesen</v>
          </cell>
        </row>
        <row r="81">
          <cell r="A81" t="str">
            <v>0531</v>
          </cell>
          <cell r="B81" t="str">
            <v>Készletbeszerzés összesen</v>
          </cell>
        </row>
        <row r="82">
          <cell r="A82" t="str">
            <v>0532111</v>
          </cell>
          <cell r="B82" t="str">
            <v>Informatika tanácsadás, üzembe helyezés</v>
          </cell>
        </row>
        <row r="83">
          <cell r="A83" t="str">
            <v>0532112</v>
          </cell>
          <cell r="B83" t="str">
            <v>Informatikai szolgáltatások</v>
          </cell>
        </row>
        <row r="84">
          <cell r="A84" t="str">
            <v>0532113</v>
          </cell>
          <cell r="B84" t="str">
            <v>Informatikai eszköz, szolg. bérlés, lízing</v>
          </cell>
        </row>
        <row r="85">
          <cell r="A85" t="str">
            <v>0532114</v>
          </cell>
          <cell r="B85" t="str">
            <v>Informatikai eszközök karbantartása</v>
          </cell>
        </row>
        <row r="86">
          <cell r="A86" t="str">
            <v>0532115</v>
          </cell>
          <cell r="B86" t="str">
            <v>Adatátviteli célú távközlési díjak</v>
          </cell>
        </row>
        <row r="87">
          <cell r="A87" t="str">
            <v>0532119</v>
          </cell>
          <cell r="B87" t="str">
            <v>Egyéb informatikai szolgáltatás</v>
          </cell>
        </row>
        <row r="88">
          <cell r="A88" t="str">
            <v>053211</v>
          </cell>
          <cell r="B88" t="str">
            <v>Informatikai szolgáltatások igénybevétele</v>
          </cell>
        </row>
        <row r="89">
          <cell r="A89" t="str">
            <v>0532211</v>
          </cell>
          <cell r="B89" t="str">
            <v>Nem adatátviteli célú távközlési díjak</v>
          </cell>
        </row>
        <row r="90">
          <cell r="A90" t="str">
            <v>0532219</v>
          </cell>
          <cell r="B90" t="str">
            <v>Egyéb kommunikációs szolgáltatások</v>
          </cell>
        </row>
        <row r="91">
          <cell r="A91" t="str">
            <v>053221</v>
          </cell>
          <cell r="B91" t="str">
            <v>Egyéb kommunilációs szolgáltatás összesen</v>
          </cell>
        </row>
        <row r="92">
          <cell r="A92" t="str">
            <v>0532</v>
          </cell>
          <cell r="B92" t="str">
            <v>Kommunikációs szolgáltatások összesen</v>
          </cell>
        </row>
        <row r="93">
          <cell r="A93" t="str">
            <v>0533111</v>
          </cell>
          <cell r="B93" t="str">
            <v>Villamosenergia-szolgáltatási díjak</v>
          </cell>
        </row>
        <row r="94">
          <cell r="A94" t="str">
            <v>0533112</v>
          </cell>
          <cell r="B94" t="str">
            <v>Gázenergia-szolgáltatási díjak</v>
          </cell>
        </row>
        <row r="95">
          <cell r="A95" t="str">
            <v>0533113</v>
          </cell>
          <cell r="B95" t="str">
            <v>Távkő- és melegvíz-szolgáltatási díjak</v>
          </cell>
        </row>
        <row r="96">
          <cell r="A96" t="str">
            <v>0533114</v>
          </cell>
          <cell r="B96" t="str">
            <v>Víz- és csatornadíjak</v>
          </cell>
        </row>
        <row r="97">
          <cell r="A97" t="str">
            <v>053311</v>
          </cell>
          <cell r="B97" t="str">
            <v>Közüzemi díjak összesen</v>
          </cell>
        </row>
        <row r="98">
          <cell r="A98" t="str">
            <v>053321</v>
          </cell>
          <cell r="B98" t="str">
            <v>Vásárolt élelmezés</v>
          </cell>
        </row>
        <row r="99">
          <cell r="A99" t="str">
            <v>0533311</v>
          </cell>
          <cell r="B99" t="str">
            <v>PPP konstrukcióhoz kapcs. szolgáltatási díjak</v>
          </cell>
        </row>
        <row r="100">
          <cell r="A100" t="str">
            <v>0533312</v>
          </cell>
          <cell r="B100" t="str">
            <v>Egyéb bérleti és lízing díjak</v>
          </cell>
        </row>
        <row r="101">
          <cell r="A101">
            <v>53331</v>
          </cell>
          <cell r="B101" t="str">
            <v>Bérleti és lízing díjak összesen</v>
          </cell>
        </row>
        <row r="102">
          <cell r="A102" t="str">
            <v>053341</v>
          </cell>
          <cell r="B102" t="str">
            <v>Karbantartási, kisjavítási szolgáltatások</v>
          </cell>
        </row>
        <row r="103">
          <cell r="A103" t="str">
            <v>0533511</v>
          </cell>
          <cell r="B103" t="str">
            <v>Államháztartáson belüli közvetített szolgáltatások</v>
          </cell>
        </row>
        <row r="104">
          <cell r="A104" t="str">
            <v>0533512</v>
          </cell>
          <cell r="B104" t="str">
            <v>Államháztartáson kívüli közvetített szolgáltatások</v>
          </cell>
        </row>
        <row r="105">
          <cell r="A105" t="str">
            <v>053351</v>
          </cell>
          <cell r="B105" t="str">
            <v>Közvetített szolgáltatások összesen</v>
          </cell>
        </row>
        <row r="106">
          <cell r="A106" t="str">
            <v>0533611</v>
          </cell>
          <cell r="B106" t="str">
            <v>Vásárolt közszolgáltatások</v>
          </cell>
        </row>
        <row r="107">
          <cell r="A107" t="str">
            <v>0533612</v>
          </cell>
          <cell r="B107" t="str">
            <v>Számlázott szellemi tevékenység</v>
          </cell>
        </row>
        <row r="108">
          <cell r="A108" t="str">
            <v>0533619</v>
          </cell>
          <cell r="B108" t="str">
            <v>Egyéb szakmai szolgáltatások</v>
          </cell>
        </row>
        <row r="109">
          <cell r="A109" t="str">
            <v>053361</v>
          </cell>
          <cell r="B109" t="str">
            <v>Szakmai tevékenységet segítő szolg összesen</v>
          </cell>
        </row>
        <row r="110">
          <cell r="A110" t="str">
            <v>0533711</v>
          </cell>
          <cell r="B110" t="str">
            <v>Biztosítási szolgáltatási díjak</v>
          </cell>
        </row>
        <row r="111">
          <cell r="A111" t="str">
            <v>0533712</v>
          </cell>
          <cell r="B111" t="str">
            <v>Pénzügyi szolgáltatási díjak</v>
          </cell>
        </row>
        <row r="112">
          <cell r="A112" t="str">
            <v>0533713</v>
          </cell>
          <cell r="B112" t="str">
            <v>Szállítási szolgáltatási díjak</v>
          </cell>
        </row>
        <row r="113">
          <cell r="A113" t="str">
            <v>0533719</v>
          </cell>
          <cell r="B113" t="str">
            <v>Egyéb üzemeltetési, fenntartási szolgáltatások</v>
          </cell>
        </row>
        <row r="114">
          <cell r="A114" t="str">
            <v>053371</v>
          </cell>
          <cell r="B114" t="str">
            <v>Egyéb szolgáltatások összesen</v>
          </cell>
        </row>
        <row r="115">
          <cell r="A115" t="str">
            <v>0533</v>
          </cell>
          <cell r="B115" t="str">
            <v>Szolgáltatási kiadások összesen</v>
          </cell>
        </row>
        <row r="116">
          <cell r="A116" t="str">
            <v>0534111</v>
          </cell>
          <cell r="B116" t="str">
            <v>Belföldi kiküldetések kiadásai</v>
          </cell>
        </row>
        <row r="117">
          <cell r="A117" t="str">
            <v>0534112</v>
          </cell>
          <cell r="B117" t="str">
            <v>Külföldi kiküldetések kiadásai</v>
          </cell>
        </row>
        <row r="118">
          <cell r="A118" t="str">
            <v>053411</v>
          </cell>
          <cell r="B118" t="str">
            <v>Kiküldetések kiadásai összesen</v>
          </cell>
        </row>
        <row r="119">
          <cell r="A119" t="str">
            <v>053421</v>
          </cell>
          <cell r="B119" t="str">
            <v>Reklám- és propagandakiadások</v>
          </cell>
        </row>
        <row r="120">
          <cell r="A120" t="str">
            <v>0534</v>
          </cell>
          <cell r="B120" t="str">
            <v>Kiküldetés, reklám, propaganda összesen</v>
          </cell>
        </row>
        <row r="121">
          <cell r="A121" t="str">
            <v>0535111</v>
          </cell>
          <cell r="B121" t="str">
            <v>Működési célú felszámított, levonható ÁFA</v>
          </cell>
        </row>
        <row r="122">
          <cell r="A122" t="str">
            <v>0535112</v>
          </cell>
          <cell r="B122" t="str">
            <v>Működési célú felszámított le nem vonható ÁFA</v>
          </cell>
        </row>
        <row r="123">
          <cell r="A123" t="str">
            <v>053511</v>
          </cell>
          <cell r="B123" t="str">
            <v>Működési célú áfa összesen</v>
          </cell>
        </row>
        <row r="124">
          <cell r="A124" t="str">
            <v>0535211</v>
          </cell>
          <cell r="B124" t="str">
            <v>ÁFA befizetés</v>
          </cell>
        </row>
        <row r="125">
          <cell r="A125" t="str">
            <v>0535212</v>
          </cell>
          <cell r="B125" t="str">
            <v>Ért tárgyi eszk. Immat. javak egyenes ÁFA befiz</v>
          </cell>
        </row>
        <row r="126">
          <cell r="A126" t="str">
            <v>0535213</v>
          </cell>
          <cell r="B126" t="str">
            <v>Fordított ÁFA befizetés</v>
          </cell>
        </row>
        <row r="127">
          <cell r="A127" t="str">
            <v>053521</v>
          </cell>
          <cell r="B127" t="str">
            <v>Fizetendő áfa összesen</v>
          </cell>
        </row>
        <row r="128">
          <cell r="A128" t="str">
            <v>05353119</v>
          </cell>
          <cell r="B128" t="str">
            <v>Államháztartáson belüli egyéb kamat</v>
          </cell>
        </row>
        <row r="129">
          <cell r="A129" t="str">
            <v>05353122</v>
          </cell>
          <cell r="B129" t="str">
            <v>Hitelek kamatai</v>
          </cell>
        </row>
        <row r="130">
          <cell r="A130" t="str">
            <v>05353123</v>
          </cell>
          <cell r="B130" t="str">
            <v>Pénzügyi lízing kiadások</v>
          </cell>
        </row>
        <row r="131">
          <cell r="A131" t="str">
            <v>05353129</v>
          </cell>
          <cell r="B131" t="str">
            <v>Államháztartáson kívüli egyéb kamatok</v>
          </cell>
        </row>
        <row r="132">
          <cell r="A132" t="str">
            <v>053531</v>
          </cell>
          <cell r="B132" t="str">
            <v>Kamatkiadások</v>
          </cell>
        </row>
        <row r="133">
          <cell r="A133" t="str">
            <v>0535411</v>
          </cell>
          <cell r="B133" t="str">
            <v>Árfolyamveszteség</v>
          </cell>
        </row>
        <row r="134">
          <cell r="A134" t="str">
            <v>0535419</v>
          </cell>
          <cell r="B134" t="str">
            <v>Egyéb különféle pénzügyi műveletek kiadásai</v>
          </cell>
        </row>
        <row r="135">
          <cell r="A135" t="str">
            <v>053541</v>
          </cell>
          <cell r="B135" t="str">
            <v>Egyéb pénzügyi műveletek kiadásai</v>
          </cell>
        </row>
        <row r="136">
          <cell r="A136" t="str">
            <v>0535511</v>
          </cell>
          <cell r="B136" t="str">
            <v>Adók, adójellegű befizetések</v>
          </cell>
        </row>
        <row r="137">
          <cell r="A137" t="str">
            <v>0535512</v>
          </cell>
          <cell r="B137" t="str">
            <v>Díjak, egyéb befizetések</v>
          </cell>
        </row>
        <row r="138">
          <cell r="A138" t="str">
            <v>0535513</v>
          </cell>
          <cell r="B138" t="str">
            <v>Késedelmi kamat, kötbér, egyéb kártérítés</v>
          </cell>
        </row>
        <row r="139">
          <cell r="A139" t="str">
            <v>0535519</v>
          </cell>
          <cell r="B139" t="str">
            <v>Egyéb különféle dologi kiadások</v>
          </cell>
        </row>
        <row r="140">
          <cell r="A140" t="str">
            <v>053551</v>
          </cell>
          <cell r="B140" t="str">
            <v>Egyéb dologi kiadások</v>
          </cell>
        </row>
        <row r="141">
          <cell r="A141" t="str">
            <v>0535</v>
          </cell>
          <cell r="B141" t="str">
            <v>Különféle befizetések, egyéb dologi kiadások</v>
          </cell>
        </row>
        <row r="142">
          <cell r="A142" t="str">
            <v>053</v>
          </cell>
          <cell r="B142" t="str">
            <v>Dologi kiadások összesen</v>
          </cell>
        </row>
        <row r="143">
          <cell r="B143" t="str">
            <v>Működési kiadások összesen</v>
          </cell>
        </row>
        <row r="144">
          <cell r="A144" t="str">
            <v>056311</v>
          </cell>
          <cell r="B144" t="str">
            <v>Informatikai eszköz beszerzés</v>
          </cell>
        </row>
        <row r="145">
          <cell r="A145" t="str">
            <v>056411</v>
          </cell>
          <cell r="B145" t="str">
            <v>Egyéb eszköz beszerzés</v>
          </cell>
        </row>
        <row r="146">
          <cell r="A146" t="str">
            <v>056415</v>
          </cell>
          <cell r="B146" t="str">
            <v>Jármű beszerzés</v>
          </cell>
        </row>
        <row r="147">
          <cell r="A147" t="str">
            <v>05671</v>
          </cell>
          <cell r="B147" t="str">
            <v>Beruházás le nem vonható ÁFA</v>
          </cell>
        </row>
        <row r="148">
          <cell r="A148" t="str">
            <v>056</v>
          </cell>
          <cell r="B148" t="str">
            <v>Beruházások összesen</v>
          </cell>
        </row>
        <row r="149">
          <cell r="A149" t="str">
            <v>057211</v>
          </cell>
          <cell r="B149" t="str">
            <v>Informatikai eszköz felújítása</v>
          </cell>
        </row>
        <row r="150">
          <cell r="A150" t="str">
            <v>057311</v>
          </cell>
          <cell r="B150" t="str">
            <v>Egyéb eszköz felújítása</v>
          </cell>
        </row>
        <row r="151">
          <cell r="A151" t="str">
            <v>057315</v>
          </cell>
          <cell r="B151" t="str">
            <v>Jármű felújítása</v>
          </cell>
        </row>
        <row r="152">
          <cell r="A152" t="str">
            <v>05741</v>
          </cell>
          <cell r="B152" t="str">
            <v>Felújítás le nem vonfható ÁFA</v>
          </cell>
        </row>
        <row r="153">
          <cell r="A153" t="str">
            <v>057</v>
          </cell>
          <cell r="B153" t="str">
            <v>Felújítások összesen</v>
          </cell>
        </row>
        <row r="154">
          <cell r="B154" t="str">
            <v>Felhalmozási kiadások összesen</v>
          </cell>
        </row>
        <row r="155">
          <cell r="B155" t="str">
            <v>Kiadások mindösszesen</v>
          </cell>
        </row>
        <row r="157">
          <cell r="A157" t="str">
            <v>I.</v>
          </cell>
          <cell r="B157" t="str">
            <v>MŰKÖDÉSI KÖLTSÉGVETÉSI BEVÉTELEK</v>
          </cell>
        </row>
        <row r="158">
          <cell r="A158" t="str">
            <v>1.</v>
          </cell>
          <cell r="B158" t="str">
            <v>Működési célú támogatások államháztartáson belülről</v>
          </cell>
        </row>
        <row r="159">
          <cell r="B159" t="str">
            <v>1.1. Egyéb működési célú támogatások bevételei államháztartáson belülről</v>
          </cell>
        </row>
        <row r="160">
          <cell r="A160" t="str">
            <v>1.</v>
          </cell>
          <cell r="B160" t="str">
            <v>Működési bevételek</v>
          </cell>
        </row>
        <row r="161">
          <cell r="B161" t="str">
            <v>1.1. Készletértékesítés bevétele</v>
          </cell>
        </row>
        <row r="162">
          <cell r="B162" t="str">
            <v>1.2. Szolgáltatások ellenértéke</v>
          </cell>
        </row>
        <row r="163">
          <cell r="B163" t="str">
            <v>1.3. Tulajdonosi bevételek</v>
          </cell>
        </row>
        <row r="164">
          <cell r="B164" t="str">
            <v>Egyéb bérleti díj</v>
          </cell>
        </row>
        <row r="165">
          <cell r="B165" t="str">
            <v>1.4. Ellátási díjak</v>
          </cell>
        </row>
        <row r="166">
          <cell r="B166" t="str">
            <v>1.5. Kiszámlázott általános forgalmi adó</v>
          </cell>
        </row>
        <row r="167">
          <cell r="B167" t="str">
            <v>1.6. Általános forgalmi adó visszatérítése</v>
          </cell>
        </row>
        <row r="168">
          <cell r="B168" t="str">
            <v>1.7. Kamatbevételek</v>
          </cell>
        </row>
        <row r="169">
          <cell r="B169" t="str">
            <v>1.8. Egyéb működési bevételek</v>
          </cell>
        </row>
        <row r="170">
          <cell r="A170" t="str">
            <v>3.</v>
          </cell>
          <cell r="B170" t="str">
            <v>Működési célú átvett pénzeszközök</v>
          </cell>
        </row>
        <row r="171">
          <cell r="B171" t="str">
            <v>3.1. Egyéb működési célú átvett pénzeszközök</v>
          </cell>
        </row>
      </sheetData>
      <sheetData sheetId="37" refreshError="1"/>
      <sheetData sheetId="3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ntroll"/>
      <sheetName val="0.Mérleg"/>
      <sheetName val="1A. Fő bev"/>
      <sheetName val="1B. Fő kiad"/>
      <sheetName val="1C Bev kiad fel"/>
      <sheetName val="2A Önk bev"/>
      <sheetName val="2B Önk kiad"/>
      <sheetName val="2C Önk bev kiad fel"/>
      <sheetName val="2D Céltartalék"/>
      <sheetName val="3A PH"/>
      <sheetName val="3B PH fel"/>
      <sheetName val="4A. VG bev kiad"/>
      <sheetName val="4B VG fel"/>
      <sheetName val="5A Walla"/>
      <sheetName val="5B Nyitnikék"/>
      <sheetName val="5C Bóbita"/>
      <sheetName val="5D MMMH"/>
      <sheetName val="5E Könyvtár"/>
      <sheetName val="5F Segítő Kéz"/>
      <sheetName val="5G GSZNR fel"/>
      <sheetName val="6. létszámkeret"/>
      <sheetName val="7. beruházás"/>
      <sheetName val="8. felújítás"/>
      <sheetName val="9. hitelállomány"/>
      <sheetName val="9. stab tv"/>
      <sheetName val="10. Uniós tám"/>
      <sheetName val="11. címrend"/>
      <sheetName val="SKSZ"/>
      <sheetName val="ph"/>
      <sheetName val="ÖK kiad"/>
      <sheetName val="VG"/>
      <sheetName val="Volf"/>
      <sheetName val="MMMH"/>
      <sheetName val="MMMH reszletes"/>
      <sheetName val="MMMH dologi"/>
      <sheetName val="MMMH bevetel"/>
      <sheetName val="Bóbita"/>
      <sheetName val="Nyitnikék"/>
      <sheetName val="Wall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>
        <row r="1">
          <cell r="A1" t="str">
            <v>Főkönyvi szám</v>
          </cell>
          <cell r="B1" t="str">
            <v>Megnevezés</v>
          </cell>
          <cell r="C1" t="str">
            <v>2015. évi előirányzat</v>
          </cell>
          <cell r="D1" t="str">
            <v>Óvodai étkeztetés 562912</v>
          </cell>
          <cell r="E1" t="str">
            <v>Óvodai nevelés 851011</v>
          </cell>
          <cell r="F1" t="str">
            <v>Közfoglal-koztatás</v>
          </cell>
        </row>
        <row r="2">
          <cell r="A2" t="str">
            <v>05110111</v>
          </cell>
          <cell r="B2" t="str">
            <v>Alapilletmények</v>
          </cell>
        </row>
        <row r="3">
          <cell r="A3" t="str">
            <v>05110112</v>
          </cell>
          <cell r="B3" t="str">
            <v>Illetménykiegészítések</v>
          </cell>
        </row>
        <row r="4">
          <cell r="A4" t="str">
            <v>05110113</v>
          </cell>
          <cell r="B4" t="str">
            <v>Nyelvpótlékok</v>
          </cell>
        </row>
        <row r="5">
          <cell r="A5" t="str">
            <v>05110114</v>
          </cell>
          <cell r="B5" t="str">
            <v>Egyéb kötelező pótlékok</v>
          </cell>
        </row>
        <row r="6">
          <cell r="A6" t="str">
            <v>05110115</v>
          </cell>
          <cell r="B6" t="str">
            <v>Egyéb feltételektől függő pótlékok és juttatások</v>
          </cell>
        </row>
        <row r="7">
          <cell r="A7" t="str">
            <v>05110119</v>
          </cell>
          <cell r="B7" t="str">
            <v>Egyéb juttatások</v>
          </cell>
        </row>
        <row r="8">
          <cell r="A8" t="str">
            <v>0511011</v>
          </cell>
          <cell r="B8" t="str">
            <v>Törvény szerinti illetmények, munkabérek</v>
          </cell>
        </row>
        <row r="9">
          <cell r="A9" t="str">
            <v>0511021</v>
          </cell>
          <cell r="B9" t="str">
            <v>Normatív jutalmak</v>
          </cell>
        </row>
        <row r="10">
          <cell r="A10" t="str">
            <v>0511031</v>
          </cell>
          <cell r="B10" t="str">
            <v>Céljuttatás, projektprémium</v>
          </cell>
        </row>
        <row r="11">
          <cell r="A11" t="str">
            <v>05110411</v>
          </cell>
          <cell r="B11" t="str">
            <v>Készenléti, ügyeleti, helyettesítési díj</v>
          </cell>
        </row>
        <row r="12">
          <cell r="A12" t="str">
            <v>05110412</v>
          </cell>
          <cell r="B12" t="str">
            <v>Túlóra, túlszolgálat</v>
          </cell>
        </row>
        <row r="13">
          <cell r="A13" t="str">
            <v>0511041</v>
          </cell>
          <cell r="B13" t="str">
            <v>Készenlét, ügyelet, helyettesítés, túlóra</v>
          </cell>
        </row>
        <row r="14">
          <cell r="A14" t="str">
            <v>0511051</v>
          </cell>
          <cell r="B14" t="str">
            <v>Végkielégítés</v>
          </cell>
        </row>
        <row r="15">
          <cell r="A15" t="str">
            <v>0511061</v>
          </cell>
          <cell r="B15" t="str">
            <v>Jubileumi jutalom</v>
          </cell>
        </row>
        <row r="16">
          <cell r="A16" t="str">
            <v>05110711</v>
          </cell>
          <cell r="B16" t="str">
            <v>Étkezési hozzájárulás</v>
          </cell>
        </row>
        <row r="17">
          <cell r="A17" t="str">
            <v>05110712</v>
          </cell>
          <cell r="B17" t="str">
            <v>Üdülési hozzájárulás</v>
          </cell>
        </row>
        <row r="18">
          <cell r="A18" t="str">
            <v>05110713</v>
          </cell>
          <cell r="B18" t="str">
            <v>Erzsébet-utalvány kiadásai</v>
          </cell>
        </row>
        <row r="19">
          <cell r="A19" t="str">
            <v>05110714</v>
          </cell>
          <cell r="B19" t="str">
            <v>Széchenyi Pihenő Kártya kiadásai</v>
          </cell>
        </row>
        <row r="20">
          <cell r="A20" t="str">
            <v>05110715</v>
          </cell>
          <cell r="B20" t="str">
            <v>Iskolakezdési támogatás</v>
          </cell>
        </row>
        <row r="21">
          <cell r="A21" t="str">
            <v>05110716</v>
          </cell>
          <cell r="B21" t="str">
            <v>Önkéntes biztosító pénztárakba befizetés</v>
          </cell>
        </row>
        <row r="22">
          <cell r="A22" t="str">
            <v>05110719</v>
          </cell>
          <cell r="B22" t="str">
            <v>Egyéb béren kívüli juttatások</v>
          </cell>
        </row>
        <row r="23">
          <cell r="A23" t="str">
            <v>0511071</v>
          </cell>
          <cell r="B23" t="str">
            <v>Béren kívüli juttatások</v>
          </cell>
        </row>
        <row r="24">
          <cell r="A24" t="str">
            <v>0511081</v>
          </cell>
          <cell r="B24" t="str">
            <v>Ruházati költségtérítés</v>
          </cell>
        </row>
        <row r="25">
          <cell r="A25" t="str">
            <v>0511091</v>
          </cell>
          <cell r="B25" t="str">
            <v>Közlekedési költségtérítés</v>
          </cell>
        </row>
        <row r="26">
          <cell r="A26" t="str">
            <v>0511101</v>
          </cell>
          <cell r="B26" t="str">
            <v>Egyéb költségtérítések</v>
          </cell>
        </row>
        <row r="27">
          <cell r="A27" t="str">
            <v>05111111</v>
          </cell>
          <cell r="B27" t="str">
            <v>Albérleti díj hozzájárulás</v>
          </cell>
        </row>
        <row r="28">
          <cell r="A28" t="str">
            <v>05111112</v>
          </cell>
          <cell r="B28" t="str">
            <v>Családalapítási támogatás</v>
          </cell>
        </row>
        <row r="29">
          <cell r="A29" t="str">
            <v>0511111</v>
          </cell>
          <cell r="B29" t="str">
            <v>Lakhatási támogatások</v>
          </cell>
        </row>
        <row r="30">
          <cell r="A30" t="str">
            <v>0511121</v>
          </cell>
          <cell r="B30" t="str">
            <v>Szociális támogatások</v>
          </cell>
        </row>
        <row r="31">
          <cell r="A31" t="str">
            <v>05111311</v>
          </cell>
          <cell r="B31" t="str">
            <v>Belföldi napidíj</v>
          </cell>
        </row>
        <row r="32">
          <cell r="A32" t="str">
            <v>05111312</v>
          </cell>
          <cell r="B32" t="str">
            <v>Külföldi napidíj</v>
          </cell>
        </row>
        <row r="33">
          <cell r="A33" t="str">
            <v>05111313</v>
          </cell>
          <cell r="B33" t="str">
            <v>Biztosítási díjak</v>
          </cell>
        </row>
        <row r="34">
          <cell r="A34" t="str">
            <v>05111314</v>
          </cell>
          <cell r="B34" t="str">
            <v>Kereset-kiegészítés fedezete</v>
          </cell>
        </row>
        <row r="35">
          <cell r="A35" t="str">
            <v>05111315</v>
          </cell>
          <cell r="B35" t="str">
            <v>Munkáltatói kártérítés egyéb kiegészítések</v>
          </cell>
        </row>
        <row r="36">
          <cell r="A36" t="str">
            <v>05111319</v>
          </cell>
          <cell r="B36" t="str">
            <v>Egyéb sajátos juttatások</v>
          </cell>
        </row>
        <row r="37">
          <cell r="A37" t="str">
            <v>0511131</v>
          </cell>
          <cell r="B37" t="str">
            <v>foglalkoztatottak egyéb személyi juttatásai</v>
          </cell>
        </row>
        <row r="38">
          <cell r="A38" t="str">
            <v>0511</v>
          </cell>
          <cell r="B38" t="str">
            <v>Foglalkoztatottak személyi juttatásai</v>
          </cell>
        </row>
        <row r="39">
          <cell r="A39" t="str">
            <v>0512113</v>
          </cell>
          <cell r="B39" t="str">
            <v>Képviselők, polgármesterek juttatásai</v>
          </cell>
        </row>
        <row r="40">
          <cell r="A40" t="str">
            <v>0512119</v>
          </cell>
          <cell r="B40" t="str">
            <v>Egyéb választott tisztségviselők juttatásai</v>
          </cell>
        </row>
        <row r="41">
          <cell r="A41" t="str">
            <v>051211</v>
          </cell>
          <cell r="B41" t="str">
            <v>Választott tisztviselők juttatásai</v>
          </cell>
        </row>
        <row r="42">
          <cell r="A42" t="str">
            <v>0512211</v>
          </cell>
          <cell r="B42" t="str">
            <v>Állományba nem tartozók megbízási díja</v>
          </cell>
        </row>
        <row r="43">
          <cell r="A43" t="str">
            <v>0512212</v>
          </cell>
          <cell r="B43" t="str">
            <v>Tiszteletdíj, szerzői díj, honorárium</v>
          </cell>
        </row>
        <row r="44">
          <cell r="A44" t="str">
            <v>051221</v>
          </cell>
          <cell r="B44" t="str">
            <v>Nem saját foglalkoztatottnak fizetett juttatás</v>
          </cell>
        </row>
        <row r="45">
          <cell r="A45" t="str">
            <v>0512311</v>
          </cell>
          <cell r="B45" t="str">
            <v>Prémiumévek program résztvevőinek juttatása</v>
          </cell>
        </row>
        <row r="46">
          <cell r="A46" t="str">
            <v>0512312</v>
          </cell>
          <cell r="B46" t="str">
            <v>Egyszerűsített fogl. alá tartozó mváll. juttatásai</v>
          </cell>
        </row>
        <row r="47">
          <cell r="A47" t="str">
            <v>0512314</v>
          </cell>
          <cell r="B47" t="str">
            <v>További munkaviszonyt létesítők juttatásai</v>
          </cell>
        </row>
        <row r="48">
          <cell r="A48" t="str">
            <v>0512315</v>
          </cell>
          <cell r="B48" t="str">
            <v>Felmentett munkavállalók egyéb juttatásai</v>
          </cell>
        </row>
        <row r="49">
          <cell r="A49" t="str">
            <v>0512316</v>
          </cell>
          <cell r="B49" t="str">
            <v>Adományozott kitüntetések, díjak, pénzjutalmak</v>
          </cell>
        </row>
        <row r="50">
          <cell r="A50" t="str">
            <v>0512318</v>
          </cell>
          <cell r="B50" t="str">
            <v>Reprezentációs kiadások</v>
          </cell>
        </row>
        <row r="51">
          <cell r="A51" t="str">
            <v>0512319</v>
          </cell>
          <cell r="B51" t="str">
            <v>Egyéb külső személyi juttatások</v>
          </cell>
        </row>
        <row r="52">
          <cell r="A52" t="str">
            <v>051231</v>
          </cell>
          <cell r="B52" t="str">
            <v>Egyéb külső személyi juttatások összesen</v>
          </cell>
        </row>
        <row r="53">
          <cell r="A53" t="str">
            <v>0512</v>
          </cell>
          <cell r="B53" t="str">
            <v>Külső személyi juttatások</v>
          </cell>
        </row>
        <row r="54">
          <cell r="A54" t="str">
            <v>051</v>
          </cell>
          <cell r="B54" t="str">
            <v>Személyi juttatások összesen</v>
          </cell>
        </row>
        <row r="55">
          <cell r="A55" t="str">
            <v>05211</v>
          </cell>
          <cell r="B55" t="str">
            <v>Szociális hozzájárulási adó</v>
          </cell>
        </row>
        <row r="56">
          <cell r="A56" t="str">
            <v>05212</v>
          </cell>
          <cell r="B56" t="str">
            <v>EKHO</v>
          </cell>
        </row>
        <row r="57">
          <cell r="A57" t="str">
            <v>05213</v>
          </cell>
          <cell r="B57" t="str">
            <v>Egészségügyi hozzájárulás</v>
          </cell>
        </row>
        <row r="58">
          <cell r="A58" t="str">
            <v>05214</v>
          </cell>
          <cell r="B58" t="str">
            <v>Táppénz hozzájárulás</v>
          </cell>
        </row>
        <row r="59">
          <cell r="A59" t="str">
            <v>05215</v>
          </cell>
          <cell r="B59" t="str">
            <v>Korkedvezmény-biztosítási járulék</v>
          </cell>
        </row>
        <row r="60">
          <cell r="A60" t="str">
            <v>05216</v>
          </cell>
          <cell r="B60" t="str">
            <v>Rehabilitációs hozzájárulás</v>
          </cell>
        </row>
        <row r="61">
          <cell r="A61" t="str">
            <v>05217</v>
          </cell>
          <cell r="B61" t="str">
            <v>Munkáltatót terhelő SZJA</v>
          </cell>
        </row>
        <row r="62">
          <cell r="A62" t="str">
            <v>05219</v>
          </cell>
          <cell r="B62" t="str">
            <v>Egyéb munkaadókat terhelő járulékok</v>
          </cell>
        </row>
        <row r="63">
          <cell r="A63" t="str">
            <v>052</v>
          </cell>
          <cell r="B63" t="str">
            <v>Munkaadókat terhelő járulékok összesen</v>
          </cell>
        </row>
        <row r="64">
          <cell r="A64" t="str">
            <v>0531111</v>
          </cell>
          <cell r="B64" t="str">
            <v>Gyógyszerbeszerzés</v>
          </cell>
        </row>
        <row r="65">
          <cell r="A65" t="str">
            <v>0531112</v>
          </cell>
          <cell r="B65" t="str">
            <v>Vegyszerbeszerzés</v>
          </cell>
        </row>
        <row r="66">
          <cell r="A66" t="str">
            <v>0531113</v>
          </cell>
          <cell r="B66" t="str">
            <v>Könyvbeszerzés</v>
          </cell>
        </row>
        <row r="67">
          <cell r="A67" t="str">
            <v>0531114</v>
          </cell>
          <cell r="B67" t="str">
            <v>Folyóirat-beszerzés</v>
          </cell>
        </row>
        <row r="68">
          <cell r="A68" t="str">
            <v>0531115</v>
          </cell>
          <cell r="B68" t="str">
            <v>Egyéb információhordozó-beszerzés</v>
          </cell>
        </row>
        <row r="69">
          <cell r="A69" t="str">
            <v>0531119</v>
          </cell>
          <cell r="B69" t="str">
            <v>Egyéb szakmai anyagbeszerzés</v>
          </cell>
        </row>
        <row r="70">
          <cell r="A70" t="str">
            <v>053111</v>
          </cell>
          <cell r="B70" t="str">
            <v>Szakmai anyagok beszerzése összesen</v>
          </cell>
        </row>
        <row r="71">
          <cell r="A71" t="str">
            <v>0531211</v>
          </cell>
          <cell r="B71" t="str">
            <v>Élelmiszer-beszerzés</v>
          </cell>
        </row>
        <row r="72">
          <cell r="A72" t="str">
            <v>0531212</v>
          </cell>
          <cell r="B72" t="str">
            <v>Irodaszer-, nyomtatványbeszerzés</v>
          </cell>
        </row>
        <row r="73">
          <cell r="A73" t="str">
            <v>0531213</v>
          </cell>
          <cell r="B73" t="str">
            <v>Tüzelőanyag-beszerzés</v>
          </cell>
        </row>
        <row r="74">
          <cell r="A74" t="str">
            <v>0531214</v>
          </cell>
          <cell r="B74" t="str">
            <v>Hajtó- és kenőanyag-beszerzés</v>
          </cell>
        </row>
        <row r="75">
          <cell r="A75" t="str">
            <v>0531215</v>
          </cell>
          <cell r="B75" t="str">
            <v>Munkaruha, védőruha, formaruha, egyenruha</v>
          </cell>
        </row>
        <row r="76">
          <cell r="A76" t="str">
            <v>0531219</v>
          </cell>
          <cell r="B76" t="str">
            <v>Egyéb üzemeltetési, fenntartási anyagbeszerzés</v>
          </cell>
        </row>
        <row r="77">
          <cell r="A77" t="str">
            <v>053121</v>
          </cell>
          <cell r="B77" t="str">
            <v>Üzemeltetési anyagok beszerzése összesen</v>
          </cell>
        </row>
        <row r="78">
          <cell r="A78" t="str">
            <v>0531311</v>
          </cell>
          <cell r="B78" t="str">
            <v>Árubeszerzés</v>
          </cell>
        </row>
        <row r="79">
          <cell r="A79" t="str">
            <v>0531312</v>
          </cell>
          <cell r="B79" t="str">
            <v>Göngyölegbeszerzés</v>
          </cell>
        </row>
        <row r="80">
          <cell r="A80" t="str">
            <v>053131</v>
          </cell>
          <cell r="B80" t="str">
            <v>Árubeszerzés összesen</v>
          </cell>
        </row>
        <row r="81">
          <cell r="A81" t="str">
            <v>0531</v>
          </cell>
          <cell r="B81" t="str">
            <v>Készletbeszerzés összesen</v>
          </cell>
        </row>
        <row r="82">
          <cell r="A82" t="str">
            <v>0532111</v>
          </cell>
          <cell r="B82" t="str">
            <v>Informatika tanácsadás, üzembe helyezés</v>
          </cell>
        </row>
        <row r="83">
          <cell r="A83" t="str">
            <v>0532112</v>
          </cell>
          <cell r="B83" t="str">
            <v>Informatikai szolgáltatások</v>
          </cell>
        </row>
        <row r="84">
          <cell r="A84" t="str">
            <v>0532113</v>
          </cell>
          <cell r="B84" t="str">
            <v>Informatikai eszköz, szolg. bérlés, lízing</v>
          </cell>
        </row>
        <row r="85">
          <cell r="A85" t="str">
            <v>0532114</v>
          </cell>
          <cell r="B85" t="str">
            <v>Informatikai eszközök karbantartása</v>
          </cell>
        </row>
        <row r="86">
          <cell r="A86" t="str">
            <v>0532115</v>
          </cell>
          <cell r="B86" t="str">
            <v>Adatátviteli célú távközlési díjak</v>
          </cell>
        </row>
        <row r="87">
          <cell r="A87" t="str">
            <v>0532119</v>
          </cell>
          <cell r="B87" t="str">
            <v>Egyéb informatikai szolgáltatás</v>
          </cell>
        </row>
        <row r="88">
          <cell r="A88" t="str">
            <v>053211</v>
          </cell>
          <cell r="B88" t="str">
            <v>Informatikai szolgáltatások igénybevétele</v>
          </cell>
        </row>
        <row r="89">
          <cell r="A89" t="str">
            <v>0532211</v>
          </cell>
          <cell r="B89" t="str">
            <v>Nem adatátviteli célú távközlési díjak</v>
          </cell>
        </row>
        <row r="90">
          <cell r="A90" t="str">
            <v>0532219</v>
          </cell>
          <cell r="B90" t="str">
            <v>Egyéb kommunikációs szolgáltatások</v>
          </cell>
        </row>
        <row r="91">
          <cell r="A91" t="str">
            <v>053221</v>
          </cell>
          <cell r="B91" t="str">
            <v>Egyéb kommunilációs szolgáltatás összesen</v>
          </cell>
        </row>
        <row r="92">
          <cell r="A92" t="str">
            <v>0532</v>
          </cell>
          <cell r="B92" t="str">
            <v>Kommunikációs szolgáltatások összesen</v>
          </cell>
        </row>
        <row r="93">
          <cell r="A93" t="str">
            <v>0533111</v>
          </cell>
          <cell r="B93" t="str">
            <v>Villamosenergia-szolgáltatási díjak</v>
          </cell>
        </row>
        <row r="94">
          <cell r="A94" t="str">
            <v>0533112</v>
          </cell>
          <cell r="B94" t="str">
            <v>Gázenergia-szolgáltatási díjak</v>
          </cell>
        </row>
        <row r="95">
          <cell r="A95" t="str">
            <v>0533113</v>
          </cell>
          <cell r="B95" t="str">
            <v>Távkő- és melegvíz-szolgáltatási díjak</v>
          </cell>
        </row>
        <row r="96">
          <cell r="A96" t="str">
            <v>0533114</v>
          </cell>
          <cell r="B96" t="str">
            <v>Víz- és csatornadíjak</v>
          </cell>
        </row>
        <row r="97">
          <cell r="A97" t="str">
            <v>053311</v>
          </cell>
          <cell r="B97" t="str">
            <v>Közüzemi díjak összesen</v>
          </cell>
        </row>
        <row r="98">
          <cell r="A98" t="str">
            <v>053321</v>
          </cell>
          <cell r="B98" t="str">
            <v>Vásárolt élelmezés</v>
          </cell>
        </row>
        <row r="99">
          <cell r="A99" t="str">
            <v>0533311</v>
          </cell>
          <cell r="B99" t="str">
            <v>PPP konstrukcióhoz kapcs. szolgáltatási díjak</v>
          </cell>
        </row>
        <row r="100">
          <cell r="A100" t="str">
            <v>0533312</v>
          </cell>
          <cell r="B100" t="str">
            <v>Egyéb bérleti és lízing díjak</v>
          </cell>
        </row>
        <row r="101">
          <cell r="A101">
            <v>53331</v>
          </cell>
          <cell r="B101" t="str">
            <v>Bérleti és lízing díjak összesen</v>
          </cell>
        </row>
        <row r="102">
          <cell r="A102" t="str">
            <v>053341</v>
          </cell>
          <cell r="B102" t="str">
            <v>Karbantartási, kisjavítási szolgáltatások</v>
          </cell>
        </row>
        <row r="103">
          <cell r="A103" t="str">
            <v>0533511</v>
          </cell>
          <cell r="B103" t="str">
            <v>Államháztartáson belüli közvetített szolgáltatások</v>
          </cell>
        </row>
        <row r="104">
          <cell r="A104" t="str">
            <v>0533512</v>
          </cell>
          <cell r="B104" t="str">
            <v>Államháztartáson kívüli közvetített szolgáltatások</v>
          </cell>
        </row>
        <row r="105">
          <cell r="A105" t="str">
            <v>053351</v>
          </cell>
          <cell r="B105" t="str">
            <v>Közvetített szolgáltatások összesen</v>
          </cell>
        </row>
        <row r="106">
          <cell r="A106" t="str">
            <v>0533611</v>
          </cell>
          <cell r="B106" t="str">
            <v>Vásárolt közszolgáltatások</v>
          </cell>
        </row>
        <row r="107">
          <cell r="A107" t="str">
            <v>0533612</v>
          </cell>
          <cell r="B107" t="str">
            <v>Számlázott szellemi tevékenység</v>
          </cell>
        </row>
        <row r="108">
          <cell r="A108" t="str">
            <v>0533619</v>
          </cell>
          <cell r="B108" t="str">
            <v>Egyéb szakmai szolgáltatások</v>
          </cell>
        </row>
        <row r="109">
          <cell r="A109" t="str">
            <v>053361</v>
          </cell>
          <cell r="B109" t="str">
            <v>Szakmai tevékenységet segítő szolg összesen</v>
          </cell>
        </row>
        <row r="110">
          <cell r="A110" t="str">
            <v>0533711</v>
          </cell>
          <cell r="B110" t="str">
            <v>Biztosítási szolgáltatási díjak</v>
          </cell>
        </row>
        <row r="111">
          <cell r="A111" t="str">
            <v>0533712</v>
          </cell>
          <cell r="B111" t="str">
            <v>Pénzügyi szolgáltatási díjak</v>
          </cell>
        </row>
        <row r="112">
          <cell r="A112" t="str">
            <v>0533713</v>
          </cell>
          <cell r="B112" t="str">
            <v>Szállítási szolgáltatási díjak</v>
          </cell>
        </row>
        <row r="113">
          <cell r="A113" t="str">
            <v>0533719</v>
          </cell>
          <cell r="B113" t="str">
            <v>Egyéb üzemeltetési, fenntartási szolgáltatások</v>
          </cell>
        </row>
        <row r="114">
          <cell r="A114" t="str">
            <v>053371</v>
          </cell>
          <cell r="B114" t="str">
            <v>Egyéb szolgáltatások összesen</v>
          </cell>
        </row>
        <row r="115">
          <cell r="A115" t="str">
            <v>0533</v>
          </cell>
          <cell r="B115" t="str">
            <v>Szolgáltatási kiadások összesen</v>
          </cell>
        </row>
        <row r="116">
          <cell r="A116" t="str">
            <v>0534111</v>
          </cell>
          <cell r="B116" t="str">
            <v>Belföldi kiküldetések kiadásai</v>
          </cell>
        </row>
        <row r="117">
          <cell r="A117" t="str">
            <v>0534112</v>
          </cell>
          <cell r="B117" t="str">
            <v>Külföldi kiküldetések kiadásai</v>
          </cell>
        </row>
        <row r="118">
          <cell r="A118" t="str">
            <v>053411</v>
          </cell>
          <cell r="B118" t="str">
            <v>Kiküldetések kiadásai összesen</v>
          </cell>
        </row>
        <row r="119">
          <cell r="A119" t="str">
            <v>053421</v>
          </cell>
          <cell r="B119" t="str">
            <v>Reklám- és propagandakiadások</v>
          </cell>
        </row>
        <row r="120">
          <cell r="A120" t="str">
            <v>0534</v>
          </cell>
          <cell r="B120" t="str">
            <v>Kiküldetés, reklám, propaganda összesen</v>
          </cell>
        </row>
        <row r="121">
          <cell r="A121" t="str">
            <v>0535111</v>
          </cell>
          <cell r="B121" t="str">
            <v>Működési célú felszámított, levonható ÁFA</v>
          </cell>
        </row>
        <row r="122">
          <cell r="A122" t="str">
            <v>0535112</v>
          </cell>
          <cell r="B122" t="str">
            <v>Működési célú felszámított le nem vonható ÁFA</v>
          </cell>
        </row>
        <row r="123">
          <cell r="A123" t="str">
            <v>053511</v>
          </cell>
          <cell r="B123" t="str">
            <v>Működési célú áfa összesen</v>
          </cell>
        </row>
        <row r="124">
          <cell r="A124" t="str">
            <v>0535211</v>
          </cell>
          <cell r="B124" t="str">
            <v>ÁFA befizetés</v>
          </cell>
        </row>
        <row r="125">
          <cell r="A125" t="str">
            <v>0535212</v>
          </cell>
          <cell r="B125" t="str">
            <v>Ért tárgyi eszk. Immat. javak egyenes ÁFA befiz</v>
          </cell>
        </row>
        <row r="126">
          <cell r="A126" t="str">
            <v>0535213</v>
          </cell>
          <cell r="B126" t="str">
            <v>Fordított ÁFA befizetés</v>
          </cell>
        </row>
        <row r="127">
          <cell r="A127" t="str">
            <v>053521</v>
          </cell>
          <cell r="B127" t="str">
            <v>Fizetendő áfa összesen</v>
          </cell>
        </row>
        <row r="128">
          <cell r="A128" t="str">
            <v>05353119</v>
          </cell>
          <cell r="B128" t="str">
            <v>Államháztartáson belüli egyéb kamat</v>
          </cell>
        </row>
        <row r="129">
          <cell r="A129" t="str">
            <v>05353122</v>
          </cell>
          <cell r="B129" t="str">
            <v>Hitelek kamatai</v>
          </cell>
        </row>
        <row r="130">
          <cell r="A130" t="str">
            <v>05353123</v>
          </cell>
          <cell r="B130" t="str">
            <v>Pénzügyi lízing kiadások</v>
          </cell>
        </row>
        <row r="131">
          <cell r="A131" t="str">
            <v>05353129</v>
          </cell>
          <cell r="B131" t="str">
            <v>Államháztartáson kívüli egyéb kamatok</v>
          </cell>
        </row>
        <row r="132">
          <cell r="A132" t="str">
            <v>053531</v>
          </cell>
          <cell r="B132" t="str">
            <v>Kamatkiadások</v>
          </cell>
        </row>
        <row r="133">
          <cell r="A133" t="str">
            <v>0535411</v>
          </cell>
          <cell r="B133" t="str">
            <v>Árfolyamveszteség</v>
          </cell>
        </row>
        <row r="134">
          <cell r="A134" t="str">
            <v>0535419</v>
          </cell>
          <cell r="B134" t="str">
            <v>Egyéb különféle pénzügyi műveletek kiadásai</v>
          </cell>
        </row>
        <row r="135">
          <cell r="A135" t="str">
            <v>053541</v>
          </cell>
          <cell r="B135" t="str">
            <v>Egyéb pénzügyi műveletek kiadásai</v>
          </cell>
        </row>
        <row r="136">
          <cell r="A136" t="str">
            <v>0535511</v>
          </cell>
          <cell r="B136" t="str">
            <v>Adók, adójellegű befizetések</v>
          </cell>
        </row>
        <row r="137">
          <cell r="A137" t="str">
            <v>0535512</v>
          </cell>
          <cell r="B137" t="str">
            <v>Díjak, egyéb befizetések</v>
          </cell>
        </row>
        <row r="138">
          <cell r="A138" t="str">
            <v>0535513</v>
          </cell>
          <cell r="B138" t="str">
            <v>Késedelmi kamat, kötbér, egyéb kártérítés</v>
          </cell>
        </row>
        <row r="139">
          <cell r="A139" t="str">
            <v>0535519</v>
          </cell>
          <cell r="B139" t="str">
            <v>Egyéb különféle dologi kiadások</v>
          </cell>
        </row>
        <row r="140">
          <cell r="A140" t="str">
            <v>053551</v>
          </cell>
          <cell r="B140" t="str">
            <v>Egyéb dologi kiadások</v>
          </cell>
        </row>
        <row r="141">
          <cell r="A141" t="str">
            <v>0535</v>
          </cell>
          <cell r="B141" t="str">
            <v>Különféle befizetések, egyéb dologi kiadások</v>
          </cell>
        </row>
        <row r="142">
          <cell r="A142" t="str">
            <v>053</v>
          </cell>
          <cell r="B142" t="str">
            <v>Dologi kiadások összesen</v>
          </cell>
        </row>
        <row r="143">
          <cell r="A143">
            <v>0</v>
          </cell>
          <cell r="B143" t="str">
            <v>Működési kiadások összesen</v>
          </cell>
        </row>
        <row r="144">
          <cell r="A144" t="str">
            <v>056311</v>
          </cell>
          <cell r="B144" t="str">
            <v>Informatikai eszköz beszerzés</v>
          </cell>
        </row>
        <row r="145">
          <cell r="A145" t="str">
            <v>056411</v>
          </cell>
          <cell r="B145" t="str">
            <v>Egyéb eszköz beszerzés</v>
          </cell>
        </row>
        <row r="146">
          <cell r="A146" t="str">
            <v>056415</v>
          </cell>
          <cell r="B146" t="str">
            <v>Jármű beszerzés</v>
          </cell>
        </row>
        <row r="147">
          <cell r="A147" t="str">
            <v>05671</v>
          </cell>
          <cell r="B147" t="str">
            <v>Beruházás le nem vonható ÁFA</v>
          </cell>
        </row>
        <row r="148">
          <cell r="A148" t="str">
            <v>056</v>
          </cell>
          <cell r="B148" t="str">
            <v>Beruházások összesen</v>
          </cell>
        </row>
        <row r="149">
          <cell r="A149" t="str">
            <v>057211</v>
          </cell>
          <cell r="B149" t="str">
            <v>Informatikai eszköz felújítása</v>
          </cell>
        </row>
        <row r="150">
          <cell r="A150" t="str">
            <v>057311</v>
          </cell>
          <cell r="B150" t="str">
            <v>Egyéb eszköz felújítása</v>
          </cell>
        </row>
        <row r="151">
          <cell r="A151" t="str">
            <v>057315</v>
          </cell>
          <cell r="B151" t="str">
            <v>Jármű felújítása</v>
          </cell>
        </row>
        <row r="152">
          <cell r="A152" t="str">
            <v>05741</v>
          </cell>
          <cell r="B152" t="str">
            <v>Felújítás le nem vonfható ÁFA</v>
          </cell>
        </row>
        <row r="153">
          <cell r="A153" t="str">
            <v>057</v>
          </cell>
          <cell r="B153" t="str">
            <v>Felújítások összesen</v>
          </cell>
        </row>
        <row r="154">
          <cell r="A154">
            <v>0</v>
          </cell>
          <cell r="B154" t="str">
            <v>Felhalmozási kiadások összesen</v>
          </cell>
        </row>
        <row r="155">
          <cell r="A155">
            <v>0</v>
          </cell>
          <cell r="B155" t="str">
            <v>Kiadások mindösszesen</v>
          </cell>
        </row>
        <row r="157">
          <cell r="A157" t="str">
            <v>I.</v>
          </cell>
          <cell r="B157" t="str">
            <v>MŰKÖDÉSI KÖLTSÉGVETÉSI BEVÉTELEK</v>
          </cell>
        </row>
        <row r="158">
          <cell r="A158" t="str">
            <v>1.</v>
          </cell>
          <cell r="B158" t="str">
            <v>Működési célú támogatások államháztartáson belülről</v>
          </cell>
        </row>
        <row r="159">
          <cell r="A159">
            <v>0</v>
          </cell>
          <cell r="B159" t="str">
            <v>1.1. Egyéb működési célú támogatások bevételei államháztartáson belülről</v>
          </cell>
        </row>
        <row r="160">
          <cell r="A160" t="str">
            <v>1.</v>
          </cell>
          <cell r="B160" t="str">
            <v>Működési bevételek</v>
          </cell>
        </row>
        <row r="161">
          <cell r="A161">
            <v>0</v>
          </cell>
          <cell r="B161" t="str">
            <v>1.1. Készletértékesítés bevétele</v>
          </cell>
        </row>
        <row r="162">
          <cell r="A162">
            <v>0</v>
          </cell>
          <cell r="B162" t="str">
            <v>1.2. Szolgáltatások ellenértéke</v>
          </cell>
        </row>
        <row r="163">
          <cell r="A163">
            <v>0</v>
          </cell>
          <cell r="B163" t="str">
            <v>1.3. Tulajdonosi bevételek</v>
          </cell>
        </row>
        <row r="164">
          <cell r="A164">
            <v>0</v>
          </cell>
          <cell r="B164" t="str">
            <v>Egyéb bérleti díj</v>
          </cell>
        </row>
        <row r="165">
          <cell r="A165">
            <v>0</v>
          </cell>
          <cell r="B165" t="str">
            <v>1.4. Ellátási díjak</v>
          </cell>
        </row>
        <row r="166">
          <cell r="A166">
            <v>0</v>
          </cell>
          <cell r="B166" t="str">
            <v>1.5. Kiszámlázott általános forgalmi adó</v>
          </cell>
        </row>
        <row r="167">
          <cell r="A167">
            <v>0</v>
          </cell>
          <cell r="B167" t="str">
            <v>1.6. Általános forgalmi adó visszatérítése</v>
          </cell>
        </row>
        <row r="168">
          <cell r="A168">
            <v>0</v>
          </cell>
          <cell r="B168" t="str">
            <v>1.7. Kamatbevételek</v>
          </cell>
        </row>
        <row r="169">
          <cell r="A169">
            <v>0</v>
          </cell>
          <cell r="B169" t="str">
            <v>1.8. Egyéb működési bevételek</v>
          </cell>
        </row>
        <row r="170">
          <cell r="A170" t="str">
            <v>3.</v>
          </cell>
          <cell r="B170" t="str">
            <v>Működési célú átvett pénzeszközök</v>
          </cell>
        </row>
        <row r="171">
          <cell r="A171">
            <v>0</v>
          </cell>
          <cell r="B171" t="str">
            <v>3.1. Egyéb működési célú átvett pénzeszközök</v>
          </cell>
        </row>
      </sheetData>
      <sheetData sheetId="37"/>
      <sheetData sheetId="3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ntroll"/>
      <sheetName val="0.Mérleg"/>
      <sheetName val="1A. Fő bev"/>
      <sheetName val="1B. Fő kiad"/>
      <sheetName val="1C Bev kiad fel"/>
      <sheetName val="2A Önk bev"/>
      <sheetName val="2B Önk kiad"/>
      <sheetName val="2C Önk bev kiad fel"/>
      <sheetName val="2D Céltartalék"/>
      <sheetName val="3A PH"/>
      <sheetName val="3B PH fel"/>
      <sheetName val="4A. VG bev kiad"/>
      <sheetName val="4B VG fel"/>
      <sheetName val="5A Walla"/>
      <sheetName val="5B Nyitnikék"/>
      <sheetName val="5C Bóbita"/>
      <sheetName val="5D MMMH"/>
      <sheetName val="5E Könyvtár"/>
      <sheetName val="5F Segítő Kéz"/>
      <sheetName val="5G GSZNR fel"/>
      <sheetName val="6. létszámkeret"/>
      <sheetName val="7. beruházás"/>
      <sheetName val="8. felújítás"/>
      <sheetName val="9. hitelállomány"/>
      <sheetName val="9. stab tv"/>
      <sheetName val="10. Uniós tám"/>
      <sheetName val="11. címrend"/>
      <sheetName val="SKSZ"/>
      <sheetName val="ph"/>
      <sheetName val="ÖK kiad"/>
      <sheetName val="VG"/>
      <sheetName val="Volf"/>
      <sheetName val="MMMH"/>
      <sheetName val="MMMH reszletes"/>
      <sheetName val="MMMH dologi"/>
      <sheetName val="MMMH bevetel"/>
      <sheetName val="Bóbita"/>
      <sheetName val="Nyitnikék"/>
      <sheetName val="Wall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>
        <row r="1">
          <cell r="A1" t="str">
            <v>Főkönyvi szám</v>
          </cell>
          <cell r="B1" t="str">
            <v>Megnevezés</v>
          </cell>
          <cell r="C1" t="str">
            <v>2015. évi előirányzat</v>
          </cell>
          <cell r="D1" t="str">
            <v>2016. évi előirányzat</v>
          </cell>
          <cell r="E1" t="str">
            <v>Óvodai étkeztetés 2015.</v>
          </cell>
          <cell r="F1" t="str">
            <v>Óvodai étkeztetés 2016.</v>
          </cell>
          <cell r="G1" t="str">
            <v>Óvodai nevelés 2015.</v>
          </cell>
          <cell r="H1" t="str">
            <v>Óvodai nevelés 2016.</v>
          </cell>
          <cell r="I1" t="str">
            <v>Közfoglal-koztatás</v>
          </cell>
          <cell r="J1">
            <v>0</v>
          </cell>
        </row>
        <row r="2">
          <cell r="A2" t="str">
            <v>05110111</v>
          </cell>
          <cell r="B2" t="str">
            <v>Alapilletmények</v>
          </cell>
        </row>
        <row r="3">
          <cell r="A3" t="str">
            <v>05110112</v>
          </cell>
          <cell r="B3" t="str">
            <v>Illetménykiegészítések</v>
          </cell>
        </row>
        <row r="4">
          <cell r="A4" t="str">
            <v>05110113</v>
          </cell>
          <cell r="B4" t="str">
            <v>Nyelvpótlékok</v>
          </cell>
        </row>
        <row r="5">
          <cell r="A5" t="str">
            <v>05110114</v>
          </cell>
          <cell r="B5" t="str">
            <v>Egyéb kötelező pótlékok</v>
          </cell>
        </row>
        <row r="6">
          <cell r="A6" t="str">
            <v>05110115</v>
          </cell>
          <cell r="B6" t="str">
            <v>Egyéb feltételektől függő pótlékok és juttatások</v>
          </cell>
        </row>
        <row r="7">
          <cell r="A7" t="str">
            <v>05110119</v>
          </cell>
          <cell r="B7" t="str">
            <v>Egyéb juttatások</v>
          </cell>
        </row>
        <row r="8">
          <cell r="A8" t="str">
            <v>0511011</v>
          </cell>
          <cell r="B8" t="str">
            <v>Törvény szerinti illetmények, munkabérek</v>
          </cell>
        </row>
        <row r="9">
          <cell r="A9" t="str">
            <v>0511021</v>
          </cell>
          <cell r="B9" t="str">
            <v>Normatív jutalmak</v>
          </cell>
        </row>
        <row r="10">
          <cell r="A10" t="str">
            <v>0511031</v>
          </cell>
          <cell r="B10" t="str">
            <v>Céljuttatás, projektprémium</v>
          </cell>
        </row>
        <row r="11">
          <cell r="A11" t="str">
            <v>05110411</v>
          </cell>
          <cell r="B11" t="str">
            <v>Készenléti, ügyeleti, helyettesítési díj</v>
          </cell>
        </row>
        <row r="12">
          <cell r="A12" t="str">
            <v>05110412</v>
          </cell>
          <cell r="B12" t="str">
            <v>Túlóra, túlszolgálat</v>
          </cell>
        </row>
        <row r="13">
          <cell r="A13" t="str">
            <v>0511041</v>
          </cell>
          <cell r="B13" t="str">
            <v>Készenlét, ügyelet, helyettesítés, túlóra</v>
          </cell>
        </row>
        <row r="14">
          <cell r="A14" t="str">
            <v>0511051</v>
          </cell>
          <cell r="B14" t="str">
            <v>Végkielégítés</v>
          </cell>
        </row>
        <row r="15">
          <cell r="A15" t="str">
            <v>0511061</v>
          </cell>
          <cell r="B15" t="str">
            <v>Jubileumi jutalom</v>
          </cell>
        </row>
        <row r="16">
          <cell r="A16" t="str">
            <v>05110711</v>
          </cell>
          <cell r="B16" t="str">
            <v>Étkezési hozzájárulás</v>
          </cell>
        </row>
        <row r="17">
          <cell r="A17" t="str">
            <v>05110712</v>
          </cell>
          <cell r="B17" t="str">
            <v>Üdülési hozzájárulás</v>
          </cell>
        </row>
        <row r="18">
          <cell r="A18" t="str">
            <v>05110713</v>
          </cell>
          <cell r="B18" t="str">
            <v>Erzsébet-utalvány kiadásai</v>
          </cell>
        </row>
        <row r="19">
          <cell r="A19" t="str">
            <v>05110714</v>
          </cell>
          <cell r="B19" t="str">
            <v>Széchenyi Pihenő Kártya kiadásai</v>
          </cell>
        </row>
        <row r="20">
          <cell r="A20" t="str">
            <v>05110715</v>
          </cell>
          <cell r="B20" t="str">
            <v>Iskolakezdési támogatás</v>
          </cell>
        </row>
        <row r="21">
          <cell r="A21" t="str">
            <v>05110716</v>
          </cell>
          <cell r="B21" t="str">
            <v>Önkéntes biztosító pénztárakba befizetés</v>
          </cell>
        </row>
        <row r="22">
          <cell r="A22" t="str">
            <v>05110719</v>
          </cell>
          <cell r="B22" t="str">
            <v>Egyéb béren kívüli juttatások</v>
          </cell>
        </row>
        <row r="23">
          <cell r="A23" t="str">
            <v>0511071</v>
          </cell>
          <cell r="B23" t="str">
            <v>Béren kívüli juttatások</v>
          </cell>
        </row>
        <row r="24">
          <cell r="A24" t="str">
            <v>0511081</v>
          </cell>
          <cell r="B24" t="str">
            <v>Ruházati költségtérítés</v>
          </cell>
        </row>
        <row r="25">
          <cell r="A25" t="str">
            <v>0511091</v>
          </cell>
          <cell r="B25" t="str">
            <v>Közlekedési költségtérítés</v>
          </cell>
        </row>
        <row r="26">
          <cell r="A26" t="str">
            <v>0511101</v>
          </cell>
          <cell r="B26" t="str">
            <v>Egyéb költségtérítések</v>
          </cell>
        </row>
        <row r="27">
          <cell r="A27" t="str">
            <v>05111111</v>
          </cell>
          <cell r="B27" t="str">
            <v>Albérleti díj hozzájárulás</v>
          </cell>
        </row>
        <row r="28">
          <cell r="A28" t="str">
            <v>05111112</v>
          </cell>
          <cell r="B28" t="str">
            <v>Családalapítási támogatás</v>
          </cell>
        </row>
        <row r="29">
          <cell r="A29" t="str">
            <v>0511111</v>
          </cell>
          <cell r="B29" t="str">
            <v>Lakhatási támogatások</v>
          </cell>
        </row>
        <row r="30">
          <cell r="A30" t="str">
            <v>0511121</v>
          </cell>
          <cell r="B30" t="str">
            <v>Szociális támogatások</v>
          </cell>
        </row>
        <row r="31">
          <cell r="A31" t="str">
            <v>05111311</v>
          </cell>
          <cell r="B31" t="str">
            <v>Belföldi napidíj</v>
          </cell>
        </row>
        <row r="32">
          <cell r="A32" t="str">
            <v>05111312</v>
          </cell>
          <cell r="B32" t="str">
            <v>Külföldi napidíj</v>
          </cell>
        </row>
        <row r="33">
          <cell r="A33" t="str">
            <v>05111313</v>
          </cell>
          <cell r="B33" t="str">
            <v>Biztosítási díjak</v>
          </cell>
        </row>
        <row r="34">
          <cell r="A34" t="str">
            <v>05111314</v>
          </cell>
          <cell r="B34" t="str">
            <v>Kereset-kiegészítés fedezete</v>
          </cell>
        </row>
        <row r="35">
          <cell r="A35" t="str">
            <v>05111315</v>
          </cell>
          <cell r="B35" t="str">
            <v>Munkáltatói kártérítés egyéb kiegészítések</v>
          </cell>
        </row>
        <row r="36">
          <cell r="A36" t="str">
            <v>05111319</v>
          </cell>
          <cell r="B36" t="str">
            <v>Egyéb sajátos juttatások</v>
          </cell>
        </row>
        <row r="37">
          <cell r="A37" t="str">
            <v>0511131</v>
          </cell>
          <cell r="B37" t="str">
            <v>foglalkoztatottak egyéb személyi juttatásai</v>
          </cell>
        </row>
        <row r="38">
          <cell r="A38" t="str">
            <v>0511</v>
          </cell>
          <cell r="B38" t="str">
            <v>Foglalkoztatottak személyi juttatásai</v>
          </cell>
        </row>
        <row r="39">
          <cell r="A39" t="str">
            <v>0512113</v>
          </cell>
          <cell r="B39" t="str">
            <v>Képviselők, polgármesterek juttatásai</v>
          </cell>
        </row>
        <row r="40">
          <cell r="A40" t="str">
            <v>0512119</v>
          </cell>
          <cell r="B40" t="str">
            <v>Egyéb választott tisztségviselők juttatásai</v>
          </cell>
        </row>
        <row r="41">
          <cell r="A41" t="str">
            <v>051211</v>
          </cell>
          <cell r="B41" t="str">
            <v>Választott tisztviselők juttatásai</v>
          </cell>
        </row>
        <row r="42">
          <cell r="A42" t="str">
            <v>0512211</v>
          </cell>
          <cell r="B42" t="str">
            <v>Állományba nem tartozók megbízási díja</v>
          </cell>
        </row>
        <row r="43">
          <cell r="A43" t="str">
            <v>0512212</v>
          </cell>
          <cell r="B43" t="str">
            <v>Tiszteletdíj, szerzői díj, honorárium</v>
          </cell>
        </row>
        <row r="44">
          <cell r="A44" t="str">
            <v>051221</v>
          </cell>
          <cell r="B44" t="str">
            <v>Nem saját foglalkoztatottnak fizetett juttatás</v>
          </cell>
        </row>
        <row r="45">
          <cell r="A45" t="str">
            <v>0512311</v>
          </cell>
          <cell r="B45" t="str">
            <v>Prémiumévek program résztvevőinek juttatása</v>
          </cell>
        </row>
        <row r="46">
          <cell r="A46" t="str">
            <v>0512312</v>
          </cell>
          <cell r="B46" t="str">
            <v>Egyszerűsített fogl. alá tartozó mváll. juttatásai</v>
          </cell>
        </row>
        <row r="47">
          <cell r="A47" t="str">
            <v>0512314</v>
          </cell>
          <cell r="B47" t="str">
            <v>További munkaviszonyt létesítők juttatásai</v>
          </cell>
        </row>
        <row r="48">
          <cell r="A48" t="str">
            <v>0512315</v>
          </cell>
          <cell r="B48" t="str">
            <v>Felmentett munkavállalók egyéb juttatásai</v>
          </cell>
        </row>
        <row r="49">
          <cell r="A49" t="str">
            <v>0512316</v>
          </cell>
          <cell r="B49" t="str">
            <v>Adományozott kitüntetések, díjak, pénzjutalmak</v>
          </cell>
        </row>
        <row r="50">
          <cell r="A50" t="str">
            <v>0512318</v>
          </cell>
          <cell r="B50" t="str">
            <v>Reprezentációs kiadások</v>
          </cell>
        </row>
        <row r="51">
          <cell r="A51" t="str">
            <v>0512319</v>
          </cell>
          <cell r="B51" t="str">
            <v>Egyéb külső személyi juttatások</v>
          </cell>
        </row>
        <row r="52">
          <cell r="A52" t="str">
            <v>051231</v>
          </cell>
          <cell r="B52" t="str">
            <v>Egyéb külső személyi juttatások összesen</v>
          </cell>
        </row>
        <row r="53">
          <cell r="A53" t="str">
            <v>0512</v>
          </cell>
          <cell r="B53" t="str">
            <v>Külső személyi juttatások</v>
          </cell>
        </row>
        <row r="54">
          <cell r="A54" t="str">
            <v>051</v>
          </cell>
          <cell r="B54" t="str">
            <v>Személyi juttatások összesen</v>
          </cell>
        </row>
        <row r="55">
          <cell r="A55" t="str">
            <v>05211</v>
          </cell>
          <cell r="B55" t="str">
            <v>Szociális hozzájárulási adó</v>
          </cell>
        </row>
        <row r="56">
          <cell r="A56" t="str">
            <v>05212</v>
          </cell>
          <cell r="B56" t="str">
            <v>EKHO</v>
          </cell>
        </row>
        <row r="57">
          <cell r="A57" t="str">
            <v>05213</v>
          </cell>
          <cell r="B57" t="str">
            <v>Egészségügyi hozzájárulás</v>
          </cell>
        </row>
        <row r="58">
          <cell r="A58" t="str">
            <v>05214</v>
          </cell>
          <cell r="B58" t="str">
            <v>Táppénz hozzájárulás</v>
          </cell>
        </row>
        <row r="59">
          <cell r="A59" t="str">
            <v>05215</v>
          </cell>
          <cell r="B59" t="str">
            <v>Korkedvezmény-biztosítási járulék</v>
          </cell>
        </row>
        <row r="60">
          <cell r="A60" t="str">
            <v>05216</v>
          </cell>
          <cell r="B60" t="str">
            <v>Rehabilitációs hozzájárulás</v>
          </cell>
        </row>
        <row r="61">
          <cell r="A61" t="str">
            <v>05217</v>
          </cell>
          <cell r="B61" t="str">
            <v>Munkáltatót terhelő SZJA</v>
          </cell>
        </row>
        <row r="62">
          <cell r="A62" t="str">
            <v>05219</v>
          </cell>
          <cell r="B62" t="str">
            <v>Egyéb munkaadókat terhelő járulékok</v>
          </cell>
        </row>
        <row r="63">
          <cell r="A63" t="str">
            <v>052</v>
          </cell>
          <cell r="B63" t="str">
            <v>Munkaadókat terhelő járulékok összesen</v>
          </cell>
        </row>
        <row r="64">
          <cell r="A64" t="str">
            <v>0531111</v>
          </cell>
          <cell r="B64" t="str">
            <v>Gyógyszerbeszerzés</v>
          </cell>
        </row>
        <row r="65">
          <cell r="A65" t="str">
            <v>0531112</v>
          </cell>
          <cell r="B65" t="str">
            <v>Vegyszerbeszerzés</v>
          </cell>
        </row>
        <row r="66">
          <cell r="A66" t="str">
            <v>0531113</v>
          </cell>
          <cell r="B66" t="str">
            <v>Könyvbeszerzés</v>
          </cell>
        </row>
        <row r="67">
          <cell r="A67" t="str">
            <v>0531114</v>
          </cell>
          <cell r="B67" t="str">
            <v>Folyóirat-beszerzés</v>
          </cell>
        </row>
        <row r="68">
          <cell r="A68" t="str">
            <v>0531115</v>
          </cell>
          <cell r="B68" t="str">
            <v>Egyéb információhordozó-beszerzés</v>
          </cell>
        </row>
        <row r="69">
          <cell r="A69" t="str">
            <v>0531119</v>
          </cell>
          <cell r="B69" t="str">
            <v>Egyéb szakmai anyagbeszerzés</v>
          </cell>
        </row>
        <row r="70">
          <cell r="A70" t="str">
            <v>053111</v>
          </cell>
          <cell r="B70" t="str">
            <v>Szakmai anyagok beszerzése összesen</v>
          </cell>
        </row>
        <row r="71">
          <cell r="A71" t="str">
            <v>0531211</v>
          </cell>
          <cell r="B71" t="str">
            <v>Élelmiszer-beszerzés</v>
          </cell>
        </row>
        <row r="72">
          <cell r="A72" t="str">
            <v>0531212</v>
          </cell>
          <cell r="B72" t="str">
            <v>Irodaszer-, nyomtatványbeszerzés</v>
          </cell>
        </row>
        <row r="73">
          <cell r="A73" t="str">
            <v>0531213</v>
          </cell>
          <cell r="B73" t="str">
            <v>Tüzelőanyag-beszerzés</v>
          </cell>
        </row>
        <row r="74">
          <cell r="A74" t="str">
            <v>0531214</v>
          </cell>
          <cell r="B74" t="str">
            <v>Hajtó- és kenőanyag-beszerzés</v>
          </cell>
        </row>
        <row r="75">
          <cell r="A75" t="str">
            <v>0531215</v>
          </cell>
          <cell r="B75" t="str">
            <v>Munkaruha, védőruha, formaruha, egyenruha</v>
          </cell>
        </row>
        <row r="76">
          <cell r="A76" t="str">
            <v>0531219</v>
          </cell>
          <cell r="B76" t="str">
            <v>Egyéb üzemeltetési, fenntartási anyagbeszerzés</v>
          </cell>
        </row>
        <row r="77">
          <cell r="A77" t="str">
            <v>053121</v>
          </cell>
          <cell r="B77" t="str">
            <v>Üzemeltetési anyagok beszerzése összesen</v>
          </cell>
        </row>
        <row r="78">
          <cell r="A78" t="str">
            <v>0531311</v>
          </cell>
          <cell r="B78" t="str">
            <v>Árubeszerzés</v>
          </cell>
        </row>
        <row r="79">
          <cell r="A79" t="str">
            <v>0531312</v>
          </cell>
          <cell r="B79" t="str">
            <v>Göngyölegbeszerzés</v>
          </cell>
        </row>
        <row r="80">
          <cell r="A80" t="str">
            <v>053131</v>
          </cell>
          <cell r="B80" t="str">
            <v>Árubeszerzés összesen</v>
          </cell>
        </row>
        <row r="81">
          <cell r="A81" t="str">
            <v>0531</v>
          </cell>
          <cell r="B81" t="str">
            <v>Készletbeszerzés összesen</v>
          </cell>
        </row>
        <row r="82">
          <cell r="A82" t="str">
            <v>0532111</v>
          </cell>
          <cell r="B82" t="str">
            <v>Informatika tanácsadás, üzembe helyezés</v>
          </cell>
        </row>
        <row r="83">
          <cell r="A83" t="str">
            <v>0532112</v>
          </cell>
          <cell r="B83" t="str">
            <v>Informatikai szolgáltatások</v>
          </cell>
        </row>
        <row r="84">
          <cell r="A84" t="str">
            <v>0532113</v>
          </cell>
          <cell r="B84" t="str">
            <v>Informatikai eszköz, szolg. bérlés, lízing</v>
          </cell>
        </row>
        <row r="85">
          <cell r="A85" t="str">
            <v>0532114</v>
          </cell>
          <cell r="B85" t="str">
            <v>Informatikai eszközök karbantartása</v>
          </cell>
        </row>
        <row r="86">
          <cell r="A86" t="str">
            <v>0532115</v>
          </cell>
          <cell r="B86" t="str">
            <v>Adatátviteli célú távközlési díjak</v>
          </cell>
        </row>
        <row r="87">
          <cell r="A87" t="str">
            <v>0532119</v>
          </cell>
          <cell r="B87" t="str">
            <v>Egyéb informatikai szolgáltatás</v>
          </cell>
        </row>
        <row r="88">
          <cell r="A88" t="str">
            <v>053211</v>
          </cell>
          <cell r="B88" t="str">
            <v>Informatikai szolgáltatások igénybevétele</v>
          </cell>
        </row>
        <row r="89">
          <cell r="A89" t="str">
            <v>0532211</v>
          </cell>
          <cell r="B89" t="str">
            <v>Nem adatátviteli célú távközlési díjak</v>
          </cell>
        </row>
        <row r="90">
          <cell r="A90" t="str">
            <v>0532219</v>
          </cell>
          <cell r="B90" t="str">
            <v>Egyéb kommunikációs szolgáltatások</v>
          </cell>
        </row>
        <row r="91">
          <cell r="A91" t="str">
            <v>053221</v>
          </cell>
          <cell r="B91" t="str">
            <v>Egyéb kommunilációs szolgáltatás összesen</v>
          </cell>
        </row>
        <row r="92">
          <cell r="A92" t="str">
            <v>0532</v>
          </cell>
          <cell r="B92" t="str">
            <v>Kommunikációs szolgáltatások összesen</v>
          </cell>
        </row>
        <row r="93">
          <cell r="A93" t="str">
            <v>0533111</v>
          </cell>
          <cell r="B93" t="str">
            <v>Villamosenergia-szolgáltatási díjak</v>
          </cell>
        </row>
        <row r="94">
          <cell r="A94" t="str">
            <v>0533112</v>
          </cell>
          <cell r="B94" t="str">
            <v>Gázenergia-szolgáltatási díjak</v>
          </cell>
        </row>
        <row r="95">
          <cell r="A95" t="str">
            <v>0533113</v>
          </cell>
          <cell r="B95" t="str">
            <v>Távkő- és melegvíz-szolgáltatási díjak</v>
          </cell>
        </row>
        <row r="96">
          <cell r="A96" t="str">
            <v>0533114</v>
          </cell>
          <cell r="B96" t="str">
            <v>Víz- és csatornadíjak</v>
          </cell>
        </row>
        <row r="97">
          <cell r="A97" t="str">
            <v>053311</v>
          </cell>
          <cell r="B97" t="str">
            <v>Közüzemi díjak összesen</v>
          </cell>
        </row>
        <row r="98">
          <cell r="A98" t="str">
            <v>053321</v>
          </cell>
          <cell r="B98" t="str">
            <v>Vásárolt élelmezés</v>
          </cell>
        </row>
        <row r="99">
          <cell r="A99" t="str">
            <v>0533311</v>
          </cell>
          <cell r="B99" t="str">
            <v>PPP konstrukcióhoz kapcs. szolgáltatási díjak</v>
          </cell>
        </row>
        <row r="100">
          <cell r="A100" t="str">
            <v>0533312</v>
          </cell>
          <cell r="B100" t="str">
            <v>Egyéb bérleti és lízing díjak</v>
          </cell>
        </row>
        <row r="101">
          <cell r="A101">
            <v>53331</v>
          </cell>
          <cell r="B101" t="str">
            <v>Bérleti és lízing díjak összesen</v>
          </cell>
        </row>
        <row r="102">
          <cell r="A102" t="str">
            <v>053341</v>
          </cell>
          <cell r="B102" t="str">
            <v>Karbantartási, kisjavítási szolgáltatások</v>
          </cell>
        </row>
        <row r="103">
          <cell r="A103" t="str">
            <v>0533511</v>
          </cell>
          <cell r="B103" t="str">
            <v>Államháztartáson belüli közvetített szolgáltatások</v>
          </cell>
        </row>
        <row r="104">
          <cell r="A104" t="str">
            <v>0533512</v>
          </cell>
          <cell r="B104" t="str">
            <v>Államháztartáson kívüli közvetített szolgáltatások</v>
          </cell>
        </row>
        <row r="105">
          <cell r="A105" t="str">
            <v>053351</v>
          </cell>
          <cell r="B105" t="str">
            <v>Közvetített szolgáltatások összesen</v>
          </cell>
        </row>
        <row r="106">
          <cell r="A106" t="str">
            <v>0533611</v>
          </cell>
          <cell r="B106" t="str">
            <v>Vásárolt közszolgáltatások</v>
          </cell>
        </row>
        <row r="107">
          <cell r="A107" t="str">
            <v>0533612</v>
          </cell>
          <cell r="B107" t="str">
            <v>Számlázott szellemi tevékenység</v>
          </cell>
        </row>
        <row r="108">
          <cell r="A108" t="str">
            <v>0533619</v>
          </cell>
          <cell r="B108" t="str">
            <v>Egyéb szakmai szolgáltatások</v>
          </cell>
        </row>
        <row r="109">
          <cell r="A109" t="str">
            <v>053361</v>
          </cell>
          <cell r="B109" t="str">
            <v>Szakmai tevékenységet segítő szolg összesen</v>
          </cell>
        </row>
        <row r="110">
          <cell r="A110" t="str">
            <v>0533711</v>
          </cell>
          <cell r="B110" t="str">
            <v>Biztosítási szolgáltatási díjak</v>
          </cell>
        </row>
        <row r="111">
          <cell r="A111" t="str">
            <v>0533712</v>
          </cell>
          <cell r="B111" t="str">
            <v>Pénzügyi szolgáltatási díjak</v>
          </cell>
        </row>
        <row r="112">
          <cell r="A112" t="str">
            <v>0533713</v>
          </cell>
          <cell r="B112" t="str">
            <v>Szállítási szolgáltatási díjak</v>
          </cell>
        </row>
        <row r="113">
          <cell r="A113" t="str">
            <v>0533719</v>
          </cell>
          <cell r="B113" t="str">
            <v>Egyéb üzemeltetési, fenntartási szolgáltatások</v>
          </cell>
        </row>
        <row r="114">
          <cell r="A114" t="str">
            <v>053371</v>
          </cell>
          <cell r="B114" t="str">
            <v>Egyéb szolgáltatások összesen</v>
          </cell>
        </row>
        <row r="115">
          <cell r="A115" t="str">
            <v>0533</v>
          </cell>
          <cell r="B115" t="str">
            <v>Szolgáltatási kiadások összesen</v>
          </cell>
        </row>
        <row r="116">
          <cell r="A116" t="str">
            <v>0534111</v>
          </cell>
          <cell r="B116" t="str">
            <v>Belföldi kiküldetések kiadásai</v>
          </cell>
        </row>
        <row r="117">
          <cell r="A117" t="str">
            <v>0534112</v>
          </cell>
          <cell r="B117" t="str">
            <v>Külföldi kiküldetések kiadásai</v>
          </cell>
        </row>
        <row r="118">
          <cell r="A118" t="str">
            <v>053411</v>
          </cell>
          <cell r="B118" t="str">
            <v>Kiküldetések kiadásai összesen</v>
          </cell>
        </row>
        <row r="119">
          <cell r="A119" t="str">
            <v>053421</v>
          </cell>
          <cell r="B119" t="str">
            <v>Reklám- és propagandakiadások</v>
          </cell>
        </row>
        <row r="120">
          <cell r="A120" t="str">
            <v>0534</v>
          </cell>
          <cell r="B120" t="str">
            <v>Kiküldetés, reklám, propaganda összesen</v>
          </cell>
        </row>
        <row r="121">
          <cell r="A121" t="str">
            <v>0535111</v>
          </cell>
          <cell r="B121" t="str">
            <v>Működési célú felszámított, levonható ÁFA</v>
          </cell>
        </row>
        <row r="122">
          <cell r="A122" t="str">
            <v>0535112</v>
          </cell>
          <cell r="B122" t="str">
            <v>Működési célú felszámított le nem vonható ÁFA</v>
          </cell>
        </row>
        <row r="123">
          <cell r="A123" t="str">
            <v>053511</v>
          </cell>
          <cell r="B123" t="str">
            <v>Működési célú áfa összesen</v>
          </cell>
        </row>
        <row r="124">
          <cell r="A124" t="str">
            <v>0535211</v>
          </cell>
          <cell r="B124" t="str">
            <v>ÁFA befizetés</v>
          </cell>
        </row>
        <row r="125">
          <cell r="A125" t="str">
            <v>0535212</v>
          </cell>
          <cell r="B125" t="str">
            <v>Ért tárgyi eszk. Immat. javak egyenes ÁFA befiz</v>
          </cell>
        </row>
        <row r="126">
          <cell r="A126" t="str">
            <v>0535213</v>
          </cell>
          <cell r="B126" t="str">
            <v>Fordított ÁFA befizetés</v>
          </cell>
        </row>
        <row r="127">
          <cell r="A127" t="str">
            <v>053521</v>
          </cell>
          <cell r="B127" t="str">
            <v>Fizetendő áfa összesen</v>
          </cell>
        </row>
        <row r="128">
          <cell r="A128" t="str">
            <v>05353119</v>
          </cell>
          <cell r="B128" t="str">
            <v>Államháztartáson belüli egyéb kamat</v>
          </cell>
        </row>
        <row r="129">
          <cell r="A129" t="str">
            <v>05353122</v>
          </cell>
          <cell r="B129" t="str">
            <v>Hitelek kamatai</v>
          </cell>
        </row>
        <row r="130">
          <cell r="A130" t="str">
            <v>05353123</v>
          </cell>
          <cell r="B130" t="str">
            <v>Pénzügyi lízing kiadások</v>
          </cell>
        </row>
        <row r="131">
          <cell r="A131" t="str">
            <v>05353129</v>
          </cell>
          <cell r="B131" t="str">
            <v>Államháztartáson kívüli egyéb kamatok</v>
          </cell>
        </row>
        <row r="132">
          <cell r="A132" t="str">
            <v>053531</v>
          </cell>
          <cell r="B132" t="str">
            <v>Kamatkiadások</v>
          </cell>
        </row>
        <row r="133">
          <cell r="A133" t="str">
            <v>0535411</v>
          </cell>
          <cell r="B133" t="str">
            <v>Árfolyamveszteség</v>
          </cell>
        </row>
        <row r="134">
          <cell r="A134" t="str">
            <v>0535419</v>
          </cell>
          <cell r="B134" t="str">
            <v>Egyéb különféle pénzügyi műveletek kiadásai</v>
          </cell>
        </row>
        <row r="135">
          <cell r="A135" t="str">
            <v>053541</v>
          </cell>
          <cell r="B135" t="str">
            <v>Egyéb pénzügyi műveletek kiadásai</v>
          </cell>
        </row>
        <row r="136">
          <cell r="A136" t="str">
            <v>0535511</v>
          </cell>
          <cell r="B136" t="str">
            <v>Adók, adójellegű befizetések</v>
          </cell>
        </row>
        <row r="137">
          <cell r="A137" t="str">
            <v>0535512</v>
          </cell>
          <cell r="B137" t="str">
            <v>Díjak, egyéb befizetések</v>
          </cell>
        </row>
        <row r="138">
          <cell r="A138" t="str">
            <v>0535513</v>
          </cell>
          <cell r="B138" t="str">
            <v>Késedelmi kamat, kötbér, egyéb kártérítés</v>
          </cell>
        </row>
        <row r="139">
          <cell r="A139" t="str">
            <v>0535519</v>
          </cell>
          <cell r="B139" t="str">
            <v>Egyéb különféle dologi kiadások</v>
          </cell>
        </row>
        <row r="140">
          <cell r="A140" t="str">
            <v>053551</v>
          </cell>
          <cell r="B140" t="str">
            <v>Egyéb dologi kiadások</v>
          </cell>
        </row>
        <row r="141">
          <cell r="A141" t="str">
            <v>0535</v>
          </cell>
          <cell r="B141" t="str">
            <v>Különféle befizetések, egyéb dologi kiadások</v>
          </cell>
        </row>
        <row r="142">
          <cell r="A142" t="str">
            <v>053</v>
          </cell>
          <cell r="B142" t="str">
            <v>Dologi kiadások összesen</v>
          </cell>
        </row>
        <row r="143">
          <cell r="A143">
            <v>0</v>
          </cell>
          <cell r="B143" t="str">
            <v>Működési kiadások összesen</v>
          </cell>
        </row>
        <row r="144">
          <cell r="A144" t="str">
            <v>056311</v>
          </cell>
          <cell r="B144" t="str">
            <v>Informatikai eszköz beszerzés</v>
          </cell>
        </row>
        <row r="145">
          <cell r="A145" t="str">
            <v>056411</v>
          </cell>
          <cell r="B145" t="str">
            <v>Egyéb eszköz beszerzés</v>
          </cell>
        </row>
        <row r="146">
          <cell r="A146" t="str">
            <v>056415</v>
          </cell>
          <cell r="B146" t="str">
            <v>Jármű beszerzés</v>
          </cell>
        </row>
        <row r="147">
          <cell r="A147" t="str">
            <v>05671</v>
          </cell>
          <cell r="B147" t="str">
            <v>Beruházás le nem vonható ÁFA</v>
          </cell>
        </row>
        <row r="148">
          <cell r="A148" t="str">
            <v>056</v>
          </cell>
          <cell r="B148" t="str">
            <v>Beruházások összesen</v>
          </cell>
        </row>
        <row r="149">
          <cell r="A149" t="str">
            <v>057211</v>
          </cell>
          <cell r="B149" t="str">
            <v>Informatikai eszköz felújítása</v>
          </cell>
        </row>
        <row r="150">
          <cell r="A150" t="str">
            <v>057311</v>
          </cell>
          <cell r="B150" t="str">
            <v>Egyéb eszköz felújítása</v>
          </cell>
        </row>
        <row r="151">
          <cell r="A151" t="str">
            <v>057315</v>
          </cell>
          <cell r="B151" t="str">
            <v>Jármű felújítása</v>
          </cell>
        </row>
        <row r="152">
          <cell r="A152" t="str">
            <v>05741</v>
          </cell>
          <cell r="B152" t="str">
            <v>Felújítás le nem vonfható ÁFA</v>
          </cell>
        </row>
        <row r="153">
          <cell r="A153" t="str">
            <v>057</v>
          </cell>
          <cell r="B153" t="str">
            <v>Felújítások összesen</v>
          </cell>
        </row>
        <row r="154">
          <cell r="A154">
            <v>0</v>
          </cell>
          <cell r="B154" t="str">
            <v>Felhalmozási kiadások összesen</v>
          </cell>
        </row>
        <row r="155">
          <cell r="A155">
            <v>0</v>
          </cell>
          <cell r="B155" t="str">
            <v>Kiadások mindösszesen</v>
          </cell>
        </row>
        <row r="157">
          <cell r="A157" t="str">
            <v>I.</v>
          </cell>
          <cell r="B157" t="str">
            <v>MŰKÖDÉSI KÖLTSÉGVETÉSI BEVÉTELEK</v>
          </cell>
        </row>
        <row r="158">
          <cell r="A158" t="str">
            <v>1.</v>
          </cell>
          <cell r="B158" t="str">
            <v>Működési célú támogatások államháztartáson belülről</v>
          </cell>
        </row>
        <row r="159">
          <cell r="A159">
            <v>0</v>
          </cell>
          <cell r="B159" t="str">
            <v>1.1. Egyéb működési célú támogatások bevételei államháztartáson belülről</v>
          </cell>
        </row>
        <row r="160">
          <cell r="A160" t="str">
            <v>1.</v>
          </cell>
          <cell r="B160" t="str">
            <v>Működési bevételek</v>
          </cell>
        </row>
        <row r="161">
          <cell r="A161">
            <v>0</v>
          </cell>
          <cell r="B161" t="str">
            <v>1.1. Készletértékesítés bevétele</v>
          </cell>
        </row>
        <row r="162">
          <cell r="A162">
            <v>0</v>
          </cell>
          <cell r="B162" t="str">
            <v>1.2. Szolgáltatások ellenértéke</v>
          </cell>
        </row>
        <row r="163">
          <cell r="A163">
            <v>0</v>
          </cell>
          <cell r="B163" t="str">
            <v>1.3. Tulajdonosi bevételek</v>
          </cell>
        </row>
        <row r="164">
          <cell r="A164">
            <v>0</v>
          </cell>
          <cell r="B164" t="str">
            <v>Egyéb bérleti díj</v>
          </cell>
        </row>
        <row r="165">
          <cell r="A165">
            <v>0</v>
          </cell>
          <cell r="B165" t="str">
            <v>1.4. Ellátási díjak</v>
          </cell>
        </row>
        <row r="166">
          <cell r="A166">
            <v>0</v>
          </cell>
          <cell r="B166" t="str">
            <v>1.5. Kiszámlázott általános forgalmi adó</v>
          </cell>
        </row>
        <row r="167">
          <cell r="A167">
            <v>0</v>
          </cell>
          <cell r="B167" t="str">
            <v>1.6. Általános forgalmi adó visszatérítése</v>
          </cell>
        </row>
        <row r="168">
          <cell r="A168">
            <v>0</v>
          </cell>
          <cell r="B168" t="str">
            <v>1.7. Kamatbevételek</v>
          </cell>
        </row>
        <row r="169">
          <cell r="A169">
            <v>0</v>
          </cell>
          <cell r="B169" t="str">
            <v>1.8. Egyéb működési bevételek</v>
          </cell>
        </row>
        <row r="170">
          <cell r="A170" t="str">
            <v>3.</v>
          </cell>
          <cell r="B170" t="str">
            <v>Működési célú átvett pénzeszközök</v>
          </cell>
        </row>
        <row r="171">
          <cell r="A171">
            <v>0</v>
          </cell>
          <cell r="B171" t="str">
            <v>3.1. Egyéb működési célú átvett pénzeszközök</v>
          </cell>
        </row>
      </sheetData>
      <sheetData sheetId="37"/>
      <sheetData sheetId="3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ntroll"/>
      <sheetName val="0.Mérleg"/>
      <sheetName val="1A. Fő bev"/>
      <sheetName val="1B. Fő kiad"/>
      <sheetName val="1C Bev kiad fel"/>
      <sheetName val="2A Önk bev"/>
      <sheetName val="2B Önk kiad"/>
      <sheetName val="2C Önk bev kiad fel"/>
      <sheetName val="2D Céltartalék"/>
      <sheetName val="3A PH"/>
      <sheetName val="3B PH fel"/>
      <sheetName val="4A. VG bev kiad"/>
      <sheetName val="4B VG fel"/>
      <sheetName val="5A Walla"/>
      <sheetName val="5B Nyitnikék"/>
      <sheetName val="5C Bóbita"/>
      <sheetName val="5D MMMH"/>
      <sheetName val="5E Könyvtár"/>
      <sheetName val="5F Segítő Kéz"/>
      <sheetName val="5G GSZNR fel"/>
      <sheetName val="6. létszámkeret"/>
      <sheetName val="7. beruházás"/>
      <sheetName val="8. felújítás"/>
      <sheetName val="9. hitelállomány"/>
      <sheetName val="9. stab tv"/>
      <sheetName val="10. Uniós tám"/>
      <sheetName val="11. címrend"/>
      <sheetName val="SKSZ"/>
      <sheetName val="ph"/>
      <sheetName val="ÖK kiad"/>
      <sheetName val="VG"/>
      <sheetName val="Volf"/>
      <sheetName val="MMMH"/>
      <sheetName val="MMMH reszletes"/>
      <sheetName val="MMMH dologi"/>
      <sheetName val="MMMH bevetel"/>
      <sheetName val="Bóbita"/>
      <sheetName val="Nyitnikék"/>
      <sheetName val="Wall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>
        <row r="1">
          <cell r="A1" t="str">
            <v>Főkönyvi szám</v>
          </cell>
          <cell r="B1" t="str">
            <v>Megnevezés</v>
          </cell>
          <cell r="C1" t="str">
            <v>2015. évi előirányzat</v>
          </cell>
          <cell r="D1" t="str">
            <v>Óvodai étkeztetés 562912</v>
          </cell>
          <cell r="E1" t="str">
            <v>Óvodai nevelés 851011</v>
          </cell>
          <cell r="F1" t="str">
            <v>Közfoglal-koztatás</v>
          </cell>
        </row>
        <row r="2">
          <cell r="A2" t="str">
            <v>05110111</v>
          </cell>
          <cell r="B2" t="str">
            <v>Alapilletmények</v>
          </cell>
        </row>
        <row r="3">
          <cell r="A3" t="str">
            <v>05110112</v>
          </cell>
          <cell r="B3" t="str">
            <v>Illetménykiegészítések</v>
          </cell>
        </row>
        <row r="4">
          <cell r="A4" t="str">
            <v>05110113</v>
          </cell>
          <cell r="B4" t="str">
            <v>Nyelvpótlékok</v>
          </cell>
        </row>
        <row r="5">
          <cell r="A5" t="str">
            <v>05110114</v>
          </cell>
          <cell r="B5" t="str">
            <v>Egyéb kötelező pótlékok</v>
          </cell>
        </row>
        <row r="6">
          <cell r="A6" t="str">
            <v>05110115</v>
          </cell>
          <cell r="B6" t="str">
            <v>Egyéb feltételektől függő pótlékok és juttatások</v>
          </cell>
        </row>
        <row r="7">
          <cell r="A7" t="str">
            <v>05110119</v>
          </cell>
          <cell r="B7" t="str">
            <v>Egyéb juttatások</v>
          </cell>
        </row>
        <row r="8">
          <cell r="A8" t="str">
            <v>0511011</v>
          </cell>
          <cell r="B8" t="str">
            <v>Törvény szerinti illetmények, munkabérek</v>
          </cell>
        </row>
        <row r="9">
          <cell r="A9" t="str">
            <v>0511021</v>
          </cell>
          <cell r="B9" t="str">
            <v>Normatív jutalmak</v>
          </cell>
        </row>
        <row r="10">
          <cell r="A10" t="str">
            <v>0511031</v>
          </cell>
          <cell r="B10" t="str">
            <v>Céljuttatás, projektprémium</v>
          </cell>
        </row>
        <row r="11">
          <cell r="A11" t="str">
            <v>05110411</v>
          </cell>
          <cell r="B11" t="str">
            <v>Készenléti, ügyeleti, helyettesítési díj</v>
          </cell>
        </row>
        <row r="12">
          <cell r="A12" t="str">
            <v>05110412</v>
          </cell>
          <cell r="B12" t="str">
            <v>Túlóra, túlszolgálat</v>
          </cell>
        </row>
        <row r="13">
          <cell r="A13" t="str">
            <v>0511041</v>
          </cell>
          <cell r="B13" t="str">
            <v>Készenlét, ügyelet, helyettesítés, túlóra</v>
          </cell>
        </row>
        <row r="14">
          <cell r="A14" t="str">
            <v>0511051</v>
          </cell>
          <cell r="B14" t="str">
            <v>Végkielégítés</v>
          </cell>
        </row>
        <row r="15">
          <cell r="A15" t="str">
            <v>0511061</v>
          </cell>
          <cell r="B15" t="str">
            <v>Jubileumi jutalom</v>
          </cell>
        </row>
        <row r="16">
          <cell r="A16" t="str">
            <v>05110711</v>
          </cell>
          <cell r="B16" t="str">
            <v>Étkezési hozzájárulás</v>
          </cell>
        </row>
        <row r="17">
          <cell r="A17" t="str">
            <v>05110712</v>
          </cell>
          <cell r="B17" t="str">
            <v>Üdülési hozzájárulás</v>
          </cell>
        </row>
        <row r="18">
          <cell r="A18" t="str">
            <v>05110713</v>
          </cell>
          <cell r="B18" t="str">
            <v>Erzsébet-utalvány kiadásai</v>
          </cell>
        </row>
        <row r="19">
          <cell r="A19" t="str">
            <v>05110714</v>
          </cell>
          <cell r="B19" t="str">
            <v>Széchenyi Pihenő Kártya kiadásai</v>
          </cell>
        </row>
        <row r="20">
          <cell r="A20" t="str">
            <v>05110715</v>
          </cell>
          <cell r="B20" t="str">
            <v>Iskolakezdési támogatás</v>
          </cell>
        </row>
        <row r="21">
          <cell r="A21" t="str">
            <v>05110716</v>
          </cell>
          <cell r="B21" t="str">
            <v>Önkéntes biztosító pénztárakba befizetés</v>
          </cell>
        </row>
        <row r="22">
          <cell r="A22" t="str">
            <v>05110719</v>
          </cell>
          <cell r="B22" t="str">
            <v>Egyéb béren kívüli juttatások</v>
          </cell>
        </row>
        <row r="23">
          <cell r="A23" t="str">
            <v>0511071</v>
          </cell>
          <cell r="B23" t="str">
            <v>Béren kívüli juttatások</v>
          </cell>
        </row>
        <row r="24">
          <cell r="A24" t="str">
            <v>0511081</v>
          </cell>
          <cell r="B24" t="str">
            <v>Ruházati költségtérítés</v>
          </cell>
        </row>
        <row r="25">
          <cell r="A25" t="str">
            <v>0511091</v>
          </cell>
          <cell r="B25" t="str">
            <v>Közlekedési költségtérítés</v>
          </cell>
        </row>
        <row r="26">
          <cell r="A26" t="str">
            <v>0511101</v>
          </cell>
          <cell r="B26" t="str">
            <v>Egyéb költségtérítések</v>
          </cell>
        </row>
        <row r="27">
          <cell r="A27" t="str">
            <v>05111111</v>
          </cell>
          <cell r="B27" t="str">
            <v>Albérleti díj hozzájárulás</v>
          </cell>
        </row>
        <row r="28">
          <cell r="A28" t="str">
            <v>05111112</v>
          </cell>
          <cell r="B28" t="str">
            <v>Családalapítási támogatás</v>
          </cell>
        </row>
        <row r="29">
          <cell r="A29" t="str">
            <v>0511111</v>
          </cell>
          <cell r="B29" t="str">
            <v>Lakhatási támogatások</v>
          </cell>
        </row>
        <row r="30">
          <cell r="A30" t="str">
            <v>0511121</v>
          </cell>
          <cell r="B30" t="str">
            <v>Szociális támogatások</v>
          </cell>
        </row>
        <row r="31">
          <cell r="A31" t="str">
            <v>05111311</v>
          </cell>
          <cell r="B31" t="str">
            <v>Belföldi napidíj</v>
          </cell>
        </row>
        <row r="32">
          <cell r="A32" t="str">
            <v>05111312</v>
          </cell>
          <cell r="B32" t="str">
            <v>Külföldi napidíj</v>
          </cell>
        </row>
        <row r="33">
          <cell r="A33" t="str">
            <v>05111313</v>
          </cell>
          <cell r="B33" t="str">
            <v>Biztosítási díjak</v>
          </cell>
        </row>
        <row r="34">
          <cell r="A34" t="str">
            <v>05111314</v>
          </cell>
          <cell r="B34" t="str">
            <v>Kereset-kiegészítés fedezete</v>
          </cell>
        </row>
        <row r="35">
          <cell r="A35" t="str">
            <v>05111315</v>
          </cell>
          <cell r="B35" t="str">
            <v>Munkáltatói kártérítés egyéb kiegészítések</v>
          </cell>
        </row>
        <row r="36">
          <cell r="A36" t="str">
            <v>05111319</v>
          </cell>
          <cell r="B36" t="str">
            <v>Egyéb sajátos juttatások</v>
          </cell>
        </row>
        <row r="37">
          <cell r="A37" t="str">
            <v>0511131</v>
          </cell>
          <cell r="B37" t="str">
            <v>foglalkoztatottak egyéb személyi juttatásai</v>
          </cell>
        </row>
        <row r="38">
          <cell r="A38" t="str">
            <v>0511</v>
          </cell>
          <cell r="B38" t="str">
            <v>Foglalkoztatottak személyi juttatásai</v>
          </cell>
        </row>
        <row r="39">
          <cell r="A39" t="str">
            <v>0512113</v>
          </cell>
          <cell r="B39" t="str">
            <v>Képviselők, polgármesterek juttatásai</v>
          </cell>
        </row>
        <row r="40">
          <cell r="A40" t="str">
            <v>0512119</v>
          </cell>
          <cell r="B40" t="str">
            <v>Egyéb választott tisztségviselők juttatásai</v>
          </cell>
        </row>
        <row r="41">
          <cell r="A41" t="str">
            <v>051211</v>
          </cell>
          <cell r="B41" t="str">
            <v>Választott tisztviselők juttatásai</v>
          </cell>
        </row>
        <row r="42">
          <cell r="A42" t="str">
            <v>0512211</v>
          </cell>
          <cell r="B42" t="str">
            <v>Állományba nem tartozók megbízási díja</v>
          </cell>
        </row>
        <row r="43">
          <cell r="A43" t="str">
            <v>0512212</v>
          </cell>
          <cell r="B43" t="str">
            <v>Tiszteletdíj, szerzői díj, honorárium</v>
          </cell>
        </row>
        <row r="44">
          <cell r="A44" t="str">
            <v>051221</v>
          </cell>
          <cell r="B44" t="str">
            <v>Nem saját foglalkoztatottnak fizetett juttatás</v>
          </cell>
        </row>
        <row r="45">
          <cell r="A45" t="str">
            <v>0512311</v>
          </cell>
          <cell r="B45" t="str">
            <v>Prémiumévek program résztvevőinek juttatása</v>
          </cell>
        </row>
        <row r="46">
          <cell r="A46" t="str">
            <v>0512312</v>
          </cell>
          <cell r="B46" t="str">
            <v>Egyszerűsített fogl. alá tartozó mváll. juttatásai</v>
          </cell>
        </row>
        <row r="47">
          <cell r="A47" t="str">
            <v>0512314</v>
          </cell>
          <cell r="B47" t="str">
            <v>További munkaviszonyt létesítők juttatásai</v>
          </cell>
        </row>
        <row r="48">
          <cell r="A48" t="str">
            <v>0512315</v>
          </cell>
          <cell r="B48" t="str">
            <v>Felmentett munkavállalók egyéb juttatásai</v>
          </cell>
        </row>
        <row r="49">
          <cell r="A49" t="str">
            <v>0512316</v>
          </cell>
          <cell r="B49" t="str">
            <v>Adományozott kitüntetések, díjak, pénzjutalmak</v>
          </cell>
        </row>
        <row r="50">
          <cell r="A50" t="str">
            <v>0512318</v>
          </cell>
          <cell r="B50" t="str">
            <v>Reprezentációs kiadások</v>
          </cell>
        </row>
        <row r="51">
          <cell r="A51" t="str">
            <v>0512319</v>
          </cell>
          <cell r="B51" t="str">
            <v>Egyéb külső személyi juttatások</v>
          </cell>
        </row>
        <row r="52">
          <cell r="A52" t="str">
            <v>051231</v>
          </cell>
          <cell r="B52" t="str">
            <v>Egyéb külső személyi juttatások összesen</v>
          </cell>
        </row>
        <row r="53">
          <cell r="A53" t="str">
            <v>0512</v>
          </cell>
          <cell r="B53" t="str">
            <v>Külső személyi juttatások</v>
          </cell>
        </row>
        <row r="54">
          <cell r="A54" t="str">
            <v>051</v>
          </cell>
          <cell r="B54" t="str">
            <v>Személyi juttatások összesen</v>
          </cell>
        </row>
        <row r="55">
          <cell r="A55" t="str">
            <v>05211</v>
          </cell>
          <cell r="B55" t="str">
            <v>Szociális hozzájárulási adó</v>
          </cell>
        </row>
        <row r="56">
          <cell r="A56" t="str">
            <v>05212</v>
          </cell>
          <cell r="B56" t="str">
            <v>EKHO</v>
          </cell>
        </row>
        <row r="57">
          <cell r="A57" t="str">
            <v>05213</v>
          </cell>
          <cell r="B57" t="str">
            <v>Egészségügyi hozzájárulás</v>
          </cell>
        </row>
        <row r="58">
          <cell r="A58" t="str">
            <v>05214</v>
          </cell>
          <cell r="B58" t="str">
            <v>Táppénz hozzájárulás</v>
          </cell>
        </row>
        <row r="59">
          <cell r="A59" t="str">
            <v>05215</v>
          </cell>
          <cell r="B59" t="str">
            <v>Korkedvezmény-biztosítási járulék</v>
          </cell>
        </row>
        <row r="60">
          <cell r="A60" t="str">
            <v>05216</v>
          </cell>
          <cell r="B60" t="str">
            <v>Rehabilitációs hozzájárulás</v>
          </cell>
        </row>
        <row r="61">
          <cell r="A61" t="str">
            <v>05217</v>
          </cell>
          <cell r="B61" t="str">
            <v>Munkáltatót terhelő SZJA</v>
          </cell>
        </row>
        <row r="62">
          <cell r="A62" t="str">
            <v>05219</v>
          </cell>
          <cell r="B62" t="str">
            <v>Egyéb munkaadókat terhelő járulékok</v>
          </cell>
        </row>
        <row r="63">
          <cell r="A63" t="str">
            <v>052</v>
          </cell>
          <cell r="B63" t="str">
            <v>Munkaadókat terhelő járulékok összesen</v>
          </cell>
        </row>
        <row r="64">
          <cell r="A64" t="str">
            <v>0531111</v>
          </cell>
          <cell r="B64" t="str">
            <v>Gyógyszerbeszerzés</v>
          </cell>
        </row>
        <row r="65">
          <cell r="A65" t="str">
            <v>0531112</v>
          </cell>
          <cell r="B65" t="str">
            <v>Vegyszerbeszerzés</v>
          </cell>
        </row>
        <row r="66">
          <cell r="A66" t="str">
            <v>0531113</v>
          </cell>
          <cell r="B66" t="str">
            <v>Könyvbeszerzés</v>
          </cell>
        </row>
        <row r="67">
          <cell r="A67" t="str">
            <v>0531114</v>
          </cell>
          <cell r="B67" t="str">
            <v>Folyóirat-beszerzés</v>
          </cell>
        </row>
        <row r="68">
          <cell r="A68" t="str">
            <v>0531115</v>
          </cell>
          <cell r="B68" t="str">
            <v>Egyéb információhordozó-beszerzés</v>
          </cell>
        </row>
        <row r="69">
          <cell r="A69" t="str">
            <v>0531119</v>
          </cell>
          <cell r="B69" t="str">
            <v>Egyéb szakmai anyagbeszerzés</v>
          </cell>
        </row>
        <row r="70">
          <cell r="A70" t="str">
            <v>053111</v>
          </cell>
          <cell r="B70" t="str">
            <v>Szakmai anyagok beszerzése összesen</v>
          </cell>
        </row>
        <row r="71">
          <cell r="A71" t="str">
            <v>0531211</v>
          </cell>
          <cell r="B71" t="str">
            <v>Élelmiszer-beszerzés</v>
          </cell>
        </row>
        <row r="72">
          <cell r="A72" t="str">
            <v>0531212</v>
          </cell>
          <cell r="B72" t="str">
            <v>Irodaszer-, nyomtatványbeszerzés</v>
          </cell>
        </row>
        <row r="73">
          <cell r="A73" t="str">
            <v>0531213</v>
          </cell>
          <cell r="B73" t="str">
            <v>Tüzelőanyag-beszerzés</v>
          </cell>
        </row>
        <row r="74">
          <cell r="A74" t="str">
            <v>0531214</v>
          </cell>
          <cell r="B74" t="str">
            <v>Hajtó- és kenőanyag-beszerzés</v>
          </cell>
        </row>
        <row r="75">
          <cell r="A75" t="str">
            <v>0531215</v>
          </cell>
          <cell r="B75" t="str">
            <v>Munkaruha, védőruha, formaruha, egyenruha</v>
          </cell>
        </row>
        <row r="76">
          <cell r="A76" t="str">
            <v>0531219</v>
          </cell>
          <cell r="B76" t="str">
            <v>Egyéb üzemeltetési, fenntartási anyagbeszerzés</v>
          </cell>
        </row>
        <row r="77">
          <cell r="A77" t="str">
            <v>053121</v>
          </cell>
          <cell r="B77" t="str">
            <v>Üzemeltetési anyagok beszerzése összesen</v>
          </cell>
        </row>
        <row r="78">
          <cell r="A78" t="str">
            <v>0531311</v>
          </cell>
          <cell r="B78" t="str">
            <v>Árubeszerzés</v>
          </cell>
        </row>
        <row r="79">
          <cell r="A79" t="str">
            <v>0531312</v>
          </cell>
          <cell r="B79" t="str">
            <v>Göngyölegbeszerzés</v>
          </cell>
        </row>
        <row r="80">
          <cell r="A80" t="str">
            <v>053131</v>
          </cell>
          <cell r="B80" t="str">
            <v>Árubeszerzés összesen</v>
          </cell>
        </row>
        <row r="81">
          <cell r="A81" t="str">
            <v>0531</v>
          </cell>
          <cell r="B81" t="str">
            <v>Készletbeszerzés összesen</v>
          </cell>
        </row>
        <row r="82">
          <cell r="A82" t="str">
            <v>0532111</v>
          </cell>
          <cell r="B82" t="str">
            <v>Informatika tanácsadás, üzembe helyezés</v>
          </cell>
        </row>
        <row r="83">
          <cell r="A83" t="str">
            <v>0532112</v>
          </cell>
          <cell r="B83" t="str">
            <v>Informatikai szolgáltatások</v>
          </cell>
        </row>
        <row r="84">
          <cell r="A84" t="str">
            <v>0532113</v>
          </cell>
          <cell r="B84" t="str">
            <v>Informatikai eszköz, szolg. bérlés, lízing</v>
          </cell>
        </row>
        <row r="85">
          <cell r="A85" t="str">
            <v>0532114</v>
          </cell>
          <cell r="B85" t="str">
            <v>Informatikai eszközök karbantartása</v>
          </cell>
        </row>
        <row r="86">
          <cell r="A86" t="str">
            <v>0532115</v>
          </cell>
          <cell r="B86" t="str">
            <v>Adatátviteli célú távközlési díjak</v>
          </cell>
        </row>
        <row r="87">
          <cell r="A87" t="str">
            <v>0532119</v>
          </cell>
          <cell r="B87" t="str">
            <v>Egyéb informatikai szolgáltatás</v>
          </cell>
        </row>
        <row r="88">
          <cell r="A88" t="str">
            <v>053211</v>
          </cell>
          <cell r="B88" t="str">
            <v>Informatikai szolgáltatások igénybevétele</v>
          </cell>
        </row>
        <row r="89">
          <cell r="A89" t="str">
            <v>0532211</v>
          </cell>
          <cell r="B89" t="str">
            <v>Nem adatátviteli célú távközlési díjak</v>
          </cell>
        </row>
        <row r="90">
          <cell r="A90" t="str">
            <v>0532219</v>
          </cell>
          <cell r="B90" t="str">
            <v>Egyéb kommunikációs szolgáltatások</v>
          </cell>
        </row>
        <row r="91">
          <cell r="A91" t="str">
            <v>053221</v>
          </cell>
          <cell r="B91" t="str">
            <v>Egyéb kommunilációs szolgáltatás összesen</v>
          </cell>
        </row>
        <row r="92">
          <cell r="A92" t="str">
            <v>0532</v>
          </cell>
          <cell r="B92" t="str">
            <v>Kommunikációs szolgáltatások összesen</v>
          </cell>
        </row>
        <row r="93">
          <cell r="A93" t="str">
            <v>0533111</v>
          </cell>
          <cell r="B93" t="str">
            <v>Villamosenergia-szolgáltatási díjak</v>
          </cell>
        </row>
        <row r="94">
          <cell r="A94" t="str">
            <v>0533112</v>
          </cell>
          <cell r="B94" t="str">
            <v>Gázenergia-szolgáltatási díjak</v>
          </cell>
        </row>
        <row r="95">
          <cell r="A95" t="str">
            <v>0533113</v>
          </cell>
          <cell r="B95" t="str">
            <v>Távkő- és melegvíz-szolgáltatási díjak</v>
          </cell>
        </row>
        <row r="96">
          <cell r="A96" t="str">
            <v>0533114</v>
          </cell>
          <cell r="B96" t="str">
            <v>Víz- és csatornadíjak</v>
          </cell>
        </row>
        <row r="97">
          <cell r="A97" t="str">
            <v>053311</v>
          </cell>
          <cell r="B97" t="str">
            <v>Közüzemi díjak összesen</v>
          </cell>
        </row>
        <row r="98">
          <cell r="A98" t="str">
            <v>053321</v>
          </cell>
          <cell r="B98" t="str">
            <v>Vásárolt élelmezés</v>
          </cell>
        </row>
        <row r="99">
          <cell r="A99" t="str">
            <v>0533311</v>
          </cell>
          <cell r="B99" t="str">
            <v>PPP konstrukcióhoz kapcs. szolgáltatási díjak</v>
          </cell>
        </row>
        <row r="100">
          <cell r="A100" t="str">
            <v>0533312</v>
          </cell>
          <cell r="B100" t="str">
            <v>Egyéb bérleti és lízing díjak</v>
          </cell>
        </row>
        <row r="101">
          <cell r="A101">
            <v>53331</v>
          </cell>
          <cell r="B101" t="str">
            <v>Bérleti és lízing díjak összesen</v>
          </cell>
        </row>
        <row r="102">
          <cell r="A102" t="str">
            <v>053341</v>
          </cell>
          <cell r="B102" t="str">
            <v>Karbantartási, kisjavítási szolgáltatások</v>
          </cell>
        </row>
        <row r="103">
          <cell r="A103" t="str">
            <v>0533511</v>
          </cell>
          <cell r="B103" t="str">
            <v>Államháztartáson belüli közvetített szolgáltatások</v>
          </cell>
        </row>
        <row r="104">
          <cell r="A104" t="str">
            <v>0533512</v>
          </cell>
          <cell r="B104" t="str">
            <v>Államháztartáson kívüli közvetített szolgáltatások</v>
          </cell>
        </row>
        <row r="105">
          <cell r="A105" t="str">
            <v>053351</v>
          </cell>
          <cell r="B105" t="str">
            <v>Közvetített szolgáltatások összesen</v>
          </cell>
        </row>
        <row r="106">
          <cell r="A106" t="str">
            <v>0533611</v>
          </cell>
          <cell r="B106" t="str">
            <v>Vásárolt közszolgáltatások</v>
          </cell>
        </row>
        <row r="107">
          <cell r="A107" t="str">
            <v>0533612</v>
          </cell>
          <cell r="B107" t="str">
            <v>Számlázott szellemi tevékenység</v>
          </cell>
        </row>
        <row r="108">
          <cell r="A108" t="str">
            <v>0533619</v>
          </cell>
          <cell r="B108" t="str">
            <v>Egyéb szakmai szolgáltatások</v>
          </cell>
        </row>
        <row r="109">
          <cell r="A109" t="str">
            <v>053361</v>
          </cell>
          <cell r="B109" t="str">
            <v>Szakmai tevékenységet segítő szolg összesen</v>
          </cell>
        </row>
        <row r="110">
          <cell r="A110" t="str">
            <v>0533711</v>
          </cell>
          <cell r="B110" t="str">
            <v>Biztosítási szolgáltatási díjak</v>
          </cell>
        </row>
        <row r="111">
          <cell r="A111" t="str">
            <v>0533712</v>
          </cell>
          <cell r="B111" t="str">
            <v>Pénzügyi szolgáltatási díjak</v>
          </cell>
        </row>
        <row r="112">
          <cell r="A112" t="str">
            <v>0533713</v>
          </cell>
          <cell r="B112" t="str">
            <v>Szállítási szolgáltatási díjak</v>
          </cell>
        </row>
        <row r="113">
          <cell r="A113" t="str">
            <v>0533719</v>
          </cell>
          <cell r="B113" t="str">
            <v>Egyéb üzemeltetési, fenntartási szolgáltatások</v>
          </cell>
        </row>
        <row r="114">
          <cell r="A114" t="str">
            <v>053371</v>
          </cell>
          <cell r="B114" t="str">
            <v>Egyéb szolgáltatások összesen</v>
          </cell>
        </row>
        <row r="115">
          <cell r="A115" t="str">
            <v>0533</v>
          </cell>
          <cell r="B115" t="str">
            <v>Szolgáltatási kiadások összesen</v>
          </cell>
        </row>
        <row r="116">
          <cell r="A116" t="str">
            <v>0534111</v>
          </cell>
          <cell r="B116" t="str">
            <v>Belföldi kiküldetések kiadásai</v>
          </cell>
        </row>
        <row r="117">
          <cell r="A117" t="str">
            <v>0534112</v>
          </cell>
          <cell r="B117" t="str">
            <v>Külföldi kiküldetések kiadásai</v>
          </cell>
        </row>
        <row r="118">
          <cell r="A118" t="str">
            <v>053411</v>
          </cell>
          <cell r="B118" t="str">
            <v>Kiküldetések kiadásai összesen</v>
          </cell>
        </row>
        <row r="119">
          <cell r="A119" t="str">
            <v>053421</v>
          </cell>
          <cell r="B119" t="str">
            <v>Reklám- és propagandakiadások</v>
          </cell>
        </row>
        <row r="120">
          <cell r="A120" t="str">
            <v>0534</v>
          </cell>
          <cell r="B120" t="str">
            <v>Kiküldetés, reklám, propaganda összesen</v>
          </cell>
        </row>
        <row r="121">
          <cell r="A121" t="str">
            <v>0535111</v>
          </cell>
          <cell r="B121" t="str">
            <v>Működési célú felszámított, levonható ÁFA</v>
          </cell>
        </row>
        <row r="122">
          <cell r="A122" t="str">
            <v>0535112</v>
          </cell>
          <cell r="B122" t="str">
            <v>Működési célú felszámított le nem vonható ÁFA</v>
          </cell>
        </row>
        <row r="123">
          <cell r="A123" t="str">
            <v>053511</v>
          </cell>
          <cell r="B123" t="str">
            <v>Működési célú áfa összesen</v>
          </cell>
        </row>
        <row r="124">
          <cell r="A124" t="str">
            <v>0535211</v>
          </cell>
          <cell r="B124" t="str">
            <v>ÁFA befizetés</v>
          </cell>
        </row>
        <row r="125">
          <cell r="A125" t="str">
            <v>0535212</v>
          </cell>
          <cell r="B125" t="str">
            <v>Ért tárgyi eszk. Immat. javak egyenes ÁFA befiz</v>
          </cell>
        </row>
        <row r="126">
          <cell r="A126" t="str">
            <v>0535213</v>
          </cell>
          <cell r="B126" t="str">
            <v>Fordított ÁFA befizetés</v>
          </cell>
        </row>
        <row r="127">
          <cell r="A127" t="str">
            <v>053521</v>
          </cell>
          <cell r="B127" t="str">
            <v>Fizetendő áfa összesen</v>
          </cell>
        </row>
        <row r="128">
          <cell r="A128" t="str">
            <v>05353119</v>
          </cell>
          <cell r="B128" t="str">
            <v>Államháztartáson belüli egyéb kamat</v>
          </cell>
        </row>
        <row r="129">
          <cell r="A129" t="str">
            <v>05353122</v>
          </cell>
          <cell r="B129" t="str">
            <v>Hitelek kamatai</v>
          </cell>
        </row>
        <row r="130">
          <cell r="A130" t="str">
            <v>05353123</v>
          </cell>
          <cell r="B130" t="str">
            <v>Pénzügyi lízing kiadások</v>
          </cell>
        </row>
        <row r="131">
          <cell r="A131" t="str">
            <v>05353129</v>
          </cell>
          <cell r="B131" t="str">
            <v>Államháztartáson kívüli egyéb kamatok</v>
          </cell>
        </row>
        <row r="132">
          <cell r="A132" t="str">
            <v>053531</v>
          </cell>
          <cell r="B132" t="str">
            <v>Kamatkiadások</v>
          </cell>
        </row>
        <row r="133">
          <cell r="A133" t="str">
            <v>0535411</v>
          </cell>
          <cell r="B133" t="str">
            <v>Árfolyamveszteség</v>
          </cell>
        </row>
        <row r="134">
          <cell r="A134" t="str">
            <v>0535419</v>
          </cell>
          <cell r="B134" t="str">
            <v>Egyéb különféle pénzügyi műveletek kiadásai</v>
          </cell>
        </row>
        <row r="135">
          <cell r="A135" t="str">
            <v>053541</v>
          </cell>
          <cell r="B135" t="str">
            <v>Egyéb pénzügyi műveletek kiadásai</v>
          </cell>
        </row>
        <row r="136">
          <cell r="A136" t="str">
            <v>0535511</v>
          </cell>
          <cell r="B136" t="str">
            <v>Adók, adójellegű befizetések</v>
          </cell>
        </row>
        <row r="137">
          <cell r="A137" t="str">
            <v>0535512</v>
          </cell>
          <cell r="B137" t="str">
            <v>Díjak, egyéb befizetések</v>
          </cell>
        </row>
        <row r="138">
          <cell r="A138" t="str">
            <v>0535513</v>
          </cell>
          <cell r="B138" t="str">
            <v>Késedelmi kamat, kötbér, egyéb kártérítés</v>
          </cell>
        </row>
        <row r="139">
          <cell r="A139" t="str">
            <v>0535519</v>
          </cell>
          <cell r="B139" t="str">
            <v>Egyéb különféle dologi kiadások</v>
          </cell>
        </row>
        <row r="140">
          <cell r="A140" t="str">
            <v>053551</v>
          </cell>
          <cell r="B140" t="str">
            <v>Egyéb dologi kiadások</v>
          </cell>
        </row>
        <row r="141">
          <cell r="A141" t="str">
            <v>0535</v>
          </cell>
          <cell r="B141" t="str">
            <v>Különféle befizetések, egyéb dologi kiadások</v>
          </cell>
        </row>
        <row r="142">
          <cell r="A142" t="str">
            <v>053</v>
          </cell>
          <cell r="B142" t="str">
            <v>Dologi kiadások összesen</v>
          </cell>
        </row>
        <row r="143">
          <cell r="A143">
            <v>0</v>
          </cell>
          <cell r="B143" t="str">
            <v>Működési kiadások összesen</v>
          </cell>
        </row>
        <row r="144">
          <cell r="A144" t="str">
            <v>056311</v>
          </cell>
          <cell r="B144" t="str">
            <v>Informatikai eszköz beszerzés</v>
          </cell>
        </row>
        <row r="145">
          <cell r="A145" t="str">
            <v>056411</v>
          </cell>
          <cell r="B145" t="str">
            <v>Egyéb eszköz beszerzés</v>
          </cell>
        </row>
        <row r="146">
          <cell r="A146" t="str">
            <v>056415</v>
          </cell>
          <cell r="B146" t="str">
            <v>Jármű beszerzés</v>
          </cell>
        </row>
        <row r="147">
          <cell r="A147" t="str">
            <v>05671</v>
          </cell>
          <cell r="B147" t="str">
            <v>Beruházás le nem vonható ÁFA</v>
          </cell>
        </row>
        <row r="148">
          <cell r="A148" t="str">
            <v>056</v>
          </cell>
          <cell r="B148" t="str">
            <v>Beruházások összesen</v>
          </cell>
        </row>
        <row r="149">
          <cell r="A149" t="str">
            <v>057211</v>
          </cell>
          <cell r="B149" t="str">
            <v>Informatikai eszköz felújítása</v>
          </cell>
        </row>
        <row r="150">
          <cell r="A150" t="str">
            <v>057311</v>
          </cell>
          <cell r="B150" t="str">
            <v>Egyéb eszköz felújítása</v>
          </cell>
        </row>
        <row r="151">
          <cell r="A151" t="str">
            <v>057315</v>
          </cell>
          <cell r="B151" t="str">
            <v>Jármű felújítása</v>
          </cell>
        </row>
        <row r="152">
          <cell r="A152" t="str">
            <v>05741</v>
          </cell>
          <cell r="B152" t="str">
            <v>Felújítás le nem vonfható ÁFA</v>
          </cell>
        </row>
        <row r="153">
          <cell r="A153" t="str">
            <v>057</v>
          </cell>
          <cell r="B153" t="str">
            <v>Felújítások összesen</v>
          </cell>
        </row>
        <row r="154">
          <cell r="A154">
            <v>0</v>
          </cell>
          <cell r="B154" t="str">
            <v>Felhalmozási kiadások összesen</v>
          </cell>
        </row>
        <row r="155">
          <cell r="A155">
            <v>0</v>
          </cell>
          <cell r="B155" t="str">
            <v>Kiadások mindösszesen</v>
          </cell>
        </row>
        <row r="157">
          <cell r="A157" t="str">
            <v>I.</v>
          </cell>
          <cell r="B157" t="str">
            <v>MŰKÖDÉSI KÖLTSÉGVETÉSI BEVÉTELEK</v>
          </cell>
        </row>
        <row r="158">
          <cell r="A158" t="str">
            <v>1.</v>
          </cell>
          <cell r="B158" t="str">
            <v>Működési célú támogatások államháztartáson belülről</v>
          </cell>
        </row>
        <row r="159">
          <cell r="A159">
            <v>0</v>
          </cell>
          <cell r="B159" t="str">
            <v>1.1. Egyéb működési célú támogatások bevételei államháztartáson belülről</v>
          </cell>
        </row>
        <row r="160">
          <cell r="A160" t="str">
            <v>1.</v>
          </cell>
          <cell r="B160" t="str">
            <v>Működési bevételek</v>
          </cell>
        </row>
        <row r="161">
          <cell r="A161">
            <v>0</v>
          </cell>
          <cell r="B161" t="str">
            <v>1.1. Készletértékesítés bevétele</v>
          </cell>
        </row>
        <row r="162">
          <cell r="A162">
            <v>0</v>
          </cell>
          <cell r="B162" t="str">
            <v>1.2. Szolgáltatások ellenértéke</v>
          </cell>
        </row>
        <row r="163">
          <cell r="A163">
            <v>0</v>
          </cell>
          <cell r="B163" t="str">
            <v>1.3. Tulajdonosi bevételek</v>
          </cell>
        </row>
        <row r="164">
          <cell r="A164">
            <v>0</v>
          </cell>
          <cell r="B164" t="str">
            <v>Egyéb bérleti díj</v>
          </cell>
        </row>
        <row r="165">
          <cell r="A165">
            <v>0</v>
          </cell>
          <cell r="B165" t="str">
            <v>1.4. Ellátási díjak</v>
          </cell>
        </row>
        <row r="166">
          <cell r="A166">
            <v>0</v>
          </cell>
          <cell r="B166" t="str">
            <v>1.5. Kiszámlázott általános forgalmi adó</v>
          </cell>
        </row>
        <row r="167">
          <cell r="A167">
            <v>0</v>
          </cell>
          <cell r="B167" t="str">
            <v>1.6. Általános forgalmi adó visszatérítése</v>
          </cell>
        </row>
        <row r="168">
          <cell r="A168">
            <v>0</v>
          </cell>
          <cell r="B168" t="str">
            <v>1.7. Kamatbevételek</v>
          </cell>
        </row>
        <row r="169">
          <cell r="A169">
            <v>0</v>
          </cell>
          <cell r="B169" t="str">
            <v>1.8. Egyéb működési bevételek</v>
          </cell>
        </row>
        <row r="170">
          <cell r="A170" t="str">
            <v>3.</v>
          </cell>
          <cell r="B170" t="str">
            <v>Működési célú átvett pénzeszközök</v>
          </cell>
        </row>
        <row r="171">
          <cell r="A171">
            <v>0</v>
          </cell>
          <cell r="B171" t="str">
            <v>3.1. Egyéb működési célú átvett pénzeszközök</v>
          </cell>
        </row>
      </sheetData>
      <sheetData sheetId="37"/>
      <sheetData sheetId="38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ntroll"/>
      <sheetName val="0.Mérleg"/>
      <sheetName val="1A. Fő bev"/>
      <sheetName val="1B. Fő kiad"/>
      <sheetName val="1C Bev kiad fel"/>
      <sheetName val="2A Önk bev"/>
      <sheetName val="2B Önk kiad"/>
      <sheetName val="2C Önk bev kiad fel"/>
      <sheetName val="2D Céltartalék"/>
      <sheetName val="3A PH"/>
      <sheetName val="3B PH fel"/>
      <sheetName val="4A. VG bev kiad"/>
      <sheetName val="4B VG fel"/>
      <sheetName val="5A Walla"/>
      <sheetName val="5B Nyitnikék"/>
      <sheetName val="5C Bóbita"/>
      <sheetName val="5D MMMH"/>
      <sheetName val="5E Könyvtár"/>
      <sheetName val="5F Segítő Kéz"/>
      <sheetName val="5G GSZNR fel"/>
      <sheetName val="6. létszámkeret"/>
      <sheetName val="7. beruházás"/>
      <sheetName val="8. felújítás"/>
      <sheetName val="9. hitelállomány"/>
      <sheetName val="9. stab tv"/>
      <sheetName val="10. Uniós tám"/>
      <sheetName val="11. címrend"/>
      <sheetName val="SKSZ"/>
      <sheetName val="ph"/>
      <sheetName val="ÖK kiad"/>
      <sheetName val="VG"/>
      <sheetName val="Volf"/>
      <sheetName val="MMMH"/>
      <sheetName val="MMMH reszletes"/>
      <sheetName val="MMMH dologi"/>
      <sheetName val="MMMH bevetel"/>
      <sheetName val="Bóbita"/>
      <sheetName val="Nyitnikék"/>
      <sheetName val="Wall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6">
          <cell r="C6">
            <v>0</v>
          </cell>
        </row>
        <row r="36">
          <cell r="D36">
            <v>2312651</v>
          </cell>
        </row>
      </sheetData>
      <sheetData sheetId="7" refreshError="1"/>
      <sheetData sheetId="8" refreshError="1">
        <row r="24">
          <cell r="D24">
            <v>304858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>
        <row r="6">
          <cell r="J6">
            <v>4630</v>
          </cell>
          <cell r="K6">
            <v>1250</v>
          </cell>
        </row>
        <row r="7">
          <cell r="J7">
            <v>39854</v>
          </cell>
          <cell r="K7">
            <v>10760</v>
          </cell>
        </row>
        <row r="8">
          <cell r="J8">
            <v>787</v>
          </cell>
          <cell r="K8">
            <v>213</v>
          </cell>
        </row>
        <row r="9">
          <cell r="J9">
            <v>27874</v>
          </cell>
          <cell r="K9">
            <v>7526</v>
          </cell>
        </row>
        <row r="10">
          <cell r="J10">
            <v>25984</v>
          </cell>
          <cell r="K10">
            <v>7016</v>
          </cell>
        </row>
        <row r="11">
          <cell r="J11">
            <v>56032</v>
          </cell>
          <cell r="K11">
            <v>15129</v>
          </cell>
        </row>
        <row r="12">
          <cell r="J12">
            <v>3307</v>
          </cell>
          <cell r="K12">
            <v>893</v>
          </cell>
        </row>
        <row r="13">
          <cell r="J13">
            <v>5079</v>
          </cell>
          <cell r="K13">
            <v>1371</v>
          </cell>
        </row>
        <row r="14">
          <cell r="J14">
            <v>138</v>
          </cell>
          <cell r="K14">
            <v>37</v>
          </cell>
        </row>
        <row r="15">
          <cell r="J15">
            <v>13216</v>
          </cell>
          <cell r="K15">
            <v>3568</v>
          </cell>
        </row>
        <row r="16">
          <cell r="J16">
            <v>26</v>
          </cell>
          <cell r="K16">
            <v>7</v>
          </cell>
        </row>
        <row r="17">
          <cell r="J17">
            <v>46831</v>
          </cell>
          <cell r="K17">
            <v>12644</v>
          </cell>
        </row>
        <row r="18">
          <cell r="J18">
            <v>350</v>
          </cell>
          <cell r="K18">
            <v>95</v>
          </cell>
        </row>
        <row r="19">
          <cell r="J19">
            <v>11811</v>
          </cell>
          <cell r="K19">
            <v>3189</v>
          </cell>
        </row>
        <row r="22">
          <cell r="J22">
            <v>20079</v>
          </cell>
          <cell r="K22">
            <v>5421</v>
          </cell>
        </row>
        <row r="23">
          <cell r="J23">
            <v>300</v>
          </cell>
          <cell r="K23">
            <v>81</v>
          </cell>
        </row>
        <row r="24">
          <cell r="J24">
            <v>31024</v>
          </cell>
          <cell r="K24">
            <v>8376</v>
          </cell>
        </row>
        <row r="25">
          <cell r="J25">
            <v>11811</v>
          </cell>
          <cell r="K25">
            <v>3189</v>
          </cell>
        </row>
        <row r="26">
          <cell r="J26">
            <v>3544</v>
          </cell>
          <cell r="K26">
            <v>957</v>
          </cell>
        </row>
        <row r="27">
          <cell r="J27">
            <v>3937</v>
          </cell>
          <cell r="K27">
            <v>1063</v>
          </cell>
        </row>
        <row r="28">
          <cell r="J28">
            <v>3937</v>
          </cell>
          <cell r="K28">
            <v>1063</v>
          </cell>
        </row>
      </sheetData>
      <sheetData sheetId="22" refreshError="1">
        <row r="6">
          <cell r="J6">
            <v>46494</v>
          </cell>
          <cell r="K6">
            <v>12553</v>
          </cell>
        </row>
        <row r="7">
          <cell r="J7">
            <v>16882</v>
          </cell>
          <cell r="K7">
            <v>4558</v>
          </cell>
        </row>
        <row r="8">
          <cell r="J8">
            <v>25984</v>
          </cell>
          <cell r="K8">
            <v>7016</v>
          </cell>
        </row>
        <row r="12">
          <cell r="J12">
            <v>1295</v>
          </cell>
          <cell r="K12">
            <v>350</v>
          </cell>
        </row>
        <row r="13">
          <cell r="J13">
            <v>7874</v>
          </cell>
          <cell r="K13">
            <v>2126</v>
          </cell>
        </row>
        <row r="14">
          <cell r="J14">
            <v>8661</v>
          </cell>
          <cell r="K14">
            <v>2339</v>
          </cell>
        </row>
        <row r="15">
          <cell r="J15">
            <v>1969</v>
          </cell>
          <cell r="K15">
            <v>531</v>
          </cell>
        </row>
        <row r="16">
          <cell r="J16">
            <v>1181</v>
          </cell>
          <cell r="K16">
            <v>319</v>
          </cell>
        </row>
        <row r="17">
          <cell r="J17">
            <v>2835</v>
          </cell>
          <cell r="K17">
            <v>765</v>
          </cell>
        </row>
      </sheetData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>
        <row r="1">
          <cell r="A1" t="str">
            <v>Főkönyvi szám</v>
          </cell>
          <cell r="B1" t="str">
            <v>Megnevezés</v>
          </cell>
          <cell r="C1" t="str">
            <v>2015. évi előirányzat</v>
          </cell>
          <cell r="D1" t="str">
            <v>2016. évi előirányzat</v>
          </cell>
          <cell r="E1" t="str">
            <v>Óvodai étkeztetés 2015.</v>
          </cell>
          <cell r="F1" t="str">
            <v>Óvodai étkeztetés 2016.</v>
          </cell>
          <cell r="G1" t="str">
            <v>Óvodai nevelés 2015.</v>
          </cell>
          <cell r="H1" t="str">
            <v>Óvodai nevelés 2016.</v>
          </cell>
          <cell r="I1" t="str">
            <v>Közfoglal-koztatás</v>
          </cell>
        </row>
        <row r="2">
          <cell r="A2" t="str">
            <v>05110111</v>
          </cell>
          <cell r="B2" t="str">
            <v>Alapilletmények</v>
          </cell>
        </row>
        <row r="3">
          <cell r="A3" t="str">
            <v>05110112</v>
          </cell>
          <cell r="B3" t="str">
            <v>Illetménykiegészítések</v>
          </cell>
        </row>
        <row r="4">
          <cell r="A4" t="str">
            <v>05110113</v>
          </cell>
          <cell r="B4" t="str">
            <v>Nyelvpótlékok</v>
          </cell>
        </row>
        <row r="5">
          <cell r="A5" t="str">
            <v>05110114</v>
          </cell>
          <cell r="B5" t="str">
            <v>Egyéb kötelező pótlékok</v>
          </cell>
        </row>
        <row r="6">
          <cell r="A6" t="str">
            <v>05110115</v>
          </cell>
          <cell r="B6" t="str">
            <v>Egyéb feltételektől függő pótlékok és juttatások</v>
          </cell>
        </row>
        <row r="7">
          <cell r="A7" t="str">
            <v>05110119</v>
          </cell>
          <cell r="B7" t="str">
            <v>Egyéb juttatások</v>
          </cell>
        </row>
        <row r="8">
          <cell r="A8" t="str">
            <v>0511011</v>
          </cell>
          <cell r="B8" t="str">
            <v>Törvény szerinti illetmények, munkabérek</v>
          </cell>
        </row>
        <row r="9">
          <cell r="A9" t="str">
            <v>0511021</v>
          </cell>
          <cell r="B9" t="str">
            <v>Normatív jutalmak</v>
          </cell>
        </row>
        <row r="10">
          <cell r="A10" t="str">
            <v>0511031</v>
          </cell>
          <cell r="B10" t="str">
            <v>Céljuttatás, projektprémium</v>
          </cell>
        </row>
        <row r="11">
          <cell r="A11" t="str">
            <v>05110411</v>
          </cell>
          <cell r="B11" t="str">
            <v>Készenléti, ügyeleti, helyettesítési díj</v>
          </cell>
        </row>
        <row r="12">
          <cell r="A12" t="str">
            <v>05110412</v>
          </cell>
          <cell r="B12" t="str">
            <v>Túlóra, túlszolgálat</v>
          </cell>
        </row>
        <row r="13">
          <cell r="A13" t="str">
            <v>0511041</v>
          </cell>
          <cell r="B13" t="str">
            <v>Készenlét, ügyelet, helyettesítés, túlóra</v>
          </cell>
        </row>
        <row r="14">
          <cell r="A14" t="str">
            <v>0511051</v>
          </cell>
          <cell r="B14" t="str">
            <v>Végkielégítés</v>
          </cell>
        </row>
        <row r="15">
          <cell r="A15" t="str">
            <v>0511061</v>
          </cell>
          <cell r="B15" t="str">
            <v>Jubileumi jutalom</v>
          </cell>
        </row>
        <row r="16">
          <cell r="A16" t="str">
            <v>05110711</v>
          </cell>
          <cell r="B16" t="str">
            <v>Étkezési hozzájárulás</v>
          </cell>
        </row>
        <row r="17">
          <cell r="A17" t="str">
            <v>05110712</v>
          </cell>
          <cell r="B17" t="str">
            <v>Üdülési hozzájárulás</v>
          </cell>
        </row>
        <row r="18">
          <cell r="A18" t="str">
            <v>05110713</v>
          </cell>
          <cell r="B18" t="str">
            <v>Erzsébet-utalvány kiadásai</v>
          </cell>
        </row>
        <row r="19">
          <cell r="A19" t="str">
            <v>05110714</v>
          </cell>
          <cell r="B19" t="str">
            <v>Széchenyi Pihenő Kártya kiadásai</v>
          </cell>
        </row>
        <row r="20">
          <cell r="A20" t="str">
            <v>05110715</v>
          </cell>
          <cell r="B20" t="str">
            <v>Iskolakezdési támogatás</v>
          </cell>
        </row>
        <row r="21">
          <cell r="A21" t="str">
            <v>05110716</v>
          </cell>
          <cell r="B21" t="str">
            <v>Önkéntes biztosító pénztárakba befizetés</v>
          </cell>
        </row>
        <row r="22">
          <cell r="A22" t="str">
            <v>05110719</v>
          </cell>
          <cell r="B22" t="str">
            <v>Egyéb béren kívüli juttatások</v>
          </cell>
        </row>
        <row r="23">
          <cell r="A23" t="str">
            <v>0511071</v>
          </cell>
          <cell r="B23" t="str">
            <v>Béren kívüli juttatások</v>
          </cell>
        </row>
        <row r="24">
          <cell r="A24" t="str">
            <v>0511081</v>
          </cell>
          <cell r="B24" t="str">
            <v>Ruházati költségtérítés</v>
          </cell>
        </row>
        <row r="25">
          <cell r="A25" t="str">
            <v>0511091</v>
          </cell>
          <cell r="B25" t="str">
            <v>Közlekedési költségtérítés</v>
          </cell>
        </row>
        <row r="26">
          <cell r="A26" t="str">
            <v>0511101</v>
          </cell>
          <cell r="B26" t="str">
            <v>Egyéb költségtérítések</v>
          </cell>
        </row>
        <row r="27">
          <cell r="A27" t="str">
            <v>05111111</v>
          </cell>
          <cell r="B27" t="str">
            <v>Albérleti díj hozzájárulás</v>
          </cell>
        </row>
        <row r="28">
          <cell r="A28" t="str">
            <v>05111112</v>
          </cell>
          <cell r="B28" t="str">
            <v>Családalapítási támogatás</v>
          </cell>
        </row>
        <row r="29">
          <cell r="A29" t="str">
            <v>0511111</v>
          </cell>
          <cell r="B29" t="str">
            <v>Lakhatási támogatások</v>
          </cell>
        </row>
        <row r="30">
          <cell r="A30" t="str">
            <v>0511121</v>
          </cell>
          <cell r="B30" t="str">
            <v>Szociális támogatások</v>
          </cell>
        </row>
        <row r="31">
          <cell r="A31" t="str">
            <v>05111311</v>
          </cell>
          <cell r="B31" t="str">
            <v>Belföldi napidíj</v>
          </cell>
        </row>
        <row r="32">
          <cell r="A32" t="str">
            <v>05111312</v>
          </cell>
          <cell r="B32" t="str">
            <v>Külföldi napidíj</v>
          </cell>
        </row>
        <row r="33">
          <cell r="A33" t="str">
            <v>05111313</v>
          </cell>
          <cell r="B33" t="str">
            <v>Biztosítási díjak</v>
          </cell>
        </row>
        <row r="34">
          <cell r="A34" t="str">
            <v>05111314</v>
          </cell>
          <cell r="B34" t="str">
            <v>Kereset-kiegészítés fedezete</v>
          </cell>
        </row>
        <row r="35">
          <cell r="A35" t="str">
            <v>05111315</v>
          </cell>
          <cell r="B35" t="str">
            <v>Munkáltatói kártérítés egyéb kiegészítések</v>
          </cell>
        </row>
        <row r="36">
          <cell r="A36" t="str">
            <v>05111319</v>
          </cell>
          <cell r="B36" t="str">
            <v>Egyéb sajátos juttatások</v>
          </cell>
        </row>
        <row r="37">
          <cell r="A37" t="str">
            <v>0511131</v>
          </cell>
          <cell r="B37" t="str">
            <v>foglalkoztatottak egyéb személyi juttatásai</v>
          </cell>
        </row>
        <row r="38">
          <cell r="A38" t="str">
            <v>0511</v>
          </cell>
          <cell r="B38" t="str">
            <v>Foglalkoztatottak személyi juttatásai</v>
          </cell>
        </row>
        <row r="39">
          <cell r="A39" t="str">
            <v>0512113</v>
          </cell>
          <cell r="B39" t="str">
            <v>Képviselők, polgármesterek juttatásai</v>
          </cell>
        </row>
        <row r="40">
          <cell r="A40" t="str">
            <v>0512119</v>
          </cell>
          <cell r="B40" t="str">
            <v>Egyéb választott tisztségviselők juttatásai</v>
          </cell>
        </row>
        <row r="41">
          <cell r="A41" t="str">
            <v>051211</v>
          </cell>
          <cell r="B41" t="str">
            <v>Választott tisztviselők juttatásai</v>
          </cell>
        </row>
        <row r="42">
          <cell r="A42" t="str">
            <v>0512211</v>
          </cell>
          <cell r="B42" t="str">
            <v>Állományba nem tartozók megbízási díja</v>
          </cell>
        </row>
        <row r="43">
          <cell r="A43" t="str">
            <v>0512212</v>
          </cell>
          <cell r="B43" t="str">
            <v>Tiszteletdíj, szerzői díj, honorárium</v>
          </cell>
        </row>
        <row r="44">
          <cell r="A44" t="str">
            <v>051221</v>
          </cell>
          <cell r="B44" t="str">
            <v>Nem saját foglalkoztatottnak fizetett juttatás</v>
          </cell>
        </row>
        <row r="45">
          <cell r="A45" t="str">
            <v>0512311</v>
          </cell>
          <cell r="B45" t="str">
            <v>Prémiumévek program résztvevőinek juttatása</v>
          </cell>
        </row>
        <row r="46">
          <cell r="A46" t="str">
            <v>0512312</v>
          </cell>
          <cell r="B46" t="str">
            <v>Egyszerűsített fogl. alá tartozó mváll. juttatásai</v>
          </cell>
        </row>
        <row r="47">
          <cell r="A47" t="str">
            <v>0512314</v>
          </cell>
          <cell r="B47" t="str">
            <v>További munkaviszonyt létesítők juttatásai</v>
          </cell>
        </row>
        <row r="48">
          <cell r="A48" t="str">
            <v>0512315</v>
          </cell>
          <cell r="B48" t="str">
            <v>Felmentett munkavállalók egyéb juttatásai</v>
          </cell>
        </row>
        <row r="49">
          <cell r="A49" t="str">
            <v>0512316</v>
          </cell>
          <cell r="B49" t="str">
            <v>Adományozott kitüntetések, díjak, pénzjutalmak</v>
          </cell>
        </row>
        <row r="50">
          <cell r="A50" t="str">
            <v>0512318</v>
          </cell>
          <cell r="B50" t="str">
            <v>Reprezentációs kiadások</v>
          </cell>
        </row>
        <row r="51">
          <cell r="A51" t="str">
            <v>0512319</v>
          </cell>
          <cell r="B51" t="str">
            <v>Egyéb külső személyi juttatások</v>
          </cell>
        </row>
        <row r="52">
          <cell r="A52" t="str">
            <v>051231</v>
          </cell>
          <cell r="B52" t="str">
            <v>Egyéb külső személyi juttatások összesen</v>
          </cell>
        </row>
        <row r="53">
          <cell r="A53" t="str">
            <v>0512</v>
          </cell>
          <cell r="B53" t="str">
            <v>Külső személyi juttatások</v>
          </cell>
        </row>
        <row r="54">
          <cell r="A54" t="str">
            <v>051</v>
          </cell>
          <cell r="B54" t="str">
            <v>Személyi juttatások összesen</v>
          </cell>
        </row>
        <row r="55">
          <cell r="A55" t="str">
            <v>05211</v>
          </cell>
          <cell r="B55" t="str">
            <v>Szociális hozzájárulási adó</v>
          </cell>
        </row>
        <row r="56">
          <cell r="A56" t="str">
            <v>05212</v>
          </cell>
          <cell r="B56" t="str">
            <v>EKHO</v>
          </cell>
        </row>
        <row r="57">
          <cell r="A57" t="str">
            <v>05213</v>
          </cell>
          <cell r="B57" t="str">
            <v>Egészségügyi hozzájárulás</v>
          </cell>
        </row>
        <row r="58">
          <cell r="A58" t="str">
            <v>05214</v>
          </cell>
          <cell r="B58" t="str">
            <v>Táppénz hozzájárulás</v>
          </cell>
        </row>
        <row r="59">
          <cell r="A59" t="str">
            <v>05215</v>
          </cell>
          <cell r="B59" t="str">
            <v>Korkedvezmény-biztosítási járulék</v>
          </cell>
        </row>
        <row r="60">
          <cell r="A60" t="str">
            <v>05216</v>
          </cell>
          <cell r="B60" t="str">
            <v>Rehabilitációs hozzájárulás</v>
          </cell>
        </row>
        <row r="61">
          <cell r="A61" t="str">
            <v>05217</v>
          </cell>
          <cell r="B61" t="str">
            <v>Munkáltatót terhelő SZJA</v>
          </cell>
        </row>
        <row r="62">
          <cell r="A62" t="str">
            <v>05219</v>
          </cell>
          <cell r="B62" t="str">
            <v>Egyéb munkaadókat terhelő járulékok</v>
          </cell>
        </row>
        <row r="63">
          <cell r="A63" t="str">
            <v>052</v>
          </cell>
          <cell r="B63" t="str">
            <v>Munkaadókat terhelő járulékok összesen</v>
          </cell>
        </row>
        <row r="64">
          <cell r="A64" t="str">
            <v>0531111</v>
          </cell>
          <cell r="B64" t="str">
            <v>Gyógyszerbeszerzés</v>
          </cell>
        </row>
        <row r="65">
          <cell r="A65" t="str">
            <v>0531112</v>
          </cell>
          <cell r="B65" t="str">
            <v>Vegyszerbeszerzés</v>
          </cell>
        </row>
        <row r="66">
          <cell r="A66" t="str">
            <v>0531113</v>
          </cell>
          <cell r="B66" t="str">
            <v>Könyvbeszerzés</v>
          </cell>
        </row>
        <row r="67">
          <cell r="A67" t="str">
            <v>0531114</v>
          </cell>
          <cell r="B67" t="str">
            <v>Folyóirat-beszerzés</v>
          </cell>
        </row>
        <row r="68">
          <cell r="A68" t="str">
            <v>0531115</v>
          </cell>
          <cell r="B68" t="str">
            <v>Egyéb információhordozó-beszerzés</v>
          </cell>
        </row>
        <row r="69">
          <cell r="A69" t="str">
            <v>0531119</v>
          </cell>
          <cell r="B69" t="str">
            <v>Egyéb szakmai anyagbeszerzés</v>
          </cell>
        </row>
        <row r="70">
          <cell r="A70" t="str">
            <v>053111</v>
          </cell>
          <cell r="B70" t="str">
            <v>Szakmai anyagok beszerzése összesen</v>
          </cell>
        </row>
        <row r="71">
          <cell r="A71" t="str">
            <v>0531211</v>
          </cell>
          <cell r="B71" t="str">
            <v>Élelmiszer-beszerzés</v>
          </cell>
        </row>
        <row r="72">
          <cell r="A72" t="str">
            <v>0531212</v>
          </cell>
          <cell r="B72" t="str">
            <v>Irodaszer-, nyomtatványbeszerzés</v>
          </cell>
        </row>
        <row r="73">
          <cell r="A73" t="str">
            <v>0531213</v>
          </cell>
          <cell r="B73" t="str">
            <v>Tüzelőanyag-beszerzés</v>
          </cell>
        </row>
        <row r="74">
          <cell r="A74" t="str">
            <v>0531214</v>
          </cell>
          <cell r="B74" t="str">
            <v>Hajtó- és kenőanyag-beszerzés</v>
          </cell>
        </row>
        <row r="75">
          <cell r="A75" t="str">
            <v>0531215</v>
          </cell>
          <cell r="B75" t="str">
            <v>Munkaruha, védőruha, formaruha, egyenruha</v>
          </cell>
        </row>
        <row r="76">
          <cell r="A76" t="str">
            <v>0531219</v>
          </cell>
          <cell r="B76" t="str">
            <v>Egyéb üzemeltetési, fenntartási anyagbeszerzés</v>
          </cell>
        </row>
        <row r="77">
          <cell r="A77" t="str">
            <v>053121</v>
          </cell>
          <cell r="B77" t="str">
            <v>Üzemeltetési anyagok beszerzése összesen</v>
          </cell>
        </row>
        <row r="78">
          <cell r="A78" t="str">
            <v>0531311</v>
          </cell>
          <cell r="B78" t="str">
            <v>Árubeszerzés</v>
          </cell>
        </row>
        <row r="79">
          <cell r="A79" t="str">
            <v>0531312</v>
          </cell>
          <cell r="B79" t="str">
            <v>Göngyölegbeszerzés</v>
          </cell>
        </row>
        <row r="80">
          <cell r="A80" t="str">
            <v>053131</v>
          </cell>
          <cell r="B80" t="str">
            <v>Árubeszerzés összesen</v>
          </cell>
        </row>
        <row r="81">
          <cell r="A81" t="str">
            <v>0531</v>
          </cell>
          <cell r="B81" t="str">
            <v>Készletbeszerzés összesen</v>
          </cell>
        </row>
        <row r="82">
          <cell r="A82" t="str">
            <v>0532111</v>
          </cell>
          <cell r="B82" t="str">
            <v>Informatika tanácsadás, üzembe helyezés</v>
          </cell>
        </row>
        <row r="83">
          <cell r="A83" t="str">
            <v>0532112</v>
          </cell>
          <cell r="B83" t="str">
            <v>Informatikai szolgáltatások</v>
          </cell>
        </row>
        <row r="84">
          <cell r="A84" t="str">
            <v>0532113</v>
          </cell>
          <cell r="B84" t="str">
            <v>Informatikai eszköz, szolg. bérlés, lízing</v>
          </cell>
        </row>
        <row r="85">
          <cell r="A85" t="str">
            <v>0532114</v>
          </cell>
          <cell r="B85" t="str">
            <v>Informatikai eszközök karbantartása</v>
          </cell>
        </row>
        <row r="86">
          <cell r="A86" t="str">
            <v>0532115</v>
          </cell>
          <cell r="B86" t="str">
            <v>Adatátviteli célú távközlési díjak</v>
          </cell>
        </row>
        <row r="87">
          <cell r="A87" t="str">
            <v>0532119</v>
          </cell>
          <cell r="B87" t="str">
            <v>Egyéb informatikai szolgáltatás</v>
          </cell>
        </row>
        <row r="88">
          <cell r="A88" t="str">
            <v>053211</v>
          </cell>
          <cell r="B88" t="str">
            <v>Informatikai szolgáltatások igénybevétele</v>
          </cell>
        </row>
        <row r="89">
          <cell r="A89" t="str">
            <v>0532211</v>
          </cell>
          <cell r="B89" t="str">
            <v>Nem adatátviteli célú távközlési díjak</v>
          </cell>
        </row>
        <row r="90">
          <cell r="A90" t="str">
            <v>0532219</v>
          </cell>
          <cell r="B90" t="str">
            <v>Egyéb kommunikációs szolgáltatások</v>
          </cell>
        </row>
        <row r="91">
          <cell r="A91" t="str">
            <v>053221</v>
          </cell>
          <cell r="B91" t="str">
            <v>Egyéb kommunilációs szolgáltatás összesen</v>
          </cell>
        </row>
        <row r="92">
          <cell r="A92" t="str">
            <v>0532</v>
          </cell>
          <cell r="B92" t="str">
            <v>Kommunikációs szolgáltatások összesen</v>
          </cell>
        </row>
        <row r="93">
          <cell r="A93" t="str">
            <v>0533111</v>
          </cell>
          <cell r="B93" t="str">
            <v>Villamosenergia-szolgáltatási díjak</v>
          </cell>
        </row>
        <row r="94">
          <cell r="A94" t="str">
            <v>0533112</v>
          </cell>
          <cell r="B94" t="str">
            <v>Gázenergia-szolgáltatási díjak</v>
          </cell>
        </row>
        <row r="95">
          <cell r="A95" t="str">
            <v>0533113</v>
          </cell>
          <cell r="B95" t="str">
            <v>Távkő- és melegvíz-szolgáltatási díjak</v>
          </cell>
        </row>
        <row r="96">
          <cell r="A96" t="str">
            <v>0533114</v>
          </cell>
          <cell r="B96" t="str">
            <v>Víz- és csatornadíjak</v>
          </cell>
        </row>
        <row r="97">
          <cell r="A97" t="str">
            <v>053311</v>
          </cell>
          <cell r="B97" t="str">
            <v>Közüzemi díjak összesen</v>
          </cell>
        </row>
        <row r="98">
          <cell r="A98" t="str">
            <v>053321</v>
          </cell>
          <cell r="B98" t="str">
            <v>Vásárolt élelmezés</v>
          </cell>
        </row>
        <row r="99">
          <cell r="A99" t="str">
            <v>0533311</v>
          </cell>
          <cell r="B99" t="str">
            <v>PPP konstrukcióhoz kapcs. szolgáltatási díjak</v>
          </cell>
        </row>
        <row r="100">
          <cell r="A100" t="str">
            <v>0533312</v>
          </cell>
          <cell r="B100" t="str">
            <v>Egyéb bérleti és lízing díjak</v>
          </cell>
        </row>
        <row r="101">
          <cell r="A101">
            <v>53331</v>
          </cell>
          <cell r="B101" t="str">
            <v>Bérleti és lízing díjak összesen</v>
          </cell>
        </row>
        <row r="102">
          <cell r="A102" t="str">
            <v>053341</v>
          </cell>
          <cell r="B102" t="str">
            <v>Karbantartási, kisjavítási szolgáltatások</v>
          </cell>
        </row>
        <row r="103">
          <cell r="A103" t="str">
            <v>0533511</v>
          </cell>
          <cell r="B103" t="str">
            <v>Államháztartáson belüli közvetített szolgáltatások</v>
          </cell>
        </row>
        <row r="104">
          <cell r="A104" t="str">
            <v>0533512</v>
          </cell>
          <cell r="B104" t="str">
            <v>Államháztartáson kívüli közvetített szolgáltatások</v>
          </cell>
        </row>
        <row r="105">
          <cell r="A105" t="str">
            <v>053351</v>
          </cell>
          <cell r="B105" t="str">
            <v>Közvetített szolgáltatások összesen</v>
          </cell>
        </row>
        <row r="106">
          <cell r="A106" t="str">
            <v>0533611</v>
          </cell>
          <cell r="B106" t="str">
            <v>Vásárolt közszolgáltatások</v>
          </cell>
        </row>
        <row r="107">
          <cell r="A107" t="str">
            <v>0533612</v>
          </cell>
          <cell r="B107" t="str">
            <v>Számlázott szellemi tevékenység</v>
          </cell>
        </row>
        <row r="108">
          <cell r="A108" t="str">
            <v>0533619</v>
          </cell>
          <cell r="B108" t="str">
            <v>Egyéb szakmai szolgáltatások</v>
          </cell>
        </row>
        <row r="109">
          <cell r="A109" t="str">
            <v>053361</v>
          </cell>
          <cell r="B109" t="str">
            <v>Szakmai tevékenységet segítő szolg összesen</v>
          </cell>
        </row>
        <row r="110">
          <cell r="A110" t="str">
            <v>0533711</v>
          </cell>
          <cell r="B110" t="str">
            <v>Biztosítási szolgáltatási díjak</v>
          </cell>
        </row>
        <row r="111">
          <cell r="A111" t="str">
            <v>0533712</v>
          </cell>
          <cell r="B111" t="str">
            <v>Pénzügyi szolgáltatási díjak</v>
          </cell>
        </row>
        <row r="112">
          <cell r="A112" t="str">
            <v>0533713</v>
          </cell>
          <cell r="B112" t="str">
            <v>Szállítási szolgáltatási díjak</v>
          </cell>
        </row>
        <row r="113">
          <cell r="A113" t="str">
            <v>0533719</v>
          </cell>
          <cell r="B113" t="str">
            <v>Egyéb üzemeltetési, fenntartási szolgáltatások</v>
          </cell>
        </row>
        <row r="114">
          <cell r="A114" t="str">
            <v>053371</v>
          </cell>
          <cell r="B114" t="str">
            <v>Egyéb szolgáltatások összesen</v>
          </cell>
        </row>
        <row r="115">
          <cell r="A115" t="str">
            <v>0533</v>
          </cell>
          <cell r="B115" t="str">
            <v>Szolgáltatási kiadások összesen</v>
          </cell>
        </row>
        <row r="116">
          <cell r="A116" t="str">
            <v>0534111</v>
          </cell>
          <cell r="B116" t="str">
            <v>Belföldi kiküldetések kiadásai</v>
          </cell>
        </row>
        <row r="117">
          <cell r="A117" t="str">
            <v>0534112</v>
          </cell>
          <cell r="B117" t="str">
            <v>Külföldi kiküldetések kiadásai</v>
          </cell>
        </row>
        <row r="118">
          <cell r="A118" t="str">
            <v>053411</v>
          </cell>
          <cell r="B118" t="str">
            <v>Kiküldetések kiadásai összesen</v>
          </cell>
        </row>
        <row r="119">
          <cell r="A119" t="str">
            <v>053421</v>
          </cell>
          <cell r="B119" t="str">
            <v>Reklám- és propagandakiadások</v>
          </cell>
        </row>
        <row r="120">
          <cell r="A120" t="str">
            <v>0534</v>
          </cell>
          <cell r="B120" t="str">
            <v>Kiküldetés, reklám, propaganda összesen</v>
          </cell>
        </row>
        <row r="121">
          <cell r="A121" t="str">
            <v>0535111</v>
          </cell>
          <cell r="B121" t="str">
            <v>Működési célú felszámított, levonható ÁFA</v>
          </cell>
        </row>
        <row r="122">
          <cell r="A122" t="str">
            <v>0535112</v>
          </cell>
          <cell r="B122" t="str">
            <v>Működési célú felszámított le nem vonható ÁFA</v>
          </cell>
        </row>
        <row r="123">
          <cell r="A123" t="str">
            <v>053511</v>
          </cell>
          <cell r="B123" t="str">
            <v>Működési célú áfa összesen</v>
          </cell>
        </row>
        <row r="124">
          <cell r="A124" t="str">
            <v>0535211</v>
          </cell>
          <cell r="B124" t="str">
            <v>ÁFA befizetés</v>
          </cell>
        </row>
        <row r="125">
          <cell r="A125" t="str">
            <v>0535212</v>
          </cell>
          <cell r="B125" t="str">
            <v>Ért tárgyi eszk. Immat. javak egyenes ÁFA befiz</v>
          </cell>
        </row>
        <row r="126">
          <cell r="A126" t="str">
            <v>0535213</v>
          </cell>
          <cell r="B126" t="str">
            <v>Fordított ÁFA befizetés</v>
          </cell>
        </row>
        <row r="127">
          <cell r="A127" t="str">
            <v>053521</v>
          </cell>
          <cell r="B127" t="str">
            <v>Fizetendő áfa összesen</v>
          </cell>
        </row>
        <row r="128">
          <cell r="A128" t="str">
            <v>05353119</v>
          </cell>
          <cell r="B128" t="str">
            <v>Államháztartáson belüli egyéb kamat</v>
          </cell>
        </row>
        <row r="129">
          <cell r="A129" t="str">
            <v>05353122</v>
          </cell>
          <cell r="B129" t="str">
            <v>Hitelek kamatai</v>
          </cell>
        </row>
        <row r="130">
          <cell r="A130" t="str">
            <v>05353123</v>
          </cell>
          <cell r="B130" t="str">
            <v>Pénzügyi lízing kiadások</v>
          </cell>
        </row>
        <row r="131">
          <cell r="A131" t="str">
            <v>05353129</v>
          </cell>
          <cell r="B131" t="str">
            <v>Államháztartáson kívüli egyéb kamatok</v>
          </cell>
        </row>
        <row r="132">
          <cell r="A132" t="str">
            <v>053531</v>
          </cell>
          <cell r="B132" t="str">
            <v>Kamatkiadások</v>
          </cell>
        </row>
        <row r="133">
          <cell r="A133" t="str">
            <v>0535411</v>
          </cell>
          <cell r="B133" t="str">
            <v>Árfolyamveszteség</v>
          </cell>
        </row>
        <row r="134">
          <cell r="A134" t="str">
            <v>0535419</v>
          </cell>
          <cell r="B134" t="str">
            <v>Egyéb különféle pénzügyi műveletek kiadásai</v>
          </cell>
        </row>
        <row r="135">
          <cell r="A135" t="str">
            <v>053541</v>
          </cell>
          <cell r="B135" t="str">
            <v>Egyéb pénzügyi műveletek kiadásai</v>
          </cell>
        </row>
        <row r="136">
          <cell r="A136" t="str">
            <v>0535511</v>
          </cell>
          <cell r="B136" t="str">
            <v>Adók, adójellegű befizetések</v>
          </cell>
        </row>
        <row r="137">
          <cell r="A137" t="str">
            <v>0535512</v>
          </cell>
          <cell r="B137" t="str">
            <v>Díjak, egyéb befizetések</v>
          </cell>
        </row>
        <row r="138">
          <cell r="A138" t="str">
            <v>0535513</v>
          </cell>
          <cell r="B138" t="str">
            <v>Késedelmi kamat, kötbér, egyéb kártérítés</v>
          </cell>
        </row>
        <row r="139">
          <cell r="A139" t="str">
            <v>0535519</v>
          </cell>
          <cell r="B139" t="str">
            <v>Egyéb különféle dologi kiadások</v>
          </cell>
        </row>
        <row r="140">
          <cell r="A140" t="str">
            <v>053551</v>
          </cell>
          <cell r="B140" t="str">
            <v>Egyéb dologi kiadások</v>
          </cell>
        </row>
        <row r="141">
          <cell r="A141" t="str">
            <v>0535</v>
          </cell>
          <cell r="B141" t="str">
            <v>Különféle befizetések, egyéb dologi kiadások</v>
          </cell>
        </row>
        <row r="142">
          <cell r="A142" t="str">
            <v>053</v>
          </cell>
          <cell r="B142" t="str">
            <v>Dologi kiadások összesen</v>
          </cell>
        </row>
        <row r="143">
          <cell r="B143" t="str">
            <v>Működési kiadások összesen</v>
          </cell>
        </row>
        <row r="144">
          <cell r="A144" t="str">
            <v>056311</v>
          </cell>
          <cell r="B144" t="str">
            <v>Informatikai eszköz beszerzés</v>
          </cell>
        </row>
        <row r="145">
          <cell r="A145" t="str">
            <v>056411</v>
          </cell>
          <cell r="B145" t="str">
            <v>Egyéb eszköz beszerzés</v>
          </cell>
        </row>
        <row r="146">
          <cell r="A146" t="str">
            <v>056415</v>
          </cell>
          <cell r="B146" t="str">
            <v>Jármű beszerzés</v>
          </cell>
        </row>
        <row r="147">
          <cell r="A147" t="str">
            <v>05671</v>
          </cell>
          <cell r="B147" t="str">
            <v>Beruházás le nem vonható ÁFA</v>
          </cell>
        </row>
        <row r="148">
          <cell r="A148" t="str">
            <v>056</v>
          </cell>
          <cell r="B148" t="str">
            <v>Beruházások összesen</v>
          </cell>
        </row>
        <row r="149">
          <cell r="A149" t="str">
            <v>057211</v>
          </cell>
          <cell r="B149" t="str">
            <v>Informatikai eszköz felújítása</v>
          </cell>
        </row>
        <row r="150">
          <cell r="A150" t="str">
            <v>057311</v>
          </cell>
          <cell r="B150" t="str">
            <v>Egyéb eszköz felújítása</v>
          </cell>
        </row>
        <row r="151">
          <cell r="A151" t="str">
            <v>057315</v>
          </cell>
          <cell r="B151" t="str">
            <v>Jármű felújítása</v>
          </cell>
        </row>
        <row r="152">
          <cell r="A152" t="str">
            <v>05741</v>
          </cell>
          <cell r="B152" t="str">
            <v>Felújítás le nem vonfható ÁFA</v>
          </cell>
        </row>
        <row r="153">
          <cell r="A153" t="str">
            <v>057</v>
          </cell>
          <cell r="B153" t="str">
            <v>Felújítások összesen</v>
          </cell>
        </row>
        <row r="154">
          <cell r="B154" t="str">
            <v>Felhalmozási kiadások összesen</v>
          </cell>
        </row>
        <row r="155">
          <cell r="B155" t="str">
            <v>Kiadások mindösszesen</v>
          </cell>
        </row>
        <row r="157">
          <cell r="A157" t="str">
            <v>I.</v>
          </cell>
          <cell r="B157" t="str">
            <v>MŰKÖDÉSI KÖLTSÉGVETÉSI BEVÉTELEK</v>
          </cell>
        </row>
        <row r="158">
          <cell r="A158" t="str">
            <v>1.</v>
          </cell>
          <cell r="B158" t="str">
            <v>Működési célú támogatások államháztartáson belülről</v>
          </cell>
        </row>
        <row r="159">
          <cell r="B159" t="str">
            <v>1.1. Egyéb működési célú támogatások bevételei államháztartáson belülről</v>
          </cell>
        </row>
        <row r="160">
          <cell r="A160" t="str">
            <v>1.</v>
          </cell>
          <cell r="B160" t="str">
            <v>Működési bevételek</v>
          </cell>
        </row>
        <row r="161">
          <cell r="B161" t="str">
            <v>1.1. Készletértékesítés bevétele</v>
          </cell>
        </row>
        <row r="162">
          <cell r="B162" t="str">
            <v>1.2. Szolgáltatások ellenértéke</v>
          </cell>
        </row>
        <row r="163">
          <cell r="B163" t="str">
            <v>1.3. Tulajdonosi bevételek</v>
          </cell>
        </row>
        <row r="164">
          <cell r="B164" t="str">
            <v>Egyéb bérleti díj</v>
          </cell>
        </row>
        <row r="165">
          <cell r="B165" t="str">
            <v>1.4. Ellátási díjak</v>
          </cell>
        </row>
        <row r="166">
          <cell r="B166" t="str">
            <v>1.5. Kiszámlázott általános forgalmi adó</v>
          </cell>
        </row>
        <row r="167">
          <cell r="B167" t="str">
            <v>1.6. Általános forgalmi adó visszatérítése</v>
          </cell>
        </row>
        <row r="168">
          <cell r="B168" t="str">
            <v>1.7. Kamatbevételek</v>
          </cell>
        </row>
        <row r="169">
          <cell r="B169" t="str">
            <v>1.8. Egyéb működési bevételek</v>
          </cell>
        </row>
        <row r="170">
          <cell r="A170" t="str">
            <v>3.</v>
          </cell>
          <cell r="B170" t="str">
            <v>Működési célú átvett pénzeszközök</v>
          </cell>
        </row>
        <row r="171">
          <cell r="B171" t="str">
            <v>3.1. Egyéb működési célú átvett pénzeszközök</v>
          </cell>
        </row>
      </sheetData>
      <sheetData sheetId="37" refreshError="1"/>
      <sheetData sheetId="3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gyenlegmutató"/>
      <sheetName val="0.Mérleg"/>
      <sheetName val="1A. Fő bev"/>
      <sheetName val="1B. Fő kiad"/>
      <sheetName val="1C Bev kiad fel"/>
      <sheetName val="2A Önk bev"/>
      <sheetName val="2B Önk kiad"/>
      <sheetName val="2C Önk bev kiad fel"/>
      <sheetName val="2D Céltartalék"/>
      <sheetName val="2E VÉA"/>
      <sheetName val="2F KVA"/>
      <sheetName val="3A PH"/>
      <sheetName val="3B PH fel"/>
      <sheetName val="4A Walla"/>
      <sheetName val="4B Nyitnikék"/>
      <sheetName val="4C Bóbita"/>
      <sheetName val="4D MMMH"/>
      <sheetName val="4E Könyvtár"/>
      <sheetName val="4F Segítő Kéz"/>
      <sheetName val="4G Szérüskert"/>
      <sheetName val="Walla"/>
      <sheetName val="4H VG bev kiad"/>
      <sheetName val="5 GSZNR fel"/>
      <sheetName val="Könyvtár"/>
      <sheetName val="6. létszámkeret"/>
      <sheetName val="Beruházás"/>
      <sheetName val="Felújítás"/>
      <sheetName val="7. projektek"/>
      <sheetName val="7. Fejlesztések"/>
      <sheetName val="8. stab tv"/>
      <sheetName val="9. Uniós tám"/>
      <sheetName val="10. címrend"/>
      <sheetName val="ÖK kiad"/>
      <sheetName val="MMMH"/>
      <sheetName val="Nyitnikék"/>
      <sheetName val="Bóbita"/>
      <sheetName val="SKSZ"/>
      <sheetName val="PH"/>
    </sheetNames>
    <sheetDataSet>
      <sheetData sheetId="0"/>
      <sheetData sheetId="1"/>
      <sheetData sheetId="2">
        <row r="5">
          <cell r="F5">
            <v>674769291</v>
          </cell>
        </row>
        <row r="10">
          <cell r="F10">
            <v>3647000000</v>
          </cell>
        </row>
        <row r="11">
          <cell r="F11">
            <v>1157000000</v>
          </cell>
        </row>
        <row r="12">
          <cell r="F12">
            <v>2480000000</v>
          </cell>
        </row>
        <row r="14">
          <cell r="F14">
            <v>1000000</v>
          </cell>
        </row>
        <row r="15">
          <cell r="F15">
            <v>1000000</v>
          </cell>
        </row>
        <row r="16">
          <cell r="F16">
            <v>0</v>
          </cell>
        </row>
        <row r="17">
          <cell r="F17">
            <v>257523960</v>
          </cell>
        </row>
        <row r="20">
          <cell r="F20">
            <v>34245000</v>
          </cell>
        </row>
        <row r="26">
          <cell r="F26">
            <v>0</v>
          </cell>
        </row>
        <row r="30">
          <cell r="F30">
            <v>439116000</v>
          </cell>
        </row>
        <row r="34">
          <cell r="F34">
            <v>110000000</v>
          </cell>
        </row>
        <row r="39">
          <cell r="F39">
            <v>901655</v>
          </cell>
        </row>
        <row r="48">
          <cell r="F48">
            <v>0</v>
          </cell>
        </row>
        <row r="53">
          <cell r="F53">
            <v>0</v>
          </cell>
        </row>
        <row r="54">
          <cell r="F54">
            <v>1000000000</v>
          </cell>
        </row>
        <row r="56">
          <cell r="F56">
            <v>0</v>
          </cell>
        </row>
        <row r="57">
          <cell r="F57">
            <v>0</v>
          </cell>
        </row>
      </sheetData>
      <sheetData sheetId="3">
        <row r="5">
          <cell r="F5">
            <v>1664186070</v>
          </cell>
        </row>
        <row r="6">
          <cell r="F6">
            <v>327439915</v>
          </cell>
        </row>
        <row r="7">
          <cell r="F7">
            <v>1582950725</v>
          </cell>
        </row>
        <row r="8">
          <cell r="F8">
            <v>34000000</v>
          </cell>
        </row>
        <row r="9">
          <cell r="F9">
            <v>943223006</v>
          </cell>
        </row>
        <row r="16">
          <cell r="F16">
            <v>1155840350</v>
          </cell>
        </row>
        <row r="17">
          <cell r="F17">
            <v>215509840</v>
          </cell>
        </row>
        <row r="18">
          <cell r="F18">
            <v>700000</v>
          </cell>
        </row>
        <row r="27">
          <cell r="B27" t="str">
            <v>1.1. Hitel-, kölcsöntörlesztés államháztartáson kívülre</v>
          </cell>
          <cell r="F27">
            <v>180645000</v>
          </cell>
        </row>
        <row r="29">
          <cell r="F29">
            <v>24816000</v>
          </cell>
        </row>
        <row r="32">
          <cell r="F32">
            <v>0</v>
          </cell>
        </row>
      </sheetData>
      <sheetData sheetId="4"/>
      <sheetData sheetId="5">
        <row r="31">
          <cell r="F31">
            <v>70000000</v>
          </cell>
        </row>
      </sheetData>
      <sheetData sheetId="6">
        <row r="5">
          <cell r="F5">
            <v>11</v>
          </cell>
        </row>
        <row r="6">
          <cell r="F6">
            <v>0</v>
          </cell>
        </row>
      </sheetData>
      <sheetData sheetId="7">
        <row r="220">
          <cell r="E220">
            <v>180645000</v>
          </cell>
        </row>
      </sheetData>
      <sheetData sheetId="8"/>
      <sheetData sheetId="9"/>
      <sheetData sheetId="10"/>
      <sheetData sheetId="11">
        <row r="5">
          <cell r="F5">
            <v>84</v>
          </cell>
        </row>
        <row r="6">
          <cell r="F6">
            <v>0</v>
          </cell>
        </row>
        <row r="7">
          <cell r="F7">
            <v>7</v>
          </cell>
        </row>
      </sheetData>
      <sheetData sheetId="12"/>
      <sheetData sheetId="13">
        <row r="6">
          <cell r="E6">
            <v>13</v>
          </cell>
        </row>
      </sheetData>
      <sheetData sheetId="14">
        <row r="6">
          <cell r="E6">
            <v>32</v>
          </cell>
        </row>
      </sheetData>
      <sheetData sheetId="15">
        <row r="6">
          <cell r="E6">
            <v>55</v>
          </cell>
        </row>
      </sheetData>
      <sheetData sheetId="16">
        <row r="6">
          <cell r="E6">
            <v>17</v>
          </cell>
        </row>
      </sheetData>
      <sheetData sheetId="17">
        <row r="6">
          <cell r="E6">
            <v>5.5</v>
          </cell>
        </row>
      </sheetData>
      <sheetData sheetId="18"/>
      <sheetData sheetId="19">
        <row r="6">
          <cell r="E6">
            <v>24</v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>
        <row r="9">
          <cell r="D9">
            <v>15500000</v>
          </cell>
          <cell r="E9">
            <v>4145000</v>
          </cell>
        </row>
      </sheetData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3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7"/>
  <sheetViews>
    <sheetView showGridLines="0" topLeftCell="A13" zoomScale="75" zoomScaleNormal="75" workbookViewId="0">
      <selection activeCell="F24" sqref="F24"/>
    </sheetView>
  </sheetViews>
  <sheetFormatPr defaultRowHeight="15" x14ac:dyDescent="0.25"/>
  <cols>
    <col min="1" max="1" width="80.7109375" customWidth="1"/>
    <col min="2" max="2" width="31.140625" customWidth="1"/>
  </cols>
  <sheetData>
    <row r="1" spans="1:2" ht="53.65" customHeight="1" x14ac:dyDescent="0.5">
      <c r="A1" s="934" t="s">
        <v>1023</v>
      </c>
      <c r="B1" s="934"/>
    </row>
    <row r="2" spans="1:2" ht="31.5" x14ac:dyDescent="0.5">
      <c r="A2" s="129" t="s">
        <v>585</v>
      </c>
      <c r="B2" s="130" t="e">
        <f>#REF!</f>
        <v>#REF!</v>
      </c>
    </row>
    <row r="3" spans="1:2" ht="63" x14ac:dyDescent="0.25">
      <c r="A3" s="348" t="s">
        <v>1298</v>
      </c>
      <c r="B3" s="349" t="e">
        <f>B2-'2D Céltartalék'!B34</f>
        <v>#REF!</v>
      </c>
    </row>
    <row r="4" spans="1:2" ht="31.5" x14ac:dyDescent="0.5">
      <c r="A4" s="131" t="s">
        <v>586</v>
      </c>
      <c r="B4" s="132" t="e">
        <f>#REF!</f>
        <v>#REF!</v>
      </c>
    </row>
    <row r="5" spans="1:2" ht="63" customHeight="1" x14ac:dyDescent="0.5">
      <c r="A5" s="934" t="s">
        <v>1024</v>
      </c>
      <c r="B5" s="934"/>
    </row>
    <row r="6" spans="1:2" ht="31.5" x14ac:dyDescent="0.5">
      <c r="A6" s="133" t="s">
        <v>588</v>
      </c>
      <c r="B6" s="134" t="e">
        <f>#REF!</f>
        <v>#REF!</v>
      </c>
    </row>
    <row r="7" spans="1:2" ht="31.5" x14ac:dyDescent="0.5">
      <c r="A7" s="135" t="s">
        <v>589</v>
      </c>
      <c r="B7" s="136" t="e">
        <f>#REF!</f>
        <v>#REF!</v>
      </c>
    </row>
    <row r="8" spans="1:2" ht="60.75" customHeight="1" x14ac:dyDescent="0.5">
      <c r="A8" s="934" t="s">
        <v>1025</v>
      </c>
      <c r="B8" s="934"/>
    </row>
    <row r="9" spans="1:2" ht="31.5" x14ac:dyDescent="0.5">
      <c r="A9" s="133" t="s">
        <v>1021</v>
      </c>
      <c r="B9" s="134" t="e">
        <f>#REF!</f>
        <v>#REF!</v>
      </c>
    </row>
    <row r="10" spans="1:2" ht="31.5" x14ac:dyDescent="0.5">
      <c r="A10" s="135" t="s">
        <v>1022</v>
      </c>
      <c r="B10" s="136" t="e">
        <f>#REF!</f>
        <v>#REF!</v>
      </c>
    </row>
    <row r="11" spans="1:2" ht="53.65" customHeight="1" x14ac:dyDescent="0.5">
      <c r="A11" s="934" t="s">
        <v>1026</v>
      </c>
      <c r="B11" s="934"/>
    </row>
    <row r="12" spans="1:2" ht="39.75" customHeight="1" x14ac:dyDescent="0.5">
      <c r="A12" s="201" t="s">
        <v>1145</v>
      </c>
      <c r="B12" s="203" t="e">
        <f>#REF!</f>
        <v>#REF!</v>
      </c>
    </row>
    <row r="13" spans="1:2" ht="42" customHeight="1" x14ac:dyDescent="0.5">
      <c r="A13" s="202" t="s">
        <v>1027</v>
      </c>
      <c r="B13" s="204" t="e">
        <f>#REF!</f>
        <v>#REF!</v>
      </c>
    </row>
    <row r="14" spans="1:2" ht="41.25" customHeight="1" x14ac:dyDescent="0.5">
      <c r="A14" s="200" t="s">
        <v>1028</v>
      </c>
      <c r="B14" s="205" t="e">
        <f>B12+B13</f>
        <v>#REF!</v>
      </c>
    </row>
    <row r="16" spans="1:2" ht="53.65" customHeight="1" x14ac:dyDescent="0.5">
      <c r="A16" s="934" t="s">
        <v>1295</v>
      </c>
      <c r="B16" s="934"/>
    </row>
    <row r="17" spans="1:6" ht="39.75" customHeight="1" x14ac:dyDescent="0.5">
      <c r="A17" s="200" t="s">
        <v>1296</v>
      </c>
      <c r="B17" s="205" t="e">
        <f>#REF!</f>
        <v>#REF!</v>
      </c>
    </row>
    <row r="20" spans="1:6" s="92" customFormat="1" ht="69" customHeight="1" x14ac:dyDescent="0.25">
      <c r="A20" s="207" t="s">
        <v>1146</v>
      </c>
      <c r="B20" s="208" t="e">
        <f>IF(#REF!-#REF!&gt;0,#REF!-#REF!,B37)</f>
        <v>#REF!</v>
      </c>
    </row>
    <row r="21" spans="1:6" ht="49.9" customHeight="1" x14ac:dyDescent="0.55000000000000004">
      <c r="B21" s="209" t="e">
        <f>#REF!-#REF!</f>
        <v>#REF!</v>
      </c>
    </row>
    <row r="22" spans="1:6" x14ac:dyDescent="0.25">
      <c r="F22">
        <v>138000</v>
      </c>
    </row>
    <row r="23" spans="1:6" x14ac:dyDescent="0.25">
      <c r="F23" s="673" t="e">
        <f>+B21+F22</f>
        <v>#REF!</v>
      </c>
    </row>
    <row r="37" spans="2:2" x14ac:dyDescent="0.25">
      <c r="B37" t="s">
        <v>1135</v>
      </c>
    </row>
  </sheetData>
  <mergeCells count="5">
    <mergeCell ref="A1:B1"/>
    <mergeCell ref="A5:B5"/>
    <mergeCell ref="A8:B8"/>
    <mergeCell ref="A11:B11"/>
    <mergeCell ref="A16:B16"/>
  </mergeCells>
  <pageMargins left="0.7" right="0.7" top="0.75" bottom="0.75" header="0.3" footer="0.3"/>
  <pageSetup paperSize="8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F34"/>
  <sheetViews>
    <sheetView view="pageBreakPreview" zoomScale="95" zoomScaleNormal="100" zoomScaleSheetLayoutView="95" workbookViewId="0">
      <selection activeCell="F15" sqref="F15"/>
    </sheetView>
  </sheetViews>
  <sheetFormatPr defaultColWidth="9.140625" defaultRowHeight="15" x14ac:dyDescent="0.25"/>
  <cols>
    <col min="1" max="1" width="5.7109375" style="384" customWidth="1"/>
    <col min="2" max="2" width="61.7109375" style="370" customWidth="1"/>
    <col min="3" max="3" width="15.140625" style="370" customWidth="1"/>
    <col min="4" max="4" width="15.85546875" style="370" customWidth="1"/>
    <col min="5" max="5" width="13.5703125" style="370" customWidth="1"/>
    <col min="6" max="6" width="14.85546875" style="370" customWidth="1"/>
    <col min="7" max="16384" width="9.140625" style="370"/>
  </cols>
  <sheetData>
    <row r="1" spans="1:6" x14ac:dyDescent="0.25">
      <c r="D1" s="369"/>
      <c r="F1" s="369" t="s">
        <v>1662</v>
      </c>
    </row>
    <row r="2" spans="1:6" s="387" customFormat="1" ht="60" x14ac:dyDescent="0.25">
      <c r="A2" s="385" t="s">
        <v>1227</v>
      </c>
      <c r="B2" s="385" t="s">
        <v>306</v>
      </c>
      <c r="C2" s="386" t="s">
        <v>1658</v>
      </c>
      <c r="D2" s="386" t="s">
        <v>1659</v>
      </c>
      <c r="E2" s="386" t="s">
        <v>1792</v>
      </c>
      <c r="F2" s="386" t="s">
        <v>1793</v>
      </c>
    </row>
    <row r="3" spans="1:6" x14ac:dyDescent="0.25">
      <c r="A3" s="388" t="s">
        <v>1229</v>
      </c>
      <c r="B3" s="389" t="s">
        <v>1228</v>
      </c>
      <c r="C3" s="390">
        <f>C11+C12</f>
        <v>80979000</v>
      </c>
      <c r="D3" s="390">
        <f>D33+D34</f>
        <v>80979000</v>
      </c>
      <c r="E3" s="390">
        <f>E11+E12</f>
        <v>122479000</v>
      </c>
      <c r="F3" s="390">
        <f>F33+F34</f>
        <v>122479000</v>
      </c>
    </row>
    <row r="4" spans="1:6" ht="39.75" customHeight="1" x14ac:dyDescent="0.25">
      <c r="A4" s="214" t="s">
        <v>1165</v>
      </c>
      <c r="B4" s="215" t="s">
        <v>1166</v>
      </c>
      <c r="C4" s="216"/>
      <c r="D4" s="216"/>
      <c r="E4" s="216"/>
      <c r="F4" s="216"/>
    </row>
    <row r="5" spans="1:6" x14ac:dyDescent="0.25">
      <c r="A5" s="391" t="s">
        <v>309</v>
      </c>
      <c r="B5" s="392" t="s">
        <v>310</v>
      </c>
      <c r="C5" s="393">
        <f>C6</f>
        <v>36637000</v>
      </c>
      <c r="D5" s="393"/>
      <c r="E5" s="393">
        <f>E6</f>
        <v>36637000</v>
      </c>
      <c r="F5" s="393"/>
    </row>
    <row r="6" spans="1:6" x14ac:dyDescent="0.25">
      <c r="A6" s="394" t="s">
        <v>311</v>
      </c>
      <c r="B6" s="395" t="s">
        <v>314</v>
      </c>
      <c r="C6" s="396">
        <f>C7+C9</f>
        <v>36637000</v>
      </c>
      <c r="D6" s="397"/>
      <c r="E6" s="396">
        <f>E7+E9</f>
        <v>36637000</v>
      </c>
      <c r="F6" s="397"/>
    </row>
    <row r="7" spans="1:6" x14ac:dyDescent="0.25">
      <c r="A7" s="398"/>
      <c r="B7" s="399" t="s">
        <v>1167</v>
      </c>
      <c r="C7" s="400">
        <f>SUM(C8)</f>
        <v>28848000</v>
      </c>
      <c r="D7" s="400"/>
      <c r="E7" s="400">
        <f>SUM(E8)</f>
        <v>28848000</v>
      </c>
      <c r="F7" s="400"/>
    </row>
    <row r="8" spans="1:6" x14ac:dyDescent="0.25">
      <c r="A8" s="398"/>
      <c r="B8" s="401" t="s">
        <v>1168</v>
      </c>
      <c r="C8" s="400">
        <v>28848000</v>
      </c>
      <c r="D8" s="400"/>
      <c r="E8" s="400">
        <v>28848000</v>
      </c>
      <c r="F8" s="400"/>
    </row>
    <row r="9" spans="1:6" x14ac:dyDescent="0.25">
      <c r="A9" s="398"/>
      <c r="B9" s="402" t="s">
        <v>1169</v>
      </c>
      <c r="C9" s="400">
        <v>7789000</v>
      </c>
      <c r="D9" s="400"/>
      <c r="E9" s="400">
        <v>7789000</v>
      </c>
      <c r="F9" s="400"/>
    </row>
    <row r="10" spans="1:6" x14ac:dyDescent="0.25">
      <c r="A10" s="391" t="s">
        <v>318</v>
      </c>
      <c r="B10" s="392" t="s">
        <v>1170</v>
      </c>
      <c r="C10" s="393">
        <v>0</v>
      </c>
      <c r="D10" s="393"/>
      <c r="E10" s="393">
        <v>0</v>
      </c>
      <c r="F10" s="393"/>
    </row>
    <row r="11" spans="1:6" x14ac:dyDescent="0.25">
      <c r="A11" s="403"/>
      <c r="B11" s="404" t="s">
        <v>327</v>
      </c>
      <c r="C11" s="405">
        <f>C5+C10</f>
        <v>36637000</v>
      </c>
      <c r="D11" s="405"/>
      <c r="E11" s="405">
        <f>E5+E10</f>
        <v>36637000</v>
      </c>
      <c r="F11" s="405"/>
    </row>
    <row r="12" spans="1:6" x14ac:dyDescent="0.25">
      <c r="A12" s="391" t="s">
        <v>328</v>
      </c>
      <c r="B12" s="392" t="s">
        <v>329</v>
      </c>
      <c r="C12" s="393">
        <f>C13</f>
        <v>44342000</v>
      </c>
      <c r="D12" s="393"/>
      <c r="E12" s="393">
        <f>E13</f>
        <v>85842000</v>
      </c>
      <c r="F12" s="393"/>
    </row>
    <row r="13" spans="1:6" x14ac:dyDescent="0.25">
      <c r="A13" s="394" t="s">
        <v>311</v>
      </c>
      <c r="B13" s="395" t="s">
        <v>1171</v>
      </c>
      <c r="C13" s="397">
        <f>C14</f>
        <v>44342000</v>
      </c>
      <c r="D13" s="397"/>
      <c r="E13" s="397">
        <f>E14</f>
        <v>85842000</v>
      </c>
      <c r="F13" s="397"/>
    </row>
    <row r="14" spans="1:6" x14ac:dyDescent="0.25">
      <c r="A14" s="398"/>
      <c r="B14" s="399" t="s">
        <v>331</v>
      </c>
      <c r="C14" s="400">
        <f>44342000</f>
        <v>44342000</v>
      </c>
      <c r="D14" s="400"/>
      <c r="E14" s="400">
        <f>44342000+41500000</f>
        <v>85842000</v>
      </c>
      <c r="F14" s="400"/>
    </row>
    <row r="15" spans="1:6" x14ac:dyDescent="0.25">
      <c r="A15" s="398"/>
      <c r="B15" s="399" t="s">
        <v>1718</v>
      </c>
      <c r="C15" s="400">
        <v>30480000</v>
      </c>
      <c r="D15" s="400"/>
      <c r="E15" s="400">
        <v>30480000</v>
      </c>
      <c r="F15" s="400"/>
    </row>
    <row r="16" spans="1:6" ht="42" customHeight="1" x14ac:dyDescent="0.25">
      <c r="A16" s="214" t="s">
        <v>1172</v>
      </c>
      <c r="B16" s="215" t="s">
        <v>1173</v>
      </c>
      <c r="C16" s="216"/>
      <c r="D16" s="216"/>
      <c r="E16" s="216"/>
      <c r="F16" s="216"/>
    </row>
    <row r="17" spans="1:6" x14ac:dyDescent="0.25">
      <c r="A17" s="391" t="s">
        <v>1128</v>
      </c>
      <c r="B17" s="392" t="s">
        <v>334</v>
      </c>
      <c r="C17" s="393"/>
      <c r="D17" s="393">
        <f>D18</f>
        <v>0</v>
      </c>
      <c r="E17" s="393"/>
      <c r="F17" s="393">
        <f>F18</f>
        <v>0</v>
      </c>
    </row>
    <row r="18" spans="1:6" x14ac:dyDescent="0.25">
      <c r="A18" s="394" t="s">
        <v>311</v>
      </c>
      <c r="B18" s="395" t="s">
        <v>917</v>
      </c>
      <c r="C18" s="397"/>
      <c r="D18" s="397">
        <f>D19</f>
        <v>0</v>
      </c>
      <c r="E18" s="397"/>
      <c r="F18" s="397">
        <f>F19</f>
        <v>0</v>
      </c>
    </row>
    <row r="19" spans="1:6" x14ac:dyDescent="0.25">
      <c r="A19" s="398"/>
      <c r="B19" s="399" t="s">
        <v>1174</v>
      </c>
      <c r="C19" s="400"/>
      <c r="D19" s="400">
        <v>0</v>
      </c>
      <c r="E19" s="400"/>
      <c r="F19" s="400">
        <v>0</v>
      </c>
    </row>
    <row r="20" spans="1:6" x14ac:dyDescent="0.25">
      <c r="A20" s="391" t="s">
        <v>1175</v>
      </c>
      <c r="B20" s="392" t="s">
        <v>340</v>
      </c>
      <c r="C20" s="393"/>
      <c r="D20" s="393">
        <f>D21+D28+D31</f>
        <v>80979000</v>
      </c>
      <c r="E20" s="393"/>
      <c r="F20" s="393">
        <f>F21+F28+F31</f>
        <v>122479000</v>
      </c>
    </row>
    <row r="21" spans="1:6" x14ac:dyDescent="0.25">
      <c r="A21" s="394" t="s">
        <v>311</v>
      </c>
      <c r="B21" s="395" t="s">
        <v>351</v>
      </c>
      <c r="C21" s="397"/>
      <c r="D21" s="397">
        <f>D22+D23+D24+D25+D26+D27</f>
        <v>0</v>
      </c>
      <c r="E21" s="397"/>
      <c r="F21" s="397">
        <f>F22+F23+F24+F25+F26+F27</f>
        <v>0</v>
      </c>
    </row>
    <row r="22" spans="1:6" x14ac:dyDescent="0.25">
      <c r="A22" s="398"/>
      <c r="B22" s="399" t="s">
        <v>1347</v>
      </c>
      <c r="C22" s="400"/>
      <c r="D22" s="400"/>
      <c r="E22" s="400"/>
      <c r="F22" s="400"/>
    </row>
    <row r="23" spans="1:6" hidden="1" x14ac:dyDescent="0.25">
      <c r="A23" s="398"/>
      <c r="B23" s="399"/>
      <c r="C23" s="400"/>
      <c r="D23" s="400">
        <v>0</v>
      </c>
      <c r="E23" s="400"/>
      <c r="F23" s="400">
        <v>0</v>
      </c>
    </row>
    <row r="24" spans="1:6" hidden="1" x14ac:dyDescent="0.25">
      <c r="A24" s="398"/>
      <c r="B24" s="399"/>
      <c r="C24" s="400"/>
      <c r="D24" s="400"/>
      <c r="E24" s="400"/>
      <c r="F24" s="400"/>
    </row>
    <row r="25" spans="1:6" hidden="1" x14ac:dyDescent="0.25">
      <c r="A25" s="398"/>
      <c r="B25" s="399"/>
      <c r="C25" s="400"/>
      <c r="D25" s="400"/>
      <c r="E25" s="400"/>
      <c r="F25" s="400"/>
    </row>
    <row r="26" spans="1:6" hidden="1" x14ac:dyDescent="0.25">
      <c r="A26" s="398"/>
      <c r="B26" s="399"/>
      <c r="C26" s="400"/>
      <c r="D26" s="400"/>
      <c r="E26" s="400"/>
      <c r="F26" s="400"/>
    </row>
    <row r="27" spans="1:6" hidden="1" x14ac:dyDescent="0.25">
      <c r="A27" s="398"/>
      <c r="B27" s="399"/>
      <c r="C27" s="400"/>
      <c r="D27" s="400"/>
      <c r="E27" s="400"/>
      <c r="F27" s="400"/>
    </row>
    <row r="28" spans="1:6" x14ac:dyDescent="0.25">
      <c r="A28" s="394" t="s">
        <v>322</v>
      </c>
      <c r="B28" s="395" t="s">
        <v>342</v>
      </c>
      <c r="C28" s="397"/>
      <c r="D28" s="397">
        <f>SUM(D29:D30)</f>
        <v>66750500</v>
      </c>
      <c r="E28" s="397"/>
      <c r="F28" s="397">
        <f>SUM(F29:F30)</f>
        <v>66750500</v>
      </c>
    </row>
    <row r="29" spans="1:6" x14ac:dyDescent="0.25">
      <c r="A29" s="398"/>
      <c r="B29" s="399" t="s">
        <v>1348</v>
      </c>
      <c r="C29" s="400"/>
      <c r="D29" s="400">
        <v>3123500</v>
      </c>
      <c r="E29" s="400"/>
      <c r="F29" s="400">
        <v>3123500</v>
      </c>
    </row>
    <row r="30" spans="1:6" x14ac:dyDescent="0.25">
      <c r="A30" s="398"/>
      <c r="B30" s="399" t="s">
        <v>993</v>
      </c>
      <c r="C30" s="400"/>
      <c r="D30" s="400">
        <v>63627000</v>
      </c>
      <c r="E30" s="400"/>
      <c r="F30" s="400">
        <v>63627000</v>
      </c>
    </row>
    <row r="31" spans="1:6" x14ac:dyDescent="0.25">
      <c r="A31" s="394" t="s">
        <v>315</v>
      </c>
      <c r="B31" s="395" t="s">
        <v>1341</v>
      </c>
      <c r="C31" s="397"/>
      <c r="D31" s="397">
        <f>D32</f>
        <v>14228500</v>
      </c>
      <c r="E31" s="397"/>
      <c r="F31" s="397">
        <f>F32</f>
        <v>55728500</v>
      </c>
    </row>
    <row r="32" spans="1:6" x14ac:dyDescent="0.25">
      <c r="A32" s="398"/>
      <c r="B32" s="399" t="s">
        <v>1342</v>
      </c>
      <c r="C32" s="400"/>
      <c r="D32" s="400">
        <f>14228500</f>
        <v>14228500</v>
      </c>
      <c r="E32" s="400"/>
      <c r="F32" s="400">
        <f>14228500+41500000</f>
        <v>55728500</v>
      </c>
    </row>
    <row r="33" spans="1:6" x14ac:dyDescent="0.25">
      <c r="A33" s="403"/>
      <c r="B33" s="404" t="s">
        <v>590</v>
      </c>
      <c r="C33" s="405"/>
      <c r="D33" s="405">
        <f>D17+D20</f>
        <v>80979000</v>
      </c>
      <c r="E33" s="405"/>
      <c r="F33" s="405">
        <f>F17+F20</f>
        <v>122479000</v>
      </c>
    </row>
    <row r="34" spans="1:6" x14ac:dyDescent="0.25">
      <c r="A34" s="391" t="s">
        <v>1176</v>
      </c>
      <c r="B34" s="392" t="s">
        <v>593</v>
      </c>
      <c r="C34" s="393"/>
      <c r="D34" s="393">
        <v>0</v>
      </c>
      <c r="E34" s="393"/>
      <c r="F34" s="393">
        <v>0</v>
      </c>
    </row>
  </sheetData>
  <pageMargins left="0.70866141732283472" right="0.70866141732283472" top="1.2204724409448819" bottom="0.74803149606299213" header="0.70866141732283472" footer="0.31496062992125984"/>
  <pageSetup paperSize="9" scale="68" orientation="portrait" r:id="rId1"/>
  <headerFooter>
    <oddHeader>&amp;L2/E. melléklet a ......./2020. (.................) önkormányzati rendelethez&amp;C&amp;"-,Félkövér"&amp;14
A Vízügyi Építési Alap 2020. évi költségvetése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D35"/>
  <sheetViews>
    <sheetView view="pageBreakPreview" topLeftCell="A22" zoomScale="106" zoomScaleNormal="100" zoomScaleSheetLayoutView="106" workbookViewId="0">
      <selection activeCell="C22" sqref="C22"/>
    </sheetView>
  </sheetViews>
  <sheetFormatPr defaultRowHeight="15" x14ac:dyDescent="0.25"/>
  <cols>
    <col min="1" max="1" width="5.7109375" style="231" customWidth="1"/>
    <col min="2" max="2" width="61.7109375" customWidth="1"/>
    <col min="3" max="3" width="17.5703125" customWidth="1"/>
    <col min="4" max="4" width="18" customWidth="1"/>
    <col min="5" max="5" width="20.85546875" customWidth="1"/>
  </cols>
  <sheetData>
    <row r="1" spans="1:4" x14ac:dyDescent="0.25">
      <c r="D1" s="31" t="s">
        <v>1662</v>
      </c>
    </row>
    <row r="2" spans="1:4" s="211" customFormat="1" ht="30" x14ac:dyDescent="0.25">
      <c r="A2" s="210" t="s">
        <v>1227</v>
      </c>
      <c r="B2" s="210" t="s">
        <v>306</v>
      </c>
      <c r="C2" s="265" t="s">
        <v>1656</v>
      </c>
      <c r="D2" s="265" t="s">
        <v>1657</v>
      </c>
    </row>
    <row r="3" spans="1:4" x14ac:dyDescent="0.25">
      <c r="A3" s="264" t="s">
        <v>1252</v>
      </c>
      <c r="B3" s="212" t="s">
        <v>1253</v>
      </c>
      <c r="C3" s="213">
        <f>C18+C19</f>
        <v>4460855</v>
      </c>
      <c r="D3" s="213">
        <f>D34+D35</f>
        <v>4460855</v>
      </c>
    </row>
    <row r="4" spans="1:4" ht="39.75" customHeight="1" x14ac:dyDescent="0.25">
      <c r="A4" s="214" t="s">
        <v>1165</v>
      </c>
      <c r="B4" s="215" t="s">
        <v>1166</v>
      </c>
      <c r="C4" s="216"/>
      <c r="D4" s="216"/>
    </row>
    <row r="5" spans="1:4" x14ac:dyDescent="0.25">
      <c r="A5" s="217" t="s">
        <v>309</v>
      </c>
      <c r="B5" s="218" t="s">
        <v>310</v>
      </c>
      <c r="C5" s="219">
        <f>C6+C10+C13</f>
        <v>0</v>
      </c>
      <c r="D5" s="219"/>
    </row>
    <row r="6" spans="1:4" x14ac:dyDescent="0.25">
      <c r="A6" s="220" t="s">
        <v>311</v>
      </c>
      <c r="B6" s="221" t="s">
        <v>485</v>
      </c>
      <c r="C6" s="222">
        <f>SUM(C7:C9)</f>
        <v>0</v>
      </c>
      <c r="D6" s="222"/>
    </row>
    <row r="7" spans="1:4" x14ac:dyDescent="0.25">
      <c r="A7" s="223"/>
      <c r="B7" s="230" t="s">
        <v>498</v>
      </c>
      <c r="C7" s="97">
        <v>0</v>
      </c>
      <c r="D7" s="97"/>
    </row>
    <row r="8" spans="1:4" x14ac:dyDescent="0.25">
      <c r="A8" s="223"/>
      <c r="B8" s="230" t="s">
        <v>1254</v>
      </c>
      <c r="C8" s="97">
        <v>0</v>
      </c>
      <c r="D8" s="97"/>
    </row>
    <row r="9" spans="1:4" x14ac:dyDescent="0.25">
      <c r="A9" s="223"/>
      <c r="B9" s="230" t="s">
        <v>493</v>
      </c>
      <c r="C9" s="97"/>
      <c r="D9" s="97"/>
    </row>
    <row r="10" spans="1:4" x14ac:dyDescent="0.25">
      <c r="A10" s="220" t="s">
        <v>322</v>
      </c>
      <c r="B10" s="221" t="s">
        <v>314</v>
      </c>
      <c r="C10" s="222">
        <f>C11</f>
        <v>0</v>
      </c>
      <c r="D10" s="222"/>
    </row>
    <row r="11" spans="1:4" x14ac:dyDescent="0.25">
      <c r="A11" s="225"/>
      <c r="B11" s="226" t="s">
        <v>1256</v>
      </c>
      <c r="C11" s="95">
        <v>0</v>
      </c>
      <c r="D11" s="95"/>
    </row>
    <row r="12" spans="1:4" x14ac:dyDescent="0.25">
      <c r="A12" s="225"/>
      <c r="B12" s="226" t="s">
        <v>1257</v>
      </c>
      <c r="C12" s="95">
        <v>0</v>
      </c>
      <c r="D12" s="95"/>
    </row>
    <row r="13" spans="1:4" x14ac:dyDescent="0.25">
      <c r="A13" s="220" t="s">
        <v>315</v>
      </c>
      <c r="B13" s="221" t="s">
        <v>316</v>
      </c>
      <c r="C13" s="222">
        <f>SUM(C14:C16)</f>
        <v>0</v>
      </c>
      <c r="D13" s="222"/>
    </row>
    <row r="14" spans="1:4" hidden="1" x14ac:dyDescent="0.25">
      <c r="A14" s="225"/>
      <c r="B14" s="226" t="s">
        <v>1255</v>
      </c>
      <c r="C14" s="95">
        <v>0</v>
      </c>
      <c r="D14" s="95"/>
    </row>
    <row r="15" spans="1:4" hidden="1" x14ac:dyDescent="0.25">
      <c r="A15" s="225"/>
      <c r="B15" s="226" t="s">
        <v>1258</v>
      </c>
      <c r="C15" s="95">
        <v>0</v>
      </c>
      <c r="D15" s="95"/>
    </row>
    <row r="16" spans="1:4" s="92" customFormat="1" ht="31.9" hidden="1" customHeight="1" x14ac:dyDescent="0.25">
      <c r="A16" s="285"/>
      <c r="B16" s="286" t="s">
        <v>1259</v>
      </c>
      <c r="C16" s="96">
        <v>0</v>
      </c>
      <c r="D16" s="96"/>
    </row>
    <row r="17" spans="1:4" x14ac:dyDescent="0.25">
      <c r="A17" s="217" t="s">
        <v>318</v>
      </c>
      <c r="B17" s="218" t="s">
        <v>1170</v>
      </c>
      <c r="C17" s="219">
        <v>0</v>
      </c>
      <c r="D17" s="219"/>
    </row>
    <row r="18" spans="1:4" x14ac:dyDescent="0.25">
      <c r="A18" s="227"/>
      <c r="B18" s="228" t="s">
        <v>327</v>
      </c>
      <c r="C18" s="229">
        <f>C5+C17</f>
        <v>0</v>
      </c>
      <c r="D18" s="229"/>
    </row>
    <row r="19" spans="1:4" x14ac:dyDescent="0.25">
      <c r="A19" s="217" t="s">
        <v>328</v>
      </c>
      <c r="B19" s="218" t="s">
        <v>329</v>
      </c>
      <c r="C19" s="219">
        <f>C20</f>
        <v>4460855</v>
      </c>
      <c r="D19" s="219"/>
    </row>
    <row r="20" spans="1:4" x14ac:dyDescent="0.25">
      <c r="A20" s="220" t="s">
        <v>311</v>
      </c>
      <c r="B20" s="221" t="s">
        <v>1171</v>
      </c>
      <c r="C20" s="222">
        <f>C21</f>
        <v>4460855</v>
      </c>
      <c r="D20" s="222"/>
    </row>
    <row r="21" spans="1:4" x14ac:dyDescent="0.25">
      <c r="A21" s="223"/>
      <c r="B21" s="224" t="s">
        <v>331</v>
      </c>
      <c r="C21" s="97">
        <v>4460855</v>
      </c>
      <c r="D21" s="97"/>
    </row>
    <row r="22" spans="1:4" ht="42" customHeight="1" x14ac:dyDescent="0.25">
      <c r="A22" s="214" t="s">
        <v>1172</v>
      </c>
      <c r="B22" s="215" t="s">
        <v>1173</v>
      </c>
      <c r="C22" s="216"/>
      <c r="D22" s="216"/>
    </row>
    <row r="23" spans="1:4" x14ac:dyDescent="0.25">
      <c r="A23" s="217" t="s">
        <v>1128</v>
      </c>
      <c r="B23" s="218" t="s">
        <v>334</v>
      </c>
      <c r="C23" s="219"/>
      <c r="D23" s="219">
        <f>D26+D28</f>
        <v>4460855</v>
      </c>
    </row>
    <row r="24" spans="1:4" hidden="1" x14ac:dyDescent="0.25">
      <c r="A24" s="220" t="s">
        <v>311</v>
      </c>
      <c r="B24" s="221" t="s">
        <v>917</v>
      </c>
      <c r="C24" s="222"/>
      <c r="D24" s="222">
        <f>D25</f>
        <v>0</v>
      </c>
    </row>
    <row r="25" spans="1:4" hidden="1" x14ac:dyDescent="0.25">
      <c r="A25" s="223"/>
      <c r="B25" s="230" t="s">
        <v>1174</v>
      </c>
      <c r="C25" s="97"/>
      <c r="D25" s="97">
        <v>0</v>
      </c>
    </row>
    <row r="26" spans="1:4" x14ac:dyDescent="0.25">
      <c r="A26" s="220" t="s">
        <v>311</v>
      </c>
      <c r="B26" s="221" t="s">
        <v>292</v>
      </c>
      <c r="C26" s="222"/>
      <c r="D26" s="222"/>
    </row>
    <row r="27" spans="1:4" x14ac:dyDescent="0.25">
      <c r="A27" s="223"/>
      <c r="B27" s="230"/>
      <c r="C27" s="97"/>
      <c r="D27" s="97"/>
    </row>
    <row r="28" spans="1:4" x14ac:dyDescent="0.25">
      <c r="A28" s="220" t="s">
        <v>322</v>
      </c>
      <c r="B28" s="221" t="s">
        <v>339</v>
      </c>
      <c r="C28" s="222"/>
      <c r="D28" s="222">
        <f>D29</f>
        <v>4460855</v>
      </c>
    </row>
    <row r="29" spans="1:4" x14ac:dyDescent="0.25">
      <c r="A29" s="223"/>
      <c r="B29" s="230" t="s">
        <v>1260</v>
      </c>
      <c r="C29" s="97"/>
      <c r="D29" s="97">
        <v>4460855</v>
      </c>
    </row>
    <row r="30" spans="1:4" x14ac:dyDescent="0.25">
      <c r="A30" s="217" t="s">
        <v>1175</v>
      </c>
      <c r="B30" s="218" t="s">
        <v>340</v>
      </c>
      <c r="C30" s="219"/>
      <c r="D30" s="219">
        <f>D31+D33</f>
        <v>0</v>
      </c>
    </row>
    <row r="31" spans="1:4" x14ac:dyDescent="0.25">
      <c r="A31" s="220" t="s">
        <v>311</v>
      </c>
      <c r="B31" s="221" t="s">
        <v>351</v>
      </c>
      <c r="C31" s="222"/>
      <c r="D31" s="222">
        <f>D32</f>
        <v>0</v>
      </c>
    </row>
    <row r="32" spans="1:4" ht="30" hidden="1" x14ac:dyDescent="0.25">
      <c r="A32" s="287"/>
      <c r="B32" s="288" t="s">
        <v>1261</v>
      </c>
      <c r="C32" s="289"/>
      <c r="D32" s="289"/>
    </row>
    <row r="33" spans="1:4" x14ac:dyDescent="0.25">
      <c r="A33" s="220" t="s">
        <v>322</v>
      </c>
      <c r="B33" s="221" t="s">
        <v>342</v>
      </c>
      <c r="C33" s="222"/>
      <c r="D33" s="222">
        <v>0</v>
      </c>
    </row>
    <row r="34" spans="1:4" x14ac:dyDescent="0.25">
      <c r="A34" s="227"/>
      <c r="B34" s="228" t="s">
        <v>590</v>
      </c>
      <c r="C34" s="229"/>
      <c r="D34" s="229">
        <f>D23+D30</f>
        <v>4460855</v>
      </c>
    </row>
    <row r="35" spans="1:4" x14ac:dyDescent="0.25">
      <c r="A35" s="217" t="s">
        <v>1176</v>
      </c>
      <c r="B35" s="218" t="s">
        <v>593</v>
      </c>
      <c r="C35" s="219"/>
      <c r="D35" s="219">
        <v>0</v>
      </c>
    </row>
  </sheetData>
  <pageMargins left="0.6692913385826772" right="0.27559055118110237" top="1.1811023622047245" bottom="0.74803149606299213" header="0.31496062992125984" footer="0.31496062992125984"/>
  <pageSetup paperSize="9" scale="80" orientation="portrait" r:id="rId1"/>
  <headerFooter>
    <oddHeader>&amp;L2/F. melléklet a ......./2020. (.................) önkormányzati rendelethez&amp;C&amp;"-,Félkövér"&amp;14
A Környezetvédelmi Alap 2020. évi költségvetése</oddHeader>
  </headerFooter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W50"/>
  <sheetViews>
    <sheetView view="pageBreakPreview" topLeftCell="B1" zoomScale="95" zoomScaleNormal="100" zoomScaleSheetLayoutView="95" workbookViewId="0">
      <selection activeCell="W40" sqref="W40:W49"/>
    </sheetView>
  </sheetViews>
  <sheetFormatPr defaultColWidth="9.140625" defaultRowHeight="15" x14ac:dyDescent="0.25"/>
  <cols>
    <col min="1" max="1" width="5.7109375" style="211" customWidth="1"/>
    <col min="2" max="2" width="52.140625" style="245" customWidth="1"/>
    <col min="3" max="3" width="12.28515625" style="245" hidden="1" customWidth="1"/>
    <col min="4" max="4" width="11.140625" style="245" hidden="1" customWidth="1"/>
    <col min="5" max="5" width="10.140625" style="245" hidden="1" customWidth="1"/>
    <col min="6" max="6" width="15.140625" style="245" hidden="1" customWidth="1"/>
    <col min="7" max="7" width="12.28515625" style="245" hidden="1" customWidth="1"/>
    <col min="8" max="8" width="11.140625" style="245" hidden="1" customWidth="1"/>
    <col min="9" max="9" width="10.140625" style="245" hidden="1" customWidth="1"/>
    <col min="10" max="10" width="15.140625" style="245" hidden="1" customWidth="1"/>
    <col min="11" max="11" width="12.28515625" style="245" bestFit="1" customWidth="1"/>
    <col min="12" max="12" width="11.140625" style="245" bestFit="1" customWidth="1"/>
    <col min="13" max="13" width="10.140625" style="245" customWidth="1"/>
    <col min="14" max="14" width="15.140625" style="245" customWidth="1"/>
    <col min="15" max="15" width="12.28515625" style="245" bestFit="1" customWidth="1"/>
    <col min="16" max="16" width="11.140625" style="245" bestFit="1" customWidth="1"/>
    <col min="17" max="17" width="10.140625" style="245" customWidth="1"/>
    <col min="18" max="18" width="15.140625" style="245" customWidth="1"/>
    <col min="19" max="19" width="12.28515625" style="245" hidden="1" customWidth="1"/>
    <col min="20" max="20" width="11.140625" style="245" hidden="1" customWidth="1"/>
    <col min="21" max="21" width="10.140625" style="245" hidden="1" customWidth="1"/>
    <col min="22" max="22" width="15.140625" style="245" hidden="1" customWidth="1"/>
    <col min="23" max="16384" width="9.140625" style="245"/>
  </cols>
  <sheetData>
    <row r="1" spans="1:22" x14ac:dyDescent="0.25">
      <c r="F1" s="31"/>
      <c r="J1" s="31"/>
      <c r="N1" s="31"/>
      <c r="R1" s="31" t="s">
        <v>1662</v>
      </c>
    </row>
    <row r="2" spans="1:22" x14ac:dyDescent="0.25">
      <c r="A2" s="304" t="s">
        <v>468</v>
      </c>
      <c r="B2" s="304" t="s">
        <v>647</v>
      </c>
      <c r="C2" s="517"/>
      <c r="D2" s="517"/>
      <c r="E2" s="517"/>
      <c r="F2" s="517"/>
      <c r="G2" s="517"/>
      <c r="H2" s="517"/>
      <c r="I2" s="517"/>
      <c r="J2" s="517"/>
      <c r="K2" s="517"/>
      <c r="L2" s="517"/>
      <c r="M2" s="517"/>
      <c r="N2" s="517"/>
      <c r="O2" s="517"/>
      <c r="P2" s="517"/>
      <c r="Q2" s="517"/>
      <c r="R2" s="517"/>
      <c r="S2" s="517"/>
      <c r="T2" s="517"/>
      <c r="U2" s="517"/>
      <c r="V2" s="517"/>
    </row>
    <row r="3" spans="1:22" ht="52.5" customHeight="1" x14ac:dyDescent="0.25">
      <c r="A3" s="938" t="s">
        <v>305</v>
      </c>
      <c r="B3" s="938" t="s">
        <v>306</v>
      </c>
      <c r="C3" s="939" t="s">
        <v>1654</v>
      </c>
      <c r="D3" s="936"/>
      <c r="E3" s="936"/>
      <c r="F3" s="940"/>
      <c r="G3" s="939" t="s">
        <v>1760</v>
      </c>
      <c r="H3" s="936"/>
      <c r="I3" s="936"/>
      <c r="J3" s="940"/>
      <c r="K3" s="939" t="s">
        <v>1795</v>
      </c>
      <c r="L3" s="963"/>
      <c r="M3" s="963"/>
      <c r="N3" s="964"/>
      <c r="O3" s="939" t="s">
        <v>1803</v>
      </c>
      <c r="P3" s="963"/>
      <c r="Q3" s="963"/>
      <c r="R3" s="964"/>
      <c r="S3" s="939" t="s">
        <v>1813</v>
      </c>
      <c r="T3" s="963"/>
      <c r="U3" s="963"/>
      <c r="V3" s="964"/>
    </row>
    <row r="4" spans="1:22" ht="56.25" customHeight="1" x14ac:dyDescent="0.25">
      <c r="A4" s="938"/>
      <c r="B4" s="938"/>
      <c r="C4" s="516" t="s">
        <v>1300</v>
      </c>
      <c r="D4" s="516" t="s">
        <v>1301</v>
      </c>
      <c r="E4" s="516" t="s">
        <v>1302</v>
      </c>
      <c r="F4" s="516" t="s">
        <v>550</v>
      </c>
      <c r="G4" s="690" t="s">
        <v>1300</v>
      </c>
      <c r="H4" s="690" t="s">
        <v>1301</v>
      </c>
      <c r="I4" s="690" t="s">
        <v>1302</v>
      </c>
      <c r="J4" s="690" t="s">
        <v>550</v>
      </c>
      <c r="K4" s="690" t="s">
        <v>1300</v>
      </c>
      <c r="L4" s="690" t="s">
        <v>1301</v>
      </c>
      <c r="M4" s="690" t="s">
        <v>1302</v>
      </c>
      <c r="N4" s="690" t="s">
        <v>550</v>
      </c>
      <c r="O4" s="690" t="s">
        <v>1300</v>
      </c>
      <c r="P4" s="690" t="s">
        <v>1301</v>
      </c>
      <c r="Q4" s="690" t="s">
        <v>1302</v>
      </c>
      <c r="R4" s="690" t="s">
        <v>550</v>
      </c>
      <c r="S4" s="690" t="s">
        <v>1300</v>
      </c>
      <c r="T4" s="690" t="s">
        <v>1301</v>
      </c>
      <c r="U4" s="690" t="s">
        <v>1302</v>
      </c>
      <c r="V4" s="690" t="s">
        <v>550</v>
      </c>
    </row>
    <row r="5" spans="1:22" x14ac:dyDescent="0.25">
      <c r="A5" s="305"/>
      <c r="B5" s="478" t="s">
        <v>307</v>
      </c>
      <c r="C5" s="307">
        <f>+'3B PH fel'!C5</f>
        <v>79</v>
      </c>
      <c r="D5" s="307">
        <v>5</v>
      </c>
      <c r="E5" s="307">
        <v>0</v>
      </c>
      <c r="F5" s="307">
        <f>SUM(C5:E5)</f>
        <v>84</v>
      </c>
      <c r="G5" s="307">
        <f>+'3B PH fel'!G5</f>
        <v>79</v>
      </c>
      <c r="H5" s="307">
        <v>5</v>
      </c>
      <c r="I5" s="307">
        <v>0</v>
      </c>
      <c r="J5" s="307">
        <f>SUM(G5:I5)</f>
        <v>84</v>
      </c>
      <c r="K5" s="307">
        <f>+'3B PH fel'!K5</f>
        <v>79</v>
      </c>
      <c r="L5" s="307">
        <v>5</v>
      </c>
      <c r="M5" s="307">
        <v>0</v>
      </c>
      <c r="N5" s="307">
        <f>SUM(K5:M5)</f>
        <v>84</v>
      </c>
      <c r="O5" s="307">
        <f>+'3B PH fel'!O5</f>
        <v>79</v>
      </c>
      <c r="P5" s="307">
        <v>5</v>
      </c>
      <c r="Q5" s="307">
        <v>0</v>
      </c>
      <c r="R5" s="307">
        <f>SUM(O5:Q5)</f>
        <v>84</v>
      </c>
      <c r="S5" s="307">
        <f>+'3B PH fel'!S5</f>
        <v>79</v>
      </c>
      <c r="T5" s="307">
        <v>5</v>
      </c>
      <c r="U5" s="307">
        <v>0</v>
      </c>
      <c r="V5" s="307">
        <f>SUM(S5:U5)</f>
        <v>84</v>
      </c>
    </row>
    <row r="6" spans="1:22" x14ac:dyDescent="0.25">
      <c r="A6" s="305"/>
      <c r="B6" s="478" t="s">
        <v>308</v>
      </c>
      <c r="C6" s="307">
        <v>0</v>
      </c>
      <c r="D6" s="307">
        <v>0</v>
      </c>
      <c r="E6" s="307">
        <v>0</v>
      </c>
      <c r="F6" s="307">
        <f t="shared" ref="F6:F49" si="0">SUM(C6:E6)</f>
        <v>0</v>
      </c>
      <c r="G6" s="307">
        <v>0</v>
      </c>
      <c r="H6" s="307">
        <v>0</v>
      </c>
      <c r="I6" s="307">
        <v>0</v>
      </c>
      <c r="J6" s="307">
        <f t="shared" ref="J6:J49" si="1">SUM(G6:I6)</f>
        <v>0</v>
      </c>
      <c r="K6" s="307">
        <v>0</v>
      </c>
      <c r="L6" s="307">
        <v>0</v>
      </c>
      <c r="M6" s="307">
        <v>0</v>
      </c>
      <c r="N6" s="307">
        <f t="shared" ref="N6:N49" si="2">SUM(K6:M6)</f>
        <v>0</v>
      </c>
      <c r="O6" s="307">
        <v>0</v>
      </c>
      <c r="P6" s="307">
        <v>0</v>
      </c>
      <c r="Q6" s="307">
        <v>0</v>
      </c>
      <c r="R6" s="307">
        <f t="shared" ref="R6:R49" si="3">SUM(O6:Q6)</f>
        <v>0</v>
      </c>
      <c r="S6" s="307">
        <v>0</v>
      </c>
      <c r="T6" s="307">
        <v>0</v>
      </c>
      <c r="U6" s="307">
        <v>0</v>
      </c>
      <c r="V6" s="307">
        <f t="shared" ref="V6:V49" si="4">SUM(S6:U6)</f>
        <v>0</v>
      </c>
    </row>
    <row r="7" spans="1:22" x14ac:dyDescent="0.25">
      <c r="A7" s="305"/>
      <c r="B7" s="478" t="s">
        <v>648</v>
      </c>
      <c r="C7" s="307">
        <v>7</v>
      </c>
      <c r="D7" s="307">
        <v>0</v>
      </c>
      <c r="E7" s="307">
        <v>0</v>
      </c>
      <c r="F7" s="307">
        <f t="shared" si="0"/>
        <v>7</v>
      </c>
      <c r="G7" s="307">
        <v>7</v>
      </c>
      <c r="H7" s="307">
        <v>0</v>
      </c>
      <c r="I7" s="307">
        <v>0</v>
      </c>
      <c r="J7" s="307">
        <f t="shared" si="1"/>
        <v>7</v>
      </c>
      <c r="K7" s="307">
        <v>7</v>
      </c>
      <c r="L7" s="307">
        <v>0</v>
      </c>
      <c r="M7" s="307">
        <v>0</v>
      </c>
      <c r="N7" s="307">
        <f t="shared" si="2"/>
        <v>7</v>
      </c>
      <c r="O7" s="307">
        <v>7</v>
      </c>
      <c r="P7" s="307">
        <v>0</v>
      </c>
      <c r="Q7" s="307">
        <v>0</v>
      </c>
      <c r="R7" s="307">
        <f t="shared" si="3"/>
        <v>7</v>
      </c>
      <c r="S7" s="307">
        <v>7</v>
      </c>
      <c r="T7" s="307">
        <v>0</v>
      </c>
      <c r="U7" s="307">
        <v>0</v>
      </c>
      <c r="V7" s="307">
        <f t="shared" si="4"/>
        <v>7</v>
      </c>
    </row>
    <row r="8" spans="1:22" x14ac:dyDescent="0.25">
      <c r="A8" s="479" t="s">
        <v>309</v>
      </c>
      <c r="B8" s="480" t="s">
        <v>310</v>
      </c>
      <c r="C8" s="481">
        <f>C9+C11+C14</f>
        <v>3350000</v>
      </c>
      <c r="D8" s="481">
        <f>D9+D11+D14</f>
        <v>0</v>
      </c>
      <c r="E8" s="481">
        <f>E9+E11+E14</f>
        <v>0</v>
      </c>
      <c r="F8" s="481">
        <f t="shared" si="0"/>
        <v>3350000</v>
      </c>
      <c r="G8" s="481">
        <f>G9+G11+G14</f>
        <v>3350000</v>
      </c>
      <c r="H8" s="481">
        <f>H9+H11+H14</f>
        <v>0</v>
      </c>
      <c r="I8" s="481">
        <f>I9+I11+I14</f>
        <v>0</v>
      </c>
      <c r="J8" s="481">
        <f t="shared" si="1"/>
        <v>3350000</v>
      </c>
      <c r="K8" s="481">
        <f>K9+K11+K14</f>
        <v>3350000</v>
      </c>
      <c r="L8" s="481">
        <f>L9+L11+L14</f>
        <v>0</v>
      </c>
      <c r="M8" s="481">
        <f>M9+M11+M14</f>
        <v>0</v>
      </c>
      <c r="N8" s="481">
        <f t="shared" si="2"/>
        <v>3350000</v>
      </c>
      <c r="O8" s="481">
        <f>O9+O11+O14</f>
        <v>3350000</v>
      </c>
      <c r="P8" s="481">
        <f>P9+P11+P14</f>
        <v>0</v>
      </c>
      <c r="Q8" s="481">
        <f>Q9+Q11+Q14</f>
        <v>0</v>
      </c>
      <c r="R8" s="481">
        <f t="shared" si="3"/>
        <v>3350000</v>
      </c>
      <c r="S8" s="481">
        <f>S9+S11+S14</f>
        <v>4370901</v>
      </c>
      <c r="T8" s="481">
        <f>T9+T11+T14</f>
        <v>0</v>
      </c>
      <c r="U8" s="481">
        <f>U9+U11+U14</f>
        <v>0</v>
      </c>
      <c r="V8" s="481">
        <f t="shared" si="4"/>
        <v>4370901</v>
      </c>
    </row>
    <row r="9" spans="1:22" x14ac:dyDescent="0.25">
      <c r="A9" s="482" t="s">
        <v>311</v>
      </c>
      <c r="B9" s="483" t="s">
        <v>312</v>
      </c>
      <c r="C9" s="484">
        <f>C10</f>
        <v>0</v>
      </c>
      <c r="D9" s="484">
        <f>D10</f>
        <v>0</v>
      </c>
      <c r="E9" s="484">
        <f>E10</f>
        <v>0</v>
      </c>
      <c r="F9" s="484">
        <f t="shared" si="0"/>
        <v>0</v>
      </c>
      <c r="G9" s="484">
        <f>G10</f>
        <v>0</v>
      </c>
      <c r="H9" s="484">
        <f>H10</f>
        <v>0</v>
      </c>
      <c r="I9" s="484">
        <f>I10</f>
        <v>0</v>
      </c>
      <c r="J9" s="484">
        <f t="shared" si="1"/>
        <v>0</v>
      </c>
      <c r="K9" s="484">
        <f>K10</f>
        <v>0</v>
      </c>
      <c r="L9" s="484">
        <f>L10</f>
        <v>0</v>
      </c>
      <c r="M9" s="484">
        <f>M10</f>
        <v>0</v>
      </c>
      <c r="N9" s="484">
        <f t="shared" si="2"/>
        <v>0</v>
      </c>
      <c r="O9" s="484">
        <f>O10</f>
        <v>0</v>
      </c>
      <c r="P9" s="484">
        <f>P10</f>
        <v>0</v>
      </c>
      <c r="Q9" s="484">
        <f>Q10</f>
        <v>0</v>
      </c>
      <c r="R9" s="484">
        <f t="shared" si="3"/>
        <v>0</v>
      </c>
      <c r="S9" s="484">
        <f>S10</f>
        <v>0</v>
      </c>
      <c r="T9" s="484">
        <f>T10</f>
        <v>0</v>
      </c>
      <c r="U9" s="484">
        <f>U10</f>
        <v>0</v>
      </c>
      <c r="V9" s="484">
        <f t="shared" si="4"/>
        <v>0</v>
      </c>
    </row>
    <row r="10" spans="1:22" ht="30" x14ac:dyDescent="0.25">
      <c r="A10" s="451"/>
      <c r="B10" s="314" t="s">
        <v>313</v>
      </c>
      <c r="C10" s="469">
        <v>0</v>
      </c>
      <c r="D10" s="469">
        <v>0</v>
      </c>
      <c r="E10" s="469">
        <v>0</v>
      </c>
      <c r="F10" s="469">
        <f t="shared" si="0"/>
        <v>0</v>
      </c>
      <c r="G10" s="469">
        <v>0</v>
      </c>
      <c r="H10" s="469">
        <v>0</v>
      </c>
      <c r="I10" s="469">
        <v>0</v>
      </c>
      <c r="J10" s="469">
        <f t="shared" si="1"/>
        <v>0</v>
      </c>
      <c r="K10" s="469">
        <v>0</v>
      </c>
      <c r="L10" s="469">
        <v>0</v>
      </c>
      <c r="M10" s="469">
        <v>0</v>
      </c>
      <c r="N10" s="469">
        <f t="shared" si="2"/>
        <v>0</v>
      </c>
      <c r="O10" s="469">
        <v>0</v>
      </c>
      <c r="P10" s="469">
        <v>0</v>
      </c>
      <c r="Q10" s="469">
        <v>0</v>
      </c>
      <c r="R10" s="469">
        <f t="shared" si="3"/>
        <v>0</v>
      </c>
      <c r="S10" s="469">
        <v>0</v>
      </c>
      <c r="T10" s="469">
        <v>0</v>
      </c>
      <c r="U10" s="469">
        <v>0</v>
      </c>
      <c r="V10" s="469">
        <f t="shared" si="4"/>
        <v>0</v>
      </c>
    </row>
    <row r="11" spans="1:22" x14ac:dyDescent="0.25">
      <c r="A11" s="482" t="s">
        <v>311</v>
      </c>
      <c r="B11" s="483" t="s">
        <v>485</v>
      </c>
      <c r="C11" s="484">
        <f>SUM(C12:C13)</f>
        <v>1000000</v>
      </c>
      <c r="D11" s="484">
        <f>SUM(D12:D13)</f>
        <v>0</v>
      </c>
      <c r="E11" s="484">
        <f>SUM(E12:E13)</f>
        <v>0</v>
      </c>
      <c r="F11" s="484">
        <f t="shared" si="0"/>
        <v>1000000</v>
      </c>
      <c r="G11" s="484">
        <f>SUM(G12:G13)</f>
        <v>1000000</v>
      </c>
      <c r="H11" s="484">
        <f>SUM(H12:H13)</f>
        <v>0</v>
      </c>
      <c r="I11" s="484">
        <f>SUM(I12:I13)</f>
        <v>0</v>
      </c>
      <c r="J11" s="484">
        <f t="shared" si="1"/>
        <v>1000000</v>
      </c>
      <c r="K11" s="484">
        <f>SUM(K12:K13)</f>
        <v>1000000</v>
      </c>
      <c r="L11" s="484">
        <f>SUM(L12:L13)</f>
        <v>0</v>
      </c>
      <c r="M11" s="484">
        <f>SUM(M12:M13)</f>
        <v>0</v>
      </c>
      <c r="N11" s="484">
        <f t="shared" si="2"/>
        <v>1000000</v>
      </c>
      <c r="O11" s="484">
        <f>SUM(O12:O13)</f>
        <v>1000000</v>
      </c>
      <c r="P11" s="484">
        <f>SUM(P12:P13)</f>
        <v>0</v>
      </c>
      <c r="Q11" s="484">
        <f>SUM(Q12:Q13)</f>
        <v>0</v>
      </c>
      <c r="R11" s="484">
        <f t="shared" si="3"/>
        <v>1000000</v>
      </c>
      <c r="S11" s="484">
        <f>SUM(S12:S13)</f>
        <v>985000</v>
      </c>
      <c r="T11" s="484">
        <f>SUM(T12:T13)</f>
        <v>0</v>
      </c>
      <c r="U11" s="484">
        <f>SUM(U12:U13)</f>
        <v>0</v>
      </c>
      <c r="V11" s="484">
        <f t="shared" si="4"/>
        <v>985000</v>
      </c>
    </row>
    <row r="12" spans="1:22" x14ac:dyDescent="0.25">
      <c r="A12" s="451"/>
      <c r="B12" s="336" t="s">
        <v>649</v>
      </c>
      <c r="C12" s="469">
        <v>1000000</v>
      </c>
      <c r="D12" s="469">
        <v>0</v>
      </c>
      <c r="E12" s="469">
        <v>0</v>
      </c>
      <c r="F12" s="469">
        <f t="shared" si="0"/>
        <v>1000000</v>
      </c>
      <c r="G12" s="469">
        <v>1000000</v>
      </c>
      <c r="H12" s="469">
        <v>0</v>
      </c>
      <c r="I12" s="469">
        <v>0</v>
      </c>
      <c r="J12" s="469">
        <f t="shared" si="1"/>
        <v>1000000</v>
      </c>
      <c r="K12" s="469">
        <v>1000000</v>
      </c>
      <c r="L12" s="469">
        <v>0</v>
      </c>
      <c r="M12" s="469">
        <v>0</v>
      </c>
      <c r="N12" s="469">
        <f t="shared" si="2"/>
        <v>1000000</v>
      </c>
      <c r="O12" s="469">
        <v>1000000</v>
      </c>
      <c r="P12" s="469">
        <v>0</v>
      </c>
      <c r="Q12" s="469">
        <v>0</v>
      </c>
      <c r="R12" s="469">
        <f t="shared" si="3"/>
        <v>1000000</v>
      </c>
      <c r="S12" s="469">
        <v>985000</v>
      </c>
      <c r="T12" s="469">
        <v>0</v>
      </c>
      <c r="U12" s="469">
        <v>0</v>
      </c>
      <c r="V12" s="469">
        <f t="shared" si="4"/>
        <v>985000</v>
      </c>
    </row>
    <row r="13" spans="1:22" x14ac:dyDescent="0.25">
      <c r="A13" s="451"/>
      <c r="B13" s="314" t="s">
        <v>650</v>
      </c>
      <c r="C13" s="469">
        <v>0</v>
      </c>
      <c r="D13" s="469">
        <v>0</v>
      </c>
      <c r="E13" s="469">
        <v>0</v>
      </c>
      <c r="F13" s="469">
        <f t="shared" si="0"/>
        <v>0</v>
      </c>
      <c r="G13" s="469">
        <v>0</v>
      </c>
      <c r="H13" s="469">
        <v>0</v>
      </c>
      <c r="I13" s="469">
        <v>0</v>
      </c>
      <c r="J13" s="469">
        <f t="shared" si="1"/>
        <v>0</v>
      </c>
      <c r="K13" s="469">
        <v>0</v>
      </c>
      <c r="L13" s="469">
        <v>0</v>
      </c>
      <c r="M13" s="469">
        <v>0</v>
      </c>
      <c r="N13" s="469">
        <f t="shared" si="2"/>
        <v>0</v>
      </c>
      <c r="O13" s="469">
        <v>0</v>
      </c>
      <c r="P13" s="469">
        <v>0</v>
      </c>
      <c r="Q13" s="469">
        <v>0</v>
      </c>
      <c r="R13" s="469">
        <f t="shared" si="3"/>
        <v>0</v>
      </c>
      <c r="S13" s="469">
        <v>0</v>
      </c>
      <c r="T13" s="469">
        <v>0</v>
      </c>
      <c r="U13" s="469">
        <v>0</v>
      </c>
      <c r="V13" s="469">
        <f t="shared" si="4"/>
        <v>0</v>
      </c>
    </row>
    <row r="14" spans="1:22" x14ac:dyDescent="0.25">
      <c r="A14" s="482" t="s">
        <v>322</v>
      </c>
      <c r="B14" s="483" t="s">
        <v>314</v>
      </c>
      <c r="C14" s="484">
        <f>SUM(C15:C22)</f>
        <v>2350000</v>
      </c>
      <c r="D14" s="484">
        <f>SUM(D15:D22)</f>
        <v>0</v>
      </c>
      <c r="E14" s="484">
        <f>SUM(E15:E22)</f>
        <v>0</v>
      </c>
      <c r="F14" s="484">
        <f t="shared" si="0"/>
        <v>2350000</v>
      </c>
      <c r="G14" s="484">
        <f>SUM(G15:G22)</f>
        <v>2350000</v>
      </c>
      <c r="H14" s="484">
        <f>SUM(H15:H22)</f>
        <v>0</v>
      </c>
      <c r="I14" s="484">
        <f>SUM(I15:I22)</f>
        <v>0</v>
      </c>
      <c r="J14" s="484">
        <f t="shared" si="1"/>
        <v>2350000</v>
      </c>
      <c r="K14" s="484">
        <f>SUM(K15:K22)</f>
        <v>2350000</v>
      </c>
      <c r="L14" s="484">
        <f>SUM(L15:L22)</f>
        <v>0</v>
      </c>
      <c r="M14" s="484">
        <f>SUM(M15:M22)</f>
        <v>0</v>
      </c>
      <c r="N14" s="484">
        <f t="shared" si="2"/>
        <v>2350000</v>
      </c>
      <c r="O14" s="484">
        <f>SUM(O15:O22)</f>
        <v>2350000</v>
      </c>
      <c r="P14" s="484">
        <f>SUM(P15:P22)</f>
        <v>0</v>
      </c>
      <c r="Q14" s="484">
        <f>SUM(Q15:Q22)</f>
        <v>0</v>
      </c>
      <c r="R14" s="484">
        <f t="shared" si="3"/>
        <v>2350000</v>
      </c>
      <c r="S14" s="484">
        <f>SUM(S15:S22)</f>
        <v>3385901</v>
      </c>
      <c r="T14" s="484">
        <f>SUM(T15:T22)</f>
        <v>0</v>
      </c>
      <c r="U14" s="484">
        <f>SUM(U15:U22)</f>
        <v>0</v>
      </c>
      <c r="V14" s="484">
        <f t="shared" si="4"/>
        <v>3385901</v>
      </c>
    </row>
    <row r="15" spans="1:22" x14ac:dyDescent="0.25">
      <c r="A15" s="451"/>
      <c r="B15" s="314" t="s">
        <v>651</v>
      </c>
      <c r="C15" s="469">
        <f>PH!W181</f>
        <v>0</v>
      </c>
      <c r="D15" s="469">
        <f>PH!X181</f>
        <v>0</v>
      </c>
      <c r="E15" s="469">
        <f>PH!Y181</f>
        <v>0</v>
      </c>
      <c r="F15" s="469">
        <f t="shared" si="0"/>
        <v>0</v>
      </c>
      <c r="G15" s="469">
        <f>PH!AA181</f>
        <v>0</v>
      </c>
      <c r="H15" s="469">
        <f>PH!AB181</f>
        <v>0</v>
      </c>
      <c r="I15" s="469">
        <f>PH!AC181</f>
        <v>0</v>
      </c>
      <c r="J15" s="469">
        <f t="shared" si="1"/>
        <v>0</v>
      </c>
      <c r="K15" s="469">
        <f>PH!AE181</f>
        <v>0</v>
      </c>
      <c r="L15" s="469">
        <f>PH!AF181</f>
        <v>0</v>
      </c>
      <c r="M15" s="469">
        <f>PH!AG181</f>
        <v>0</v>
      </c>
      <c r="N15" s="469">
        <f t="shared" si="2"/>
        <v>0</v>
      </c>
      <c r="O15" s="469">
        <f>PH!AI181</f>
        <v>0</v>
      </c>
      <c r="P15" s="469">
        <f>PH!AJ181</f>
        <v>0</v>
      </c>
      <c r="Q15" s="469">
        <f>PH!AK181</f>
        <v>0</v>
      </c>
      <c r="R15" s="469">
        <f t="shared" si="3"/>
        <v>0</v>
      </c>
      <c r="S15" s="469">
        <f>PH!AM181</f>
        <v>0</v>
      </c>
      <c r="T15" s="469">
        <f>PH!AN181</f>
        <v>0</v>
      </c>
      <c r="U15" s="469">
        <f>PH!AO181</f>
        <v>0</v>
      </c>
      <c r="V15" s="469">
        <f t="shared" si="4"/>
        <v>0</v>
      </c>
    </row>
    <row r="16" spans="1:22" x14ac:dyDescent="0.25">
      <c r="A16" s="451"/>
      <c r="B16" s="314" t="s">
        <v>652</v>
      </c>
      <c r="C16" s="469">
        <v>2000000</v>
      </c>
      <c r="D16" s="469">
        <v>0</v>
      </c>
      <c r="E16" s="469">
        <v>0</v>
      </c>
      <c r="F16" s="469">
        <f t="shared" si="0"/>
        <v>2000000</v>
      </c>
      <c r="G16" s="469">
        <v>2000000</v>
      </c>
      <c r="H16" s="469">
        <v>0</v>
      </c>
      <c r="I16" s="469">
        <v>0</v>
      </c>
      <c r="J16" s="469">
        <f t="shared" si="1"/>
        <v>2000000</v>
      </c>
      <c r="K16" s="469">
        <v>2000000</v>
      </c>
      <c r="L16" s="469">
        <v>0</v>
      </c>
      <c r="M16" s="469">
        <v>0</v>
      </c>
      <c r="N16" s="469">
        <f t="shared" si="2"/>
        <v>2000000</v>
      </c>
      <c r="O16" s="469">
        <v>2000000</v>
      </c>
      <c r="P16" s="469">
        <v>0</v>
      </c>
      <c r="Q16" s="469">
        <v>0</v>
      </c>
      <c r="R16" s="469">
        <f t="shared" si="3"/>
        <v>2000000</v>
      </c>
      <c r="S16" s="469">
        <v>2384230</v>
      </c>
      <c r="T16" s="469">
        <v>0</v>
      </c>
      <c r="U16" s="469">
        <v>0</v>
      </c>
      <c r="V16" s="469">
        <f t="shared" si="4"/>
        <v>2384230</v>
      </c>
    </row>
    <row r="17" spans="1:22" x14ac:dyDescent="0.25">
      <c r="A17" s="451"/>
      <c r="B17" s="314" t="s">
        <v>659</v>
      </c>
      <c r="C17" s="469">
        <f>PH!W184</f>
        <v>0</v>
      </c>
      <c r="D17" s="469">
        <f>PH!X184</f>
        <v>0</v>
      </c>
      <c r="E17" s="469">
        <f>PH!Y184</f>
        <v>0</v>
      </c>
      <c r="F17" s="469">
        <f t="shared" si="0"/>
        <v>0</v>
      </c>
      <c r="G17" s="469">
        <f>PH!AA184</f>
        <v>0</v>
      </c>
      <c r="H17" s="469">
        <f>PH!AB184</f>
        <v>0</v>
      </c>
      <c r="I17" s="469">
        <f>PH!AC184</f>
        <v>0</v>
      </c>
      <c r="J17" s="469">
        <f t="shared" si="1"/>
        <v>0</v>
      </c>
      <c r="K17" s="469">
        <f>PH!AE184</f>
        <v>0</v>
      </c>
      <c r="L17" s="469">
        <f>PH!AF184</f>
        <v>0</v>
      </c>
      <c r="M17" s="469">
        <f>PH!AG184</f>
        <v>0</v>
      </c>
      <c r="N17" s="469">
        <f t="shared" si="2"/>
        <v>0</v>
      </c>
      <c r="O17" s="469">
        <f>PH!AI184</f>
        <v>0</v>
      </c>
      <c r="P17" s="469">
        <f>PH!AJ184</f>
        <v>0</v>
      </c>
      <c r="Q17" s="469">
        <f>PH!AK184</f>
        <v>0</v>
      </c>
      <c r="R17" s="469">
        <f t="shared" si="3"/>
        <v>0</v>
      </c>
      <c r="S17" s="469">
        <f>PH!AM184</f>
        <v>0</v>
      </c>
      <c r="T17" s="469">
        <f>PH!AN184</f>
        <v>0</v>
      </c>
      <c r="U17" s="469">
        <f>PH!AO184</f>
        <v>0</v>
      </c>
      <c r="V17" s="469">
        <f t="shared" si="4"/>
        <v>0</v>
      </c>
    </row>
    <row r="18" spans="1:22" x14ac:dyDescent="0.25">
      <c r="A18" s="451"/>
      <c r="B18" s="314" t="s">
        <v>660</v>
      </c>
      <c r="C18" s="469">
        <f>PH!W185</f>
        <v>0</v>
      </c>
      <c r="D18" s="469">
        <f>PH!X185</f>
        <v>0</v>
      </c>
      <c r="E18" s="469">
        <f>PH!Y185</f>
        <v>0</v>
      </c>
      <c r="F18" s="469">
        <f t="shared" si="0"/>
        <v>0</v>
      </c>
      <c r="G18" s="469">
        <f>PH!AA185</f>
        <v>0</v>
      </c>
      <c r="H18" s="469">
        <f>PH!AB185</f>
        <v>0</v>
      </c>
      <c r="I18" s="469">
        <f>PH!AC185</f>
        <v>0</v>
      </c>
      <c r="J18" s="469">
        <f t="shared" si="1"/>
        <v>0</v>
      </c>
      <c r="K18" s="469">
        <f>PH!AE185</f>
        <v>0</v>
      </c>
      <c r="L18" s="469">
        <f>PH!AF185</f>
        <v>0</v>
      </c>
      <c r="M18" s="469">
        <f>PH!AG185</f>
        <v>0</v>
      </c>
      <c r="N18" s="469">
        <f t="shared" si="2"/>
        <v>0</v>
      </c>
      <c r="O18" s="469">
        <f>PH!AI185</f>
        <v>0</v>
      </c>
      <c r="P18" s="469">
        <f>PH!AJ185</f>
        <v>0</v>
      </c>
      <c r="Q18" s="469">
        <f>PH!AK185</f>
        <v>0</v>
      </c>
      <c r="R18" s="469">
        <f t="shared" si="3"/>
        <v>0</v>
      </c>
      <c r="S18" s="469">
        <f>PH!AM185</f>
        <v>0</v>
      </c>
      <c r="T18" s="469">
        <f>PH!AN185</f>
        <v>0</v>
      </c>
      <c r="U18" s="469">
        <f>PH!AO185</f>
        <v>0</v>
      </c>
      <c r="V18" s="469">
        <f t="shared" si="4"/>
        <v>0</v>
      </c>
    </row>
    <row r="19" spans="1:22" x14ac:dyDescent="0.25">
      <c r="A19" s="451"/>
      <c r="B19" s="314" t="s">
        <v>661</v>
      </c>
      <c r="C19" s="469">
        <v>350000</v>
      </c>
      <c r="D19" s="469">
        <v>0</v>
      </c>
      <c r="E19" s="469">
        <v>0</v>
      </c>
      <c r="F19" s="469">
        <f t="shared" si="0"/>
        <v>350000</v>
      </c>
      <c r="G19" s="469">
        <v>350000</v>
      </c>
      <c r="H19" s="469">
        <v>0</v>
      </c>
      <c r="I19" s="469">
        <v>0</v>
      </c>
      <c r="J19" s="469">
        <f t="shared" si="1"/>
        <v>350000</v>
      </c>
      <c r="K19" s="469">
        <v>350000</v>
      </c>
      <c r="L19" s="469">
        <v>0</v>
      </c>
      <c r="M19" s="469">
        <v>0</v>
      </c>
      <c r="N19" s="469">
        <f t="shared" si="2"/>
        <v>350000</v>
      </c>
      <c r="O19" s="469">
        <v>350000</v>
      </c>
      <c r="P19" s="469">
        <v>0</v>
      </c>
      <c r="Q19" s="469">
        <v>0</v>
      </c>
      <c r="R19" s="469">
        <f t="shared" si="3"/>
        <v>350000</v>
      </c>
      <c r="S19" s="469">
        <v>584738</v>
      </c>
      <c r="T19" s="469">
        <v>0</v>
      </c>
      <c r="U19" s="469">
        <v>0</v>
      </c>
      <c r="V19" s="469">
        <f t="shared" si="4"/>
        <v>584738</v>
      </c>
    </row>
    <row r="20" spans="1:22" x14ac:dyDescent="0.25">
      <c r="A20" s="451"/>
      <c r="B20" s="314" t="s">
        <v>662</v>
      </c>
      <c r="C20" s="469">
        <f>PH!W187</f>
        <v>0</v>
      </c>
      <c r="D20" s="469">
        <f>PH!X187</f>
        <v>0</v>
      </c>
      <c r="E20" s="469">
        <f>PH!Y187</f>
        <v>0</v>
      </c>
      <c r="F20" s="469">
        <f t="shared" si="0"/>
        <v>0</v>
      </c>
      <c r="G20" s="469">
        <f>PH!AA187</f>
        <v>0</v>
      </c>
      <c r="H20" s="469">
        <f>PH!AB187</f>
        <v>0</v>
      </c>
      <c r="I20" s="469">
        <f>PH!AC187</f>
        <v>0</v>
      </c>
      <c r="J20" s="469">
        <f t="shared" si="1"/>
        <v>0</v>
      </c>
      <c r="K20" s="469">
        <f>PH!AE187</f>
        <v>0</v>
      </c>
      <c r="L20" s="469">
        <f>PH!AF187</f>
        <v>0</v>
      </c>
      <c r="M20" s="469">
        <f>PH!AG187</f>
        <v>0</v>
      </c>
      <c r="N20" s="469">
        <f t="shared" si="2"/>
        <v>0</v>
      </c>
      <c r="O20" s="469">
        <f>PH!AI187</f>
        <v>0</v>
      </c>
      <c r="P20" s="469">
        <f>PH!AJ187</f>
        <v>0</v>
      </c>
      <c r="Q20" s="469">
        <f>PH!AK187</f>
        <v>0</v>
      </c>
      <c r="R20" s="469">
        <f t="shared" si="3"/>
        <v>0</v>
      </c>
      <c r="S20" s="469">
        <f>PH!AM187</f>
        <v>0</v>
      </c>
      <c r="T20" s="469">
        <f>PH!AN187</f>
        <v>0</v>
      </c>
      <c r="U20" s="469">
        <f>PH!AO187</f>
        <v>0</v>
      </c>
      <c r="V20" s="469">
        <f t="shared" si="4"/>
        <v>0</v>
      </c>
    </row>
    <row r="21" spans="1:22" x14ac:dyDescent="0.25">
      <c r="A21" s="451"/>
      <c r="B21" s="314" t="s">
        <v>663</v>
      </c>
      <c r="C21" s="469">
        <f>PH!W188</f>
        <v>0</v>
      </c>
      <c r="D21" s="469">
        <f>PH!X188</f>
        <v>0</v>
      </c>
      <c r="E21" s="469">
        <f>PH!Y188</f>
        <v>0</v>
      </c>
      <c r="F21" s="469">
        <f t="shared" si="0"/>
        <v>0</v>
      </c>
      <c r="G21" s="469">
        <f>PH!AA188</f>
        <v>0</v>
      </c>
      <c r="H21" s="469">
        <f>PH!AB188</f>
        <v>0</v>
      </c>
      <c r="I21" s="469">
        <f>PH!AC188</f>
        <v>0</v>
      </c>
      <c r="J21" s="469">
        <f t="shared" si="1"/>
        <v>0</v>
      </c>
      <c r="K21" s="469">
        <f>PH!AE188</f>
        <v>0</v>
      </c>
      <c r="L21" s="469">
        <f>PH!AF188</f>
        <v>0</v>
      </c>
      <c r="M21" s="469">
        <f>PH!AG188</f>
        <v>0</v>
      </c>
      <c r="N21" s="469">
        <f t="shared" si="2"/>
        <v>0</v>
      </c>
      <c r="O21" s="469">
        <f>PH!AI188</f>
        <v>0</v>
      </c>
      <c r="P21" s="469">
        <f>PH!AJ188</f>
        <v>0</v>
      </c>
      <c r="Q21" s="469">
        <f>PH!AK188</f>
        <v>0</v>
      </c>
      <c r="R21" s="469">
        <f t="shared" si="3"/>
        <v>0</v>
      </c>
      <c r="S21" s="469">
        <f>PH!AM188</f>
        <v>0</v>
      </c>
      <c r="T21" s="469">
        <f>PH!AN188</f>
        <v>0</v>
      </c>
      <c r="U21" s="469">
        <f>PH!AO188</f>
        <v>0</v>
      </c>
      <c r="V21" s="469">
        <f t="shared" si="4"/>
        <v>0</v>
      </c>
    </row>
    <row r="22" spans="1:22" x14ac:dyDescent="0.25">
      <c r="A22" s="451"/>
      <c r="B22" s="314" t="s">
        <v>664</v>
      </c>
      <c r="C22" s="469">
        <f>PH!W190</f>
        <v>0</v>
      </c>
      <c r="D22" s="469">
        <f>PH!X190</f>
        <v>0</v>
      </c>
      <c r="E22" s="469">
        <f>PH!Y190</f>
        <v>0</v>
      </c>
      <c r="F22" s="469">
        <f t="shared" si="0"/>
        <v>0</v>
      </c>
      <c r="G22" s="469">
        <v>0</v>
      </c>
      <c r="H22" s="469">
        <f>PH!AB190</f>
        <v>0</v>
      </c>
      <c r="I22" s="469">
        <f>PH!AC190</f>
        <v>0</v>
      </c>
      <c r="J22" s="469">
        <f t="shared" si="1"/>
        <v>0</v>
      </c>
      <c r="K22" s="469">
        <v>0</v>
      </c>
      <c r="L22" s="469">
        <f>PH!AF190</f>
        <v>0</v>
      </c>
      <c r="M22" s="469">
        <f>PH!AG190</f>
        <v>0</v>
      </c>
      <c r="N22" s="469">
        <f t="shared" si="2"/>
        <v>0</v>
      </c>
      <c r="O22" s="469">
        <v>0</v>
      </c>
      <c r="P22" s="469">
        <f>PH!AJ190</f>
        <v>0</v>
      </c>
      <c r="Q22" s="469">
        <f>PH!AK190</f>
        <v>0</v>
      </c>
      <c r="R22" s="469">
        <f t="shared" si="3"/>
        <v>0</v>
      </c>
      <c r="S22" s="469">
        <v>416933</v>
      </c>
      <c r="T22" s="469">
        <f>PH!AN190</f>
        <v>0</v>
      </c>
      <c r="U22" s="469">
        <f>PH!AO190</f>
        <v>0</v>
      </c>
      <c r="V22" s="469">
        <f t="shared" si="4"/>
        <v>416933</v>
      </c>
    </row>
    <row r="23" spans="1:22" x14ac:dyDescent="0.25">
      <c r="A23" s="482" t="s">
        <v>315</v>
      </c>
      <c r="B23" s="483" t="s">
        <v>316</v>
      </c>
      <c r="C23" s="484">
        <f>SUM(C24:C24)</f>
        <v>0</v>
      </c>
      <c r="D23" s="484">
        <f>SUM(D24:D24)</f>
        <v>0</v>
      </c>
      <c r="E23" s="484">
        <f>SUM(E24:E24)</f>
        <v>0</v>
      </c>
      <c r="F23" s="484">
        <f t="shared" si="0"/>
        <v>0</v>
      </c>
      <c r="G23" s="484">
        <f>SUM(G24:G24)</f>
        <v>0</v>
      </c>
      <c r="H23" s="484">
        <f>SUM(H24:H24)</f>
        <v>0</v>
      </c>
      <c r="I23" s="484">
        <f>SUM(I24:I24)</f>
        <v>0</v>
      </c>
      <c r="J23" s="484">
        <f t="shared" si="1"/>
        <v>0</v>
      </c>
      <c r="K23" s="484">
        <f>SUM(K24:K24)</f>
        <v>0</v>
      </c>
      <c r="L23" s="484">
        <f>SUM(L24:L24)</f>
        <v>0</v>
      </c>
      <c r="M23" s="484">
        <f>SUM(M24:M24)</f>
        <v>0</v>
      </c>
      <c r="N23" s="484">
        <f t="shared" si="2"/>
        <v>0</v>
      </c>
      <c r="O23" s="484">
        <f>SUM(O24:O24)</f>
        <v>0</v>
      </c>
      <c r="P23" s="484">
        <f>SUM(P24:P24)</f>
        <v>0</v>
      </c>
      <c r="Q23" s="484">
        <f>SUM(Q24:Q24)</f>
        <v>0</v>
      </c>
      <c r="R23" s="484">
        <f t="shared" si="3"/>
        <v>0</v>
      </c>
      <c r="S23" s="484">
        <f>SUM(S24:S24)</f>
        <v>0</v>
      </c>
      <c r="T23" s="484">
        <f>SUM(T24:T24)</f>
        <v>0</v>
      </c>
      <c r="U23" s="484">
        <f>SUM(U24:U24)</f>
        <v>0</v>
      </c>
      <c r="V23" s="484">
        <f t="shared" si="4"/>
        <v>0</v>
      </c>
    </row>
    <row r="24" spans="1:22" x14ac:dyDescent="0.25">
      <c r="A24" s="451"/>
      <c r="B24" s="314" t="s">
        <v>317</v>
      </c>
      <c r="C24" s="469">
        <v>0</v>
      </c>
      <c r="D24" s="469">
        <v>0</v>
      </c>
      <c r="E24" s="469">
        <v>0</v>
      </c>
      <c r="F24" s="469">
        <f t="shared" si="0"/>
        <v>0</v>
      </c>
      <c r="G24" s="469">
        <v>0</v>
      </c>
      <c r="H24" s="469">
        <v>0</v>
      </c>
      <c r="I24" s="469">
        <v>0</v>
      </c>
      <c r="J24" s="469">
        <f t="shared" si="1"/>
        <v>0</v>
      </c>
      <c r="K24" s="469">
        <v>0</v>
      </c>
      <c r="L24" s="469">
        <v>0</v>
      </c>
      <c r="M24" s="469">
        <v>0</v>
      </c>
      <c r="N24" s="469">
        <f t="shared" si="2"/>
        <v>0</v>
      </c>
      <c r="O24" s="469">
        <v>0</v>
      </c>
      <c r="P24" s="469">
        <v>0</v>
      </c>
      <c r="Q24" s="469">
        <v>0</v>
      </c>
      <c r="R24" s="469">
        <f t="shared" si="3"/>
        <v>0</v>
      </c>
      <c r="S24" s="469">
        <v>0</v>
      </c>
      <c r="T24" s="469">
        <v>0</v>
      </c>
      <c r="U24" s="469">
        <v>0</v>
      </c>
      <c r="V24" s="469">
        <f t="shared" si="4"/>
        <v>0</v>
      </c>
    </row>
    <row r="25" spans="1:22" x14ac:dyDescent="0.25">
      <c r="A25" s="479" t="s">
        <v>318</v>
      </c>
      <c r="B25" s="480" t="s">
        <v>319</v>
      </c>
      <c r="C25" s="481">
        <f>C26+C28+C31</f>
        <v>0</v>
      </c>
      <c r="D25" s="481">
        <f>D26+D28+D31</f>
        <v>0</v>
      </c>
      <c r="E25" s="481">
        <f>E26+E28+E31</f>
        <v>0</v>
      </c>
      <c r="F25" s="481">
        <f t="shared" si="0"/>
        <v>0</v>
      </c>
      <c r="G25" s="481">
        <f>G26+G28+G31</f>
        <v>0</v>
      </c>
      <c r="H25" s="481">
        <f>H26+H28+H31</f>
        <v>0</v>
      </c>
      <c r="I25" s="481">
        <f>I26+I28+I31</f>
        <v>0</v>
      </c>
      <c r="J25" s="481">
        <f t="shared" si="1"/>
        <v>0</v>
      </c>
      <c r="K25" s="481">
        <f>K26+K28+K31</f>
        <v>0</v>
      </c>
      <c r="L25" s="481">
        <f>L26+L28+L31</f>
        <v>0</v>
      </c>
      <c r="M25" s="481">
        <f>M26+M28+M31</f>
        <v>0</v>
      </c>
      <c r="N25" s="481">
        <f t="shared" si="2"/>
        <v>0</v>
      </c>
      <c r="O25" s="481">
        <f>O26+O28+O31</f>
        <v>0</v>
      </c>
      <c r="P25" s="481">
        <f>P26+P28+P31</f>
        <v>0</v>
      </c>
      <c r="Q25" s="481">
        <f>Q26+Q28+Q31</f>
        <v>0</v>
      </c>
      <c r="R25" s="481">
        <f t="shared" si="3"/>
        <v>0</v>
      </c>
      <c r="S25" s="481">
        <f>S26+S28+S31</f>
        <v>0</v>
      </c>
      <c r="T25" s="481">
        <f>T26+T28+T31</f>
        <v>0</v>
      </c>
      <c r="U25" s="481">
        <f>U26+U28+U31</f>
        <v>0</v>
      </c>
      <c r="V25" s="481">
        <f t="shared" si="4"/>
        <v>0</v>
      </c>
    </row>
    <row r="26" spans="1:22" ht="30" x14ac:dyDescent="0.25">
      <c r="A26" s="482" t="s">
        <v>311</v>
      </c>
      <c r="B26" s="483" t="s">
        <v>320</v>
      </c>
      <c r="C26" s="484">
        <f>SUM(C27:C27)</f>
        <v>0</v>
      </c>
      <c r="D26" s="484">
        <f>SUM(D27:D27)</f>
        <v>0</v>
      </c>
      <c r="E26" s="484">
        <f>SUM(E27:E27)</f>
        <v>0</v>
      </c>
      <c r="F26" s="484">
        <f t="shared" si="0"/>
        <v>0</v>
      </c>
      <c r="G26" s="484">
        <f>SUM(G27:G27)</f>
        <v>0</v>
      </c>
      <c r="H26" s="484">
        <f>SUM(H27:H27)</f>
        <v>0</v>
      </c>
      <c r="I26" s="484">
        <f>SUM(I27:I27)</f>
        <v>0</v>
      </c>
      <c r="J26" s="484">
        <f t="shared" si="1"/>
        <v>0</v>
      </c>
      <c r="K26" s="484">
        <f>SUM(K27:K27)</f>
        <v>0</v>
      </c>
      <c r="L26" s="484">
        <f>SUM(L27:L27)</f>
        <v>0</v>
      </c>
      <c r="M26" s="484">
        <f>SUM(M27:M27)</f>
        <v>0</v>
      </c>
      <c r="N26" s="484">
        <f t="shared" si="2"/>
        <v>0</v>
      </c>
      <c r="O26" s="484">
        <f>SUM(O27:O27)</f>
        <v>0</v>
      </c>
      <c r="P26" s="484">
        <f>SUM(P27:P27)</f>
        <v>0</v>
      </c>
      <c r="Q26" s="484">
        <f>SUM(Q27:Q27)</f>
        <v>0</v>
      </c>
      <c r="R26" s="484">
        <f t="shared" si="3"/>
        <v>0</v>
      </c>
      <c r="S26" s="484">
        <f>SUM(S27:S27)</f>
        <v>0</v>
      </c>
      <c r="T26" s="484">
        <f>SUM(T27:T27)</f>
        <v>0</v>
      </c>
      <c r="U26" s="484">
        <f>SUM(U27:U27)</f>
        <v>0</v>
      </c>
      <c r="V26" s="484">
        <f t="shared" si="4"/>
        <v>0</v>
      </c>
    </row>
    <row r="27" spans="1:22" ht="30" x14ac:dyDescent="0.25">
      <c r="A27" s="451"/>
      <c r="B27" s="234" t="s">
        <v>321</v>
      </c>
      <c r="C27" s="469">
        <v>0</v>
      </c>
      <c r="D27" s="469">
        <v>0</v>
      </c>
      <c r="E27" s="469">
        <v>0</v>
      </c>
      <c r="F27" s="469">
        <f t="shared" si="0"/>
        <v>0</v>
      </c>
      <c r="G27" s="469">
        <v>0</v>
      </c>
      <c r="H27" s="469">
        <v>0</v>
      </c>
      <c r="I27" s="469">
        <v>0</v>
      </c>
      <c r="J27" s="469">
        <f t="shared" si="1"/>
        <v>0</v>
      </c>
      <c r="K27" s="469">
        <v>0</v>
      </c>
      <c r="L27" s="469">
        <v>0</v>
      </c>
      <c r="M27" s="469">
        <v>0</v>
      </c>
      <c r="N27" s="469">
        <f t="shared" si="2"/>
        <v>0</v>
      </c>
      <c r="O27" s="469">
        <v>0</v>
      </c>
      <c r="P27" s="469">
        <v>0</v>
      </c>
      <c r="Q27" s="469">
        <v>0</v>
      </c>
      <c r="R27" s="469">
        <f t="shared" si="3"/>
        <v>0</v>
      </c>
      <c r="S27" s="469">
        <v>0</v>
      </c>
      <c r="T27" s="469">
        <v>0</v>
      </c>
      <c r="U27" s="469">
        <v>0</v>
      </c>
      <c r="V27" s="469">
        <f t="shared" si="4"/>
        <v>0</v>
      </c>
    </row>
    <row r="28" spans="1:22" x14ac:dyDescent="0.25">
      <c r="A28" s="482" t="s">
        <v>322</v>
      </c>
      <c r="B28" s="483" t="s">
        <v>257</v>
      </c>
      <c r="C28" s="484">
        <f>SUM(C29:C30)</f>
        <v>0</v>
      </c>
      <c r="D28" s="484">
        <f>SUM(D29:D30)</f>
        <v>0</v>
      </c>
      <c r="E28" s="484">
        <f>SUM(E29:E30)</f>
        <v>0</v>
      </c>
      <c r="F28" s="484">
        <f t="shared" si="0"/>
        <v>0</v>
      </c>
      <c r="G28" s="484">
        <f>SUM(G29:G30)</f>
        <v>0</v>
      </c>
      <c r="H28" s="484">
        <f>SUM(H29:H30)</f>
        <v>0</v>
      </c>
      <c r="I28" s="484">
        <f>SUM(I29:I30)</f>
        <v>0</v>
      </c>
      <c r="J28" s="484">
        <f t="shared" si="1"/>
        <v>0</v>
      </c>
      <c r="K28" s="484">
        <f>SUM(K29:K30)</f>
        <v>0</v>
      </c>
      <c r="L28" s="484">
        <f>SUM(L29:L30)</f>
        <v>0</v>
      </c>
      <c r="M28" s="484">
        <f>SUM(M29:M30)</f>
        <v>0</v>
      </c>
      <c r="N28" s="484">
        <f t="shared" si="2"/>
        <v>0</v>
      </c>
      <c r="O28" s="484">
        <f>SUM(O29:O30)</f>
        <v>0</v>
      </c>
      <c r="P28" s="484">
        <f>SUM(P29:P30)</f>
        <v>0</v>
      </c>
      <c r="Q28" s="484">
        <f>SUM(Q29:Q30)</f>
        <v>0</v>
      </c>
      <c r="R28" s="484">
        <f t="shared" si="3"/>
        <v>0</v>
      </c>
      <c r="S28" s="484">
        <f>SUM(S29:S30)</f>
        <v>0</v>
      </c>
      <c r="T28" s="484">
        <f>SUM(T29:T30)</f>
        <v>0</v>
      </c>
      <c r="U28" s="484">
        <f>SUM(U29:U30)</f>
        <v>0</v>
      </c>
      <c r="V28" s="484">
        <f t="shared" si="4"/>
        <v>0</v>
      </c>
    </row>
    <row r="29" spans="1:22" ht="15" hidden="1" customHeight="1" x14ac:dyDescent="0.25">
      <c r="A29" s="451"/>
      <c r="B29" s="234" t="s">
        <v>323</v>
      </c>
      <c r="C29" s="469">
        <v>0</v>
      </c>
      <c r="D29" s="469">
        <v>0</v>
      </c>
      <c r="E29" s="469">
        <v>0</v>
      </c>
      <c r="F29" s="469">
        <f t="shared" si="0"/>
        <v>0</v>
      </c>
      <c r="G29" s="469">
        <v>0</v>
      </c>
      <c r="H29" s="469">
        <v>0</v>
      </c>
      <c r="I29" s="469">
        <v>0</v>
      </c>
      <c r="J29" s="469">
        <f t="shared" si="1"/>
        <v>0</v>
      </c>
      <c r="K29" s="469">
        <v>0</v>
      </c>
      <c r="L29" s="469">
        <v>0</v>
      </c>
      <c r="M29" s="469">
        <v>0</v>
      </c>
      <c r="N29" s="469">
        <f t="shared" si="2"/>
        <v>0</v>
      </c>
      <c r="O29" s="469">
        <v>0</v>
      </c>
      <c r="P29" s="469">
        <v>0</v>
      </c>
      <c r="Q29" s="469">
        <v>0</v>
      </c>
      <c r="R29" s="469">
        <f t="shared" si="3"/>
        <v>0</v>
      </c>
      <c r="S29" s="469">
        <v>0</v>
      </c>
      <c r="T29" s="469">
        <v>0</v>
      </c>
      <c r="U29" s="469">
        <v>0</v>
      </c>
      <c r="V29" s="469">
        <f t="shared" si="4"/>
        <v>0</v>
      </c>
    </row>
    <row r="30" spans="1:22" ht="15" hidden="1" customHeight="1" x14ac:dyDescent="0.25">
      <c r="A30" s="451"/>
      <c r="B30" s="234" t="s">
        <v>324</v>
      </c>
      <c r="C30" s="469">
        <v>0</v>
      </c>
      <c r="D30" s="469">
        <v>0</v>
      </c>
      <c r="E30" s="469">
        <v>0</v>
      </c>
      <c r="F30" s="469">
        <f t="shared" si="0"/>
        <v>0</v>
      </c>
      <c r="G30" s="469">
        <v>0</v>
      </c>
      <c r="H30" s="469">
        <v>0</v>
      </c>
      <c r="I30" s="469">
        <v>0</v>
      </c>
      <c r="J30" s="469">
        <f t="shared" si="1"/>
        <v>0</v>
      </c>
      <c r="K30" s="469">
        <v>0</v>
      </c>
      <c r="L30" s="469">
        <v>0</v>
      </c>
      <c r="M30" s="469">
        <v>0</v>
      </c>
      <c r="N30" s="469">
        <f t="shared" si="2"/>
        <v>0</v>
      </c>
      <c r="O30" s="469">
        <v>0</v>
      </c>
      <c r="P30" s="469">
        <v>0</v>
      </c>
      <c r="Q30" s="469">
        <v>0</v>
      </c>
      <c r="R30" s="469">
        <f t="shared" si="3"/>
        <v>0</v>
      </c>
      <c r="S30" s="469">
        <v>0</v>
      </c>
      <c r="T30" s="469">
        <v>0</v>
      </c>
      <c r="U30" s="469">
        <v>0</v>
      </c>
      <c r="V30" s="469">
        <f t="shared" si="4"/>
        <v>0</v>
      </c>
    </row>
    <row r="31" spans="1:22" x14ac:dyDescent="0.25">
      <c r="A31" s="482" t="s">
        <v>315</v>
      </c>
      <c r="B31" s="483" t="s">
        <v>325</v>
      </c>
      <c r="C31" s="484">
        <f>SUM(C32:C32)</f>
        <v>0</v>
      </c>
      <c r="D31" s="484">
        <f>SUM(D32:D32)</f>
        <v>0</v>
      </c>
      <c r="E31" s="484">
        <f>SUM(E32:E32)</f>
        <v>0</v>
      </c>
      <c r="F31" s="484">
        <f t="shared" si="0"/>
        <v>0</v>
      </c>
      <c r="G31" s="484">
        <f>SUM(G32:G32)</f>
        <v>0</v>
      </c>
      <c r="H31" s="484">
        <f>SUM(H32:H32)</f>
        <v>0</v>
      </c>
      <c r="I31" s="484">
        <f>SUM(I32:I32)</f>
        <v>0</v>
      </c>
      <c r="J31" s="484">
        <f t="shared" si="1"/>
        <v>0</v>
      </c>
      <c r="K31" s="484">
        <f>SUM(K32:K32)</f>
        <v>0</v>
      </c>
      <c r="L31" s="484">
        <f>SUM(L32:L32)</f>
        <v>0</v>
      </c>
      <c r="M31" s="484">
        <f>SUM(M32:M32)</f>
        <v>0</v>
      </c>
      <c r="N31" s="484">
        <f t="shared" si="2"/>
        <v>0</v>
      </c>
      <c r="O31" s="484">
        <f>SUM(O32:O32)</f>
        <v>0</v>
      </c>
      <c r="P31" s="484">
        <f>SUM(P32:P32)</f>
        <v>0</v>
      </c>
      <c r="Q31" s="484">
        <f>SUM(Q32:Q32)</f>
        <v>0</v>
      </c>
      <c r="R31" s="484">
        <f t="shared" si="3"/>
        <v>0</v>
      </c>
      <c r="S31" s="484">
        <f>SUM(S32:S32)</f>
        <v>0</v>
      </c>
      <c r="T31" s="484">
        <f>SUM(T32:T32)</f>
        <v>0</v>
      </c>
      <c r="U31" s="484">
        <f>SUM(U32:U32)</f>
        <v>0</v>
      </c>
      <c r="V31" s="484">
        <f t="shared" si="4"/>
        <v>0</v>
      </c>
    </row>
    <row r="32" spans="1:22" ht="15" hidden="1" customHeight="1" x14ac:dyDescent="0.25">
      <c r="A32" s="451"/>
      <c r="B32" s="234" t="s">
        <v>326</v>
      </c>
      <c r="C32" s="469">
        <v>0</v>
      </c>
      <c r="D32" s="469">
        <v>0</v>
      </c>
      <c r="E32" s="469">
        <v>0</v>
      </c>
      <c r="F32" s="469">
        <f t="shared" si="0"/>
        <v>0</v>
      </c>
      <c r="G32" s="469">
        <v>0</v>
      </c>
      <c r="H32" s="469">
        <v>0</v>
      </c>
      <c r="I32" s="469">
        <v>0</v>
      </c>
      <c r="J32" s="469">
        <f t="shared" si="1"/>
        <v>0</v>
      </c>
      <c r="K32" s="469">
        <v>0</v>
      </c>
      <c r="L32" s="469">
        <v>0</v>
      </c>
      <c r="M32" s="469">
        <v>0</v>
      </c>
      <c r="N32" s="469">
        <f t="shared" si="2"/>
        <v>0</v>
      </c>
      <c r="O32" s="469">
        <v>0</v>
      </c>
      <c r="P32" s="469">
        <v>0</v>
      </c>
      <c r="Q32" s="469">
        <v>0</v>
      </c>
      <c r="R32" s="469">
        <f t="shared" si="3"/>
        <v>0</v>
      </c>
      <c r="S32" s="469">
        <v>0</v>
      </c>
      <c r="T32" s="469">
        <v>0</v>
      </c>
      <c r="U32" s="469">
        <v>0</v>
      </c>
      <c r="V32" s="469">
        <f t="shared" si="4"/>
        <v>0</v>
      </c>
    </row>
    <row r="33" spans="1:23" x14ac:dyDescent="0.25">
      <c r="A33" s="450"/>
      <c r="B33" s="485" t="s">
        <v>327</v>
      </c>
      <c r="C33" s="318">
        <f>C25+C8</f>
        <v>3350000</v>
      </c>
      <c r="D33" s="318">
        <f>D25+D8</f>
        <v>0</v>
      </c>
      <c r="E33" s="318">
        <f>E25+E8</f>
        <v>0</v>
      </c>
      <c r="F33" s="318">
        <f t="shared" si="0"/>
        <v>3350000</v>
      </c>
      <c r="G33" s="511">
        <f>G25+G8</f>
        <v>3350000</v>
      </c>
      <c r="H33" s="511">
        <f>H25+H8</f>
        <v>0</v>
      </c>
      <c r="I33" s="511">
        <f>I25+I8</f>
        <v>0</v>
      </c>
      <c r="J33" s="511">
        <f t="shared" si="1"/>
        <v>3350000</v>
      </c>
      <c r="K33" s="511">
        <f>K25+K8</f>
        <v>3350000</v>
      </c>
      <c r="L33" s="511">
        <f>L25+L8</f>
        <v>0</v>
      </c>
      <c r="M33" s="511">
        <f>M25+M8</f>
        <v>0</v>
      </c>
      <c r="N33" s="511">
        <f t="shared" si="2"/>
        <v>3350000</v>
      </c>
      <c r="O33" s="511">
        <f>O25+O8</f>
        <v>3350000</v>
      </c>
      <c r="P33" s="511">
        <f>P25+P8</f>
        <v>0</v>
      </c>
      <c r="Q33" s="511">
        <f>Q25+Q8</f>
        <v>0</v>
      </c>
      <c r="R33" s="511">
        <f t="shared" si="3"/>
        <v>3350000</v>
      </c>
      <c r="S33" s="511">
        <f>S25+S8</f>
        <v>4370901</v>
      </c>
      <c r="T33" s="511">
        <f>T25+T8</f>
        <v>0</v>
      </c>
      <c r="U33" s="511">
        <f>U25+U8</f>
        <v>0</v>
      </c>
      <c r="V33" s="511">
        <f t="shared" si="4"/>
        <v>4370901</v>
      </c>
    </row>
    <row r="34" spans="1:23" x14ac:dyDescent="0.25">
      <c r="A34" s="479" t="s">
        <v>328</v>
      </c>
      <c r="B34" s="480" t="s">
        <v>329</v>
      </c>
      <c r="C34" s="481">
        <f>C35</f>
        <v>784557000</v>
      </c>
      <c r="D34" s="481">
        <f>D35</f>
        <v>31760000</v>
      </c>
      <c r="E34" s="481">
        <f>E35</f>
        <v>1229000</v>
      </c>
      <c r="F34" s="481">
        <f t="shared" si="0"/>
        <v>817546000</v>
      </c>
      <c r="G34" s="481">
        <f>G35</f>
        <v>852661827</v>
      </c>
      <c r="H34" s="481">
        <f>H35</f>
        <v>31760000</v>
      </c>
      <c r="I34" s="481">
        <f>I35</f>
        <v>1229000</v>
      </c>
      <c r="J34" s="481">
        <f t="shared" si="1"/>
        <v>885650827</v>
      </c>
      <c r="K34" s="481">
        <f>K35</f>
        <v>852661827</v>
      </c>
      <c r="L34" s="481">
        <f>L35</f>
        <v>31760000</v>
      </c>
      <c r="M34" s="481">
        <f>M35</f>
        <v>1229000</v>
      </c>
      <c r="N34" s="481">
        <f t="shared" si="2"/>
        <v>885650827</v>
      </c>
      <c r="O34" s="481">
        <f>O35</f>
        <v>843425949</v>
      </c>
      <c r="P34" s="481">
        <f>P35</f>
        <v>40995878</v>
      </c>
      <c r="Q34" s="481">
        <f>Q35</f>
        <v>1229000</v>
      </c>
      <c r="R34" s="481">
        <f t="shared" si="3"/>
        <v>885650827</v>
      </c>
      <c r="S34" s="481">
        <f>S35</f>
        <v>784445553</v>
      </c>
      <c r="T34" s="481">
        <f>T35</f>
        <v>39919594</v>
      </c>
      <c r="U34" s="481">
        <f>U35</f>
        <v>649416</v>
      </c>
      <c r="V34" s="481">
        <f t="shared" si="4"/>
        <v>825014563</v>
      </c>
    </row>
    <row r="35" spans="1:23" x14ac:dyDescent="0.25">
      <c r="A35" s="482" t="s">
        <v>311</v>
      </c>
      <c r="B35" s="483" t="s">
        <v>330</v>
      </c>
      <c r="C35" s="484">
        <f>SUM(C36:C37)</f>
        <v>784557000</v>
      </c>
      <c r="D35" s="484">
        <f>SUM(D36:D37)</f>
        <v>31760000</v>
      </c>
      <c r="E35" s="484">
        <f>SUM(E36:E37)</f>
        <v>1229000</v>
      </c>
      <c r="F35" s="484">
        <f t="shared" si="0"/>
        <v>817546000</v>
      </c>
      <c r="G35" s="484">
        <f>SUM(G36:G37)</f>
        <v>852661827</v>
      </c>
      <c r="H35" s="484">
        <f>SUM(H36:H37)</f>
        <v>31760000</v>
      </c>
      <c r="I35" s="484">
        <f>SUM(I36:I37)</f>
        <v>1229000</v>
      </c>
      <c r="J35" s="484">
        <f t="shared" si="1"/>
        <v>885650827</v>
      </c>
      <c r="K35" s="484">
        <f>SUM(K36:K37)</f>
        <v>852661827</v>
      </c>
      <c r="L35" s="484">
        <f>SUM(L36:L37)</f>
        <v>31760000</v>
      </c>
      <c r="M35" s="484">
        <f>SUM(M36:M37)</f>
        <v>1229000</v>
      </c>
      <c r="N35" s="484">
        <f t="shared" si="2"/>
        <v>885650827</v>
      </c>
      <c r="O35" s="484">
        <f>SUM(O36:O37)</f>
        <v>843425949</v>
      </c>
      <c r="P35" s="484">
        <f>SUM(P36:P37)</f>
        <v>40995878</v>
      </c>
      <c r="Q35" s="484">
        <f>SUM(Q36:Q37)</f>
        <v>1229000</v>
      </c>
      <c r="R35" s="484">
        <f t="shared" si="3"/>
        <v>885650827</v>
      </c>
      <c r="S35" s="484">
        <f>SUM(S36:S37)</f>
        <v>784445553</v>
      </c>
      <c r="T35" s="484">
        <f>SUM(T36:T37)</f>
        <v>39919594</v>
      </c>
      <c r="U35" s="484">
        <f>SUM(U36:U37)</f>
        <v>649416</v>
      </c>
      <c r="V35" s="484">
        <f t="shared" si="4"/>
        <v>825014563</v>
      </c>
    </row>
    <row r="36" spans="1:23" x14ac:dyDescent="0.25">
      <c r="A36" s="451"/>
      <c r="B36" s="234" t="s">
        <v>331</v>
      </c>
      <c r="C36" s="469">
        <v>0</v>
      </c>
      <c r="D36" s="469">
        <v>0</v>
      </c>
      <c r="E36" s="469">
        <v>0</v>
      </c>
      <c r="F36" s="469">
        <f t="shared" si="0"/>
        <v>0</v>
      </c>
      <c r="G36" s="469">
        <v>43104827</v>
      </c>
      <c r="H36" s="469">
        <v>0</v>
      </c>
      <c r="I36" s="469">
        <v>0</v>
      </c>
      <c r="J36" s="469">
        <f t="shared" si="1"/>
        <v>43104827</v>
      </c>
      <c r="K36" s="469">
        <v>43104827</v>
      </c>
      <c r="L36" s="469">
        <v>0</v>
      </c>
      <c r="M36" s="469">
        <v>0</v>
      </c>
      <c r="N36" s="469">
        <f t="shared" si="2"/>
        <v>43104827</v>
      </c>
      <c r="O36" s="469">
        <v>43104827</v>
      </c>
      <c r="P36" s="469">
        <v>0</v>
      </c>
      <c r="Q36" s="469">
        <v>0</v>
      </c>
      <c r="R36" s="469">
        <f t="shared" si="3"/>
        <v>43104827</v>
      </c>
      <c r="S36" s="469">
        <v>43104827</v>
      </c>
      <c r="T36" s="469">
        <v>0</v>
      </c>
      <c r="U36" s="469">
        <v>0</v>
      </c>
      <c r="V36" s="469">
        <f t="shared" si="4"/>
        <v>43104827</v>
      </c>
    </row>
    <row r="37" spans="1:23" x14ac:dyDescent="0.25">
      <c r="A37" s="451"/>
      <c r="B37" s="234" t="s">
        <v>332</v>
      </c>
      <c r="C37" s="469">
        <f>C39+C45-C33-C36</f>
        <v>784557000</v>
      </c>
      <c r="D37" s="469">
        <f>D39+D45-D33-D36</f>
        <v>31760000</v>
      </c>
      <c r="E37" s="469">
        <f>E39+E45-E33-E36</f>
        <v>1229000</v>
      </c>
      <c r="F37" s="469">
        <f t="shared" si="0"/>
        <v>817546000</v>
      </c>
      <c r="G37" s="469">
        <f>G39+G45-G33-G36</f>
        <v>809557000</v>
      </c>
      <c r="H37" s="469">
        <f>H39+H45-H33-H36</f>
        <v>31760000</v>
      </c>
      <c r="I37" s="469">
        <f>I39+I45-I33-I36</f>
        <v>1229000</v>
      </c>
      <c r="J37" s="469">
        <f t="shared" si="1"/>
        <v>842546000</v>
      </c>
      <c r="K37" s="469">
        <f>K39+K45-K33-K36</f>
        <v>809557000</v>
      </c>
      <c r="L37" s="469">
        <f>L39+L45-L33-L36</f>
        <v>31760000</v>
      </c>
      <c r="M37" s="469">
        <f>M39+M45-M33-M36</f>
        <v>1229000</v>
      </c>
      <c r="N37" s="469">
        <f t="shared" si="2"/>
        <v>842546000</v>
      </c>
      <c r="O37" s="469">
        <f>O39+O45-O33-O36</f>
        <v>800321122</v>
      </c>
      <c r="P37" s="469">
        <f>P39+P45-P33-P36</f>
        <v>40995878</v>
      </c>
      <c r="Q37" s="469">
        <f>Q39+Q45-Q33-Q36</f>
        <v>1229000</v>
      </c>
      <c r="R37" s="469">
        <f t="shared" si="3"/>
        <v>842546000</v>
      </c>
      <c r="S37" s="469">
        <v>741340726</v>
      </c>
      <c r="T37" s="469">
        <f>T39+T45-T33-T36</f>
        <v>39919594</v>
      </c>
      <c r="U37" s="469">
        <f>U39+U45-U33-U36</f>
        <v>649416</v>
      </c>
      <c r="V37" s="469">
        <f t="shared" si="4"/>
        <v>781909736</v>
      </c>
    </row>
    <row r="38" spans="1:23" x14ac:dyDescent="0.25">
      <c r="A38" s="486"/>
      <c r="B38" s="487" t="s">
        <v>333</v>
      </c>
      <c r="C38" s="330">
        <f>C34+C25+C8</f>
        <v>787907000</v>
      </c>
      <c r="D38" s="330">
        <f>D34+D25+D8</f>
        <v>31760000</v>
      </c>
      <c r="E38" s="330">
        <f>E34+E25+E8</f>
        <v>1229000</v>
      </c>
      <c r="F38" s="330">
        <f t="shared" si="0"/>
        <v>820896000</v>
      </c>
      <c r="G38" s="514">
        <f>G34+G25+G8</f>
        <v>856011827</v>
      </c>
      <c r="H38" s="514">
        <f>H34+H25+H8</f>
        <v>31760000</v>
      </c>
      <c r="I38" s="514">
        <f>I34+I25+I8</f>
        <v>1229000</v>
      </c>
      <c r="J38" s="514">
        <f t="shared" si="1"/>
        <v>889000827</v>
      </c>
      <c r="K38" s="514">
        <f>K34+K25+K8</f>
        <v>856011827</v>
      </c>
      <c r="L38" s="514">
        <f>L34+L25+L8</f>
        <v>31760000</v>
      </c>
      <c r="M38" s="514">
        <f>M34+M25+M8</f>
        <v>1229000</v>
      </c>
      <c r="N38" s="514">
        <f t="shared" si="2"/>
        <v>889000827</v>
      </c>
      <c r="O38" s="514">
        <f>O34+O25+O8</f>
        <v>846775949</v>
      </c>
      <c r="P38" s="514">
        <f>P34+P25+P8</f>
        <v>40995878</v>
      </c>
      <c r="Q38" s="514">
        <f>Q34+Q25+Q8</f>
        <v>1229000</v>
      </c>
      <c r="R38" s="514">
        <f t="shared" si="3"/>
        <v>889000827</v>
      </c>
      <c r="S38" s="514">
        <f>S34+S25+S8</f>
        <v>788816454</v>
      </c>
      <c r="T38" s="514">
        <f>T34+T25+T8</f>
        <v>39919594</v>
      </c>
      <c r="U38" s="514">
        <f>U34+U25+U8</f>
        <v>649416</v>
      </c>
      <c r="V38" s="514">
        <f t="shared" si="4"/>
        <v>829385464</v>
      </c>
    </row>
    <row r="39" spans="1:23" x14ac:dyDescent="0.25">
      <c r="A39" s="479" t="s">
        <v>309</v>
      </c>
      <c r="B39" s="480" t="s">
        <v>334</v>
      </c>
      <c r="C39" s="481">
        <f>SUM(C40:C44)</f>
        <v>779907000</v>
      </c>
      <c r="D39" s="481">
        <f>SUM(D40:D44)</f>
        <v>31760000</v>
      </c>
      <c r="E39" s="481">
        <f>SUM(E40:E44)</f>
        <v>1229000</v>
      </c>
      <c r="F39" s="481">
        <f t="shared" si="0"/>
        <v>812896000</v>
      </c>
      <c r="G39" s="481">
        <f>SUM(G40:G44)</f>
        <v>848011827</v>
      </c>
      <c r="H39" s="481">
        <f>SUM(H40:H44)</f>
        <v>31760000</v>
      </c>
      <c r="I39" s="481">
        <f>SUM(I40:I44)</f>
        <v>1229000</v>
      </c>
      <c r="J39" s="481">
        <f t="shared" si="1"/>
        <v>881000827</v>
      </c>
      <c r="K39" s="481">
        <f>SUM(K40:K44)</f>
        <v>848011827</v>
      </c>
      <c r="L39" s="481">
        <f>SUM(L40:L44)</f>
        <v>31760000</v>
      </c>
      <c r="M39" s="481">
        <f>SUM(M40:M44)</f>
        <v>1229000</v>
      </c>
      <c r="N39" s="481">
        <f t="shared" si="2"/>
        <v>881000827</v>
      </c>
      <c r="O39" s="481">
        <f>SUM(O40:O44)</f>
        <v>839157310</v>
      </c>
      <c r="P39" s="481">
        <f>SUM(P40:P44)</f>
        <v>40614517</v>
      </c>
      <c r="Q39" s="481">
        <f>SUM(Q40:Q44)</f>
        <v>1229000</v>
      </c>
      <c r="R39" s="481">
        <f t="shared" si="3"/>
        <v>881000827</v>
      </c>
      <c r="S39" s="481">
        <f>SUM(S40:S44)</f>
        <v>689989109</v>
      </c>
      <c r="T39" s="481">
        <f>SUM(T40:T44)</f>
        <v>39538233</v>
      </c>
      <c r="U39" s="481">
        <f>SUM(U40:U44)</f>
        <v>649416</v>
      </c>
      <c r="V39" s="481">
        <f t="shared" si="4"/>
        <v>730176758</v>
      </c>
      <c r="W39" s="768">
        <f>+R39-N39</f>
        <v>0</v>
      </c>
    </row>
    <row r="40" spans="1:23" x14ac:dyDescent="0.25">
      <c r="A40" s="482" t="s">
        <v>311</v>
      </c>
      <c r="B40" s="483" t="s">
        <v>286</v>
      </c>
      <c r="C40" s="484">
        <f>'3B PH fel'!F7+'3B PH fel'!F13</f>
        <v>481833000</v>
      </c>
      <c r="D40" s="484">
        <f>'3B PH fel'!F22+'3B PH fel'!F27</f>
        <v>22593000</v>
      </c>
      <c r="E40" s="484">
        <f>'3B PH fel'!F35</f>
        <v>40000</v>
      </c>
      <c r="F40" s="484">
        <f t="shared" si="0"/>
        <v>504466000</v>
      </c>
      <c r="G40" s="484">
        <f>'3B PH fel'!J7+'3B PH fel'!J13</f>
        <v>523148724</v>
      </c>
      <c r="H40" s="484">
        <f>'3B PH fel'!J22+'3B PH fel'!J27</f>
        <v>22593000</v>
      </c>
      <c r="I40" s="484">
        <f>'3B PH fel'!J35</f>
        <v>40000</v>
      </c>
      <c r="J40" s="484">
        <f t="shared" si="1"/>
        <v>545781724</v>
      </c>
      <c r="K40" s="484">
        <f>'3B PH fel'!N7+'3B PH fel'!N13</f>
        <v>523148724</v>
      </c>
      <c r="L40" s="484">
        <f>'3B PH fel'!N22+'3B PH fel'!N27</f>
        <v>22593000</v>
      </c>
      <c r="M40" s="484">
        <f>'3B PH fel'!N35</f>
        <v>40000</v>
      </c>
      <c r="N40" s="484">
        <f t="shared" si="2"/>
        <v>545781724</v>
      </c>
      <c r="O40" s="484">
        <f>'3B PH fel'!R7+'3B PH fel'!R13</f>
        <v>515049957</v>
      </c>
      <c r="P40" s="484">
        <f>'3B PH fel'!R22+'3B PH fel'!R27</f>
        <v>30691767</v>
      </c>
      <c r="Q40" s="484">
        <f>'3B PH fel'!R35</f>
        <v>40000</v>
      </c>
      <c r="R40" s="484">
        <f t="shared" si="3"/>
        <v>545781724</v>
      </c>
      <c r="S40" s="484">
        <f>'3B PH fel'!V7+'3B PH fel'!V13</f>
        <v>444126595</v>
      </c>
      <c r="T40" s="484">
        <f>'3B PH fel'!V22+'3B PH fel'!V27</f>
        <v>30691767</v>
      </c>
      <c r="U40" s="484">
        <f>'3B PH fel'!V35</f>
        <v>0</v>
      </c>
      <c r="V40" s="484">
        <f t="shared" si="4"/>
        <v>474818362</v>
      </c>
      <c r="W40" s="768">
        <f t="shared" ref="W40:W49" si="5">+R40-N40</f>
        <v>0</v>
      </c>
    </row>
    <row r="41" spans="1:23" ht="30" x14ac:dyDescent="0.25">
      <c r="A41" s="482" t="s">
        <v>322</v>
      </c>
      <c r="B41" s="483" t="s">
        <v>335</v>
      </c>
      <c r="C41" s="484">
        <f>'3B PH fel'!F8+'3B PH fel'!F14</f>
        <v>96143000</v>
      </c>
      <c r="D41" s="484">
        <f>'3B PH fel'!F23+'3B PH fel'!F28</f>
        <v>4293000</v>
      </c>
      <c r="E41" s="484">
        <f>'3B PH fel'!F36</f>
        <v>16000</v>
      </c>
      <c r="F41" s="484">
        <f t="shared" si="0"/>
        <v>100452000</v>
      </c>
      <c r="G41" s="484">
        <f>'3B PH fel'!J8+'3B PH fel'!J14</f>
        <v>103366000</v>
      </c>
      <c r="H41" s="484">
        <f>'3B PH fel'!J23+'3B PH fel'!J28</f>
        <v>4293000</v>
      </c>
      <c r="I41" s="484">
        <f>'3B PH fel'!J36</f>
        <v>16000</v>
      </c>
      <c r="J41" s="484">
        <f t="shared" si="1"/>
        <v>107675000</v>
      </c>
      <c r="K41" s="484">
        <f>'3B PH fel'!N8+'3B PH fel'!N14</f>
        <v>103366000</v>
      </c>
      <c r="L41" s="484">
        <f>'3B PH fel'!N23+'3B PH fel'!N28</f>
        <v>4293000</v>
      </c>
      <c r="M41" s="484">
        <f>'3B PH fel'!N36</f>
        <v>16000</v>
      </c>
      <c r="N41" s="484">
        <f t="shared" si="2"/>
        <v>107675000</v>
      </c>
      <c r="O41" s="484">
        <f>'3B PH fel'!R8+'3B PH fel'!R14</f>
        <v>102652023</v>
      </c>
      <c r="P41" s="484">
        <f>'3B PH fel'!R23+'3B PH fel'!R28</f>
        <v>5006977</v>
      </c>
      <c r="Q41" s="484">
        <f>'3B PH fel'!R36</f>
        <v>16000</v>
      </c>
      <c r="R41" s="484">
        <f t="shared" si="3"/>
        <v>107675000</v>
      </c>
      <c r="S41" s="484">
        <f>'3B PH fel'!V8+'3B PH fel'!V14</f>
        <v>75176599</v>
      </c>
      <c r="T41" s="484">
        <f>'3B PH fel'!V23+'3B PH fel'!V28</f>
        <v>5006977</v>
      </c>
      <c r="U41" s="484">
        <f>'3B PH fel'!V36</f>
        <v>0</v>
      </c>
      <c r="V41" s="484">
        <f t="shared" si="4"/>
        <v>80183576</v>
      </c>
      <c r="W41" s="768">
        <f t="shared" si="5"/>
        <v>0</v>
      </c>
    </row>
    <row r="42" spans="1:23" x14ac:dyDescent="0.25">
      <c r="A42" s="482" t="s">
        <v>315</v>
      </c>
      <c r="B42" s="483" t="s">
        <v>292</v>
      </c>
      <c r="C42" s="484">
        <f>'3B PH fel'!F9+'3B PH fel'!F15</f>
        <v>201931000</v>
      </c>
      <c r="D42" s="484">
        <f>'3B PH fel'!F24+'3B PH fel'!F29</f>
        <v>4874000</v>
      </c>
      <c r="E42" s="484">
        <f>'3B PH fel'!F37</f>
        <v>1173000</v>
      </c>
      <c r="F42" s="493">
        <f t="shared" si="0"/>
        <v>207978000</v>
      </c>
      <c r="G42" s="484">
        <f>'3B PH fel'!J9+'3B PH fel'!J15</f>
        <v>205619800</v>
      </c>
      <c r="H42" s="484">
        <f>'3B PH fel'!J24+'3B PH fel'!J29</f>
        <v>4874000</v>
      </c>
      <c r="I42" s="484">
        <f>'3B PH fel'!J37</f>
        <v>1173000</v>
      </c>
      <c r="J42" s="493">
        <f t="shared" si="1"/>
        <v>211666800</v>
      </c>
      <c r="K42" s="484">
        <f>'3B PH fel'!N9+'3B PH fel'!N15</f>
        <v>205619800</v>
      </c>
      <c r="L42" s="484">
        <f>'3B PH fel'!N24+'3B PH fel'!N29</f>
        <v>4874000</v>
      </c>
      <c r="M42" s="484">
        <f>'3B PH fel'!N37</f>
        <v>1173000</v>
      </c>
      <c r="N42" s="493">
        <f t="shared" si="2"/>
        <v>211666800</v>
      </c>
      <c r="O42" s="484">
        <f>'3B PH fel'!R9+'3B PH fel'!R15+'3B PH fel'!R18</f>
        <v>205578027</v>
      </c>
      <c r="P42" s="484">
        <f>'3B PH fel'!R24+'3B PH fel'!R29</f>
        <v>4915773</v>
      </c>
      <c r="Q42" s="484">
        <f>'3B PH fel'!R37</f>
        <v>1173000</v>
      </c>
      <c r="R42" s="493">
        <f t="shared" si="3"/>
        <v>211666800</v>
      </c>
      <c r="S42" s="484">
        <f>'3B PH fel'!V9+'3B PH fel'!V15+'3B PH fel'!V18</f>
        <v>154808612</v>
      </c>
      <c r="T42" s="484">
        <f>'3B PH fel'!V24+'3B PH fel'!V29</f>
        <v>3839489</v>
      </c>
      <c r="U42" s="484">
        <f>'3B PH fel'!V37</f>
        <v>649416</v>
      </c>
      <c r="V42" s="493">
        <f t="shared" si="4"/>
        <v>159297517</v>
      </c>
      <c r="W42" s="768">
        <f t="shared" si="5"/>
        <v>0</v>
      </c>
    </row>
    <row r="43" spans="1:23" x14ac:dyDescent="0.25">
      <c r="A43" s="482" t="s">
        <v>336</v>
      </c>
      <c r="B43" s="483" t="s">
        <v>337</v>
      </c>
      <c r="C43" s="484">
        <f>'3B PH fel'!C44</f>
        <v>0</v>
      </c>
      <c r="D43" s="484">
        <f>'3B PH fel'!D44</f>
        <v>0</v>
      </c>
      <c r="E43" s="484">
        <f>'3B PH fel'!E44</f>
        <v>0</v>
      </c>
      <c r="F43" s="484">
        <f t="shared" si="0"/>
        <v>0</v>
      </c>
      <c r="G43" s="484">
        <f>'3B PH fel'!G44</f>
        <v>0</v>
      </c>
      <c r="H43" s="484">
        <f>'3B PH fel'!H44</f>
        <v>0</v>
      </c>
      <c r="I43" s="484">
        <f>'3B PH fel'!I44</f>
        <v>0</v>
      </c>
      <c r="J43" s="484">
        <f t="shared" si="1"/>
        <v>0</v>
      </c>
      <c r="K43" s="484">
        <f>'3B PH fel'!K44</f>
        <v>0</v>
      </c>
      <c r="L43" s="484">
        <f>'3B PH fel'!L44</f>
        <v>0</v>
      </c>
      <c r="M43" s="484">
        <f>'3B PH fel'!M44</f>
        <v>0</v>
      </c>
      <c r="N43" s="484">
        <f t="shared" si="2"/>
        <v>0</v>
      </c>
      <c r="O43" s="484">
        <f>'3B PH fel'!O44</f>
        <v>0</v>
      </c>
      <c r="P43" s="484">
        <f>'3B PH fel'!P44</f>
        <v>0</v>
      </c>
      <c r="Q43" s="484">
        <f>'3B PH fel'!Q44</f>
        <v>0</v>
      </c>
      <c r="R43" s="484">
        <f t="shared" si="3"/>
        <v>0</v>
      </c>
      <c r="S43" s="484">
        <f>'3B PH fel'!S44</f>
        <v>0</v>
      </c>
      <c r="T43" s="484">
        <f>'3B PH fel'!T44</f>
        <v>0</v>
      </c>
      <c r="U43" s="484">
        <f>'3B PH fel'!U44</f>
        <v>0</v>
      </c>
      <c r="V43" s="484">
        <f t="shared" si="4"/>
        <v>0</v>
      </c>
      <c r="W43" s="768">
        <f t="shared" si="5"/>
        <v>0</v>
      </c>
    </row>
    <row r="44" spans="1:23" x14ac:dyDescent="0.25">
      <c r="A44" s="482" t="s">
        <v>338</v>
      </c>
      <c r="B44" s="483" t="s">
        <v>339</v>
      </c>
      <c r="C44" s="484">
        <f>'3B PH fel'!C45</f>
        <v>0</v>
      </c>
      <c r="D44" s="484">
        <f>'3B PH fel'!D45</f>
        <v>0</v>
      </c>
      <c r="E44" s="484">
        <f>'3B PH fel'!E45</f>
        <v>0</v>
      </c>
      <c r="F44" s="484">
        <f t="shared" si="0"/>
        <v>0</v>
      </c>
      <c r="G44" s="484">
        <f>'3B PH fel'!J10</f>
        <v>15877303</v>
      </c>
      <c r="H44" s="484">
        <f>'3B PH fel'!H45</f>
        <v>0</v>
      </c>
      <c r="I44" s="484">
        <f>'3B PH fel'!I45</f>
        <v>0</v>
      </c>
      <c r="J44" s="484">
        <f t="shared" si="1"/>
        <v>15877303</v>
      </c>
      <c r="K44" s="484">
        <f>'3B PH fel'!N10</f>
        <v>15877303</v>
      </c>
      <c r="L44" s="484">
        <f>'3B PH fel'!L45</f>
        <v>0</v>
      </c>
      <c r="M44" s="484">
        <f>'3B PH fel'!M45</f>
        <v>0</v>
      </c>
      <c r="N44" s="484">
        <f t="shared" si="2"/>
        <v>15877303</v>
      </c>
      <c r="O44" s="484">
        <f>'3B PH fel'!R10</f>
        <v>15877303</v>
      </c>
      <c r="P44" s="484">
        <f>'3B PH fel'!P45</f>
        <v>0</v>
      </c>
      <c r="Q44" s="484">
        <f>'3B PH fel'!Q45</f>
        <v>0</v>
      </c>
      <c r="R44" s="484">
        <f t="shared" si="3"/>
        <v>15877303</v>
      </c>
      <c r="S44" s="484">
        <f>'3B PH fel'!V10</f>
        <v>15877303</v>
      </c>
      <c r="T44" s="484">
        <f>'3B PH fel'!T45</f>
        <v>0</v>
      </c>
      <c r="U44" s="484">
        <f>'3B PH fel'!U45</f>
        <v>0</v>
      </c>
      <c r="V44" s="484">
        <f t="shared" si="4"/>
        <v>15877303</v>
      </c>
      <c r="W44" s="768">
        <f t="shared" si="5"/>
        <v>0</v>
      </c>
    </row>
    <row r="45" spans="1:23" x14ac:dyDescent="0.25">
      <c r="A45" s="479" t="s">
        <v>318</v>
      </c>
      <c r="B45" s="480" t="s">
        <v>340</v>
      </c>
      <c r="C45" s="481">
        <f>SUM(C46:C48)</f>
        <v>8000000</v>
      </c>
      <c r="D45" s="481">
        <f>SUM(D46:D48)</f>
        <v>0</v>
      </c>
      <c r="E45" s="481">
        <f>SUM(E46:E48)</f>
        <v>0</v>
      </c>
      <c r="F45" s="481">
        <f t="shared" si="0"/>
        <v>8000000</v>
      </c>
      <c r="G45" s="481">
        <f>SUM(G46:G48)</f>
        <v>8000000</v>
      </c>
      <c r="H45" s="481">
        <f>SUM(H46:H48)</f>
        <v>0</v>
      </c>
      <c r="I45" s="481">
        <f>SUM(I46:I48)</f>
        <v>0</v>
      </c>
      <c r="J45" s="481">
        <f t="shared" si="1"/>
        <v>8000000</v>
      </c>
      <c r="K45" s="481">
        <f>SUM(K46:K48)</f>
        <v>8000000</v>
      </c>
      <c r="L45" s="481">
        <f>SUM(L46:L48)</f>
        <v>0</v>
      </c>
      <c r="M45" s="481">
        <f>SUM(M46:M48)</f>
        <v>0</v>
      </c>
      <c r="N45" s="481">
        <f t="shared" si="2"/>
        <v>8000000</v>
      </c>
      <c r="O45" s="481">
        <f>SUM(O46:O48)</f>
        <v>7618639</v>
      </c>
      <c r="P45" s="481">
        <f>SUM(P46:P48)</f>
        <v>381361</v>
      </c>
      <c r="Q45" s="481">
        <f>SUM(Q46:Q48)</f>
        <v>0</v>
      </c>
      <c r="R45" s="481">
        <f t="shared" si="3"/>
        <v>8000000</v>
      </c>
      <c r="S45" s="481">
        <f>SUM(S46:S48)</f>
        <v>1773121</v>
      </c>
      <c r="T45" s="481">
        <f>SUM(T46:T48)</f>
        <v>381361</v>
      </c>
      <c r="U45" s="481">
        <f>SUM(U46:U48)</f>
        <v>0</v>
      </c>
      <c r="V45" s="481">
        <f t="shared" si="4"/>
        <v>2154482</v>
      </c>
      <c r="W45" s="768">
        <f t="shared" si="5"/>
        <v>0</v>
      </c>
    </row>
    <row r="46" spans="1:23" x14ac:dyDescent="0.25">
      <c r="A46" s="482" t="s">
        <v>311</v>
      </c>
      <c r="B46" s="483" t="s">
        <v>341</v>
      </c>
      <c r="C46" s="484">
        <f>'3B PH fel'!F11</f>
        <v>8000000</v>
      </c>
      <c r="D46" s="484">
        <f>'3B PH fel'!F25+'3B PH fel'!F30</f>
        <v>0</v>
      </c>
      <c r="E46" s="484">
        <f>'3B PH fel'!E46</f>
        <v>0</v>
      </c>
      <c r="F46" s="493">
        <f t="shared" si="0"/>
        <v>8000000</v>
      </c>
      <c r="G46" s="484">
        <f>'3B PH fel'!J11</f>
        <v>8000000</v>
      </c>
      <c r="H46" s="484">
        <f>'3B PH fel'!J25+'3B PH fel'!J30</f>
        <v>0</v>
      </c>
      <c r="I46" s="484">
        <f>'3B PH fel'!I46</f>
        <v>0</v>
      </c>
      <c r="J46" s="493">
        <f t="shared" si="1"/>
        <v>8000000</v>
      </c>
      <c r="K46" s="484">
        <f>'3B PH fel'!N11</f>
        <v>8000000</v>
      </c>
      <c r="L46" s="484">
        <f>'3B PH fel'!N25+'3B PH fel'!N30</f>
        <v>0</v>
      </c>
      <c r="M46" s="484">
        <f>'3B PH fel'!M46</f>
        <v>0</v>
      </c>
      <c r="N46" s="493">
        <f t="shared" si="2"/>
        <v>8000000</v>
      </c>
      <c r="O46" s="484">
        <f>'3B PH fel'!R11+'3B PH fel'!R19</f>
        <v>7618639</v>
      </c>
      <c r="P46" s="484">
        <f>'3B PH fel'!R25+'3B PH fel'!R30</f>
        <v>381361</v>
      </c>
      <c r="Q46" s="484">
        <f>'3B PH fel'!Q46</f>
        <v>0</v>
      </c>
      <c r="R46" s="493">
        <f t="shared" si="3"/>
        <v>8000000</v>
      </c>
      <c r="S46" s="484">
        <f>'3B PH fel'!V11+'3B PH fel'!V19</f>
        <v>1773121</v>
      </c>
      <c r="T46" s="484">
        <f>'3B PH fel'!V25+'3B PH fel'!V30</f>
        <v>381361</v>
      </c>
      <c r="U46" s="484">
        <f>'3B PH fel'!U46</f>
        <v>0</v>
      </c>
      <c r="V46" s="493">
        <f t="shared" si="4"/>
        <v>2154482</v>
      </c>
      <c r="W46" s="768">
        <f t="shared" si="5"/>
        <v>0</v>
      </c>
    </row>
    <row r="47" spans="1:23" x14ac:dyDescent="0.25">
      <c r="A47" s="482" t="s">
        <v>322</v>
      </c>
      <c r="B47" s="483" t="s">
        <v>342</v>
      </c>
      <c r="C47" s="484">
        <f>'3B PH fel'!C47</f>
        <v>0</v>
      </c>
      <c r="D47" s="484">
        <f>'3B PH fel'!D47</f>
        <v>0</v>
      </c>
      <c r="E47" s="484">
        <f>'3B PH fel'!E47</f>
        <v>0</v>
      </c>
      <c r="F47" s="484">
        <f t="shared" si="0"/>
        <v>0</v>
      </c>
      <c r="G47" s="484">
        <f>'3B PH fel'!G47</f>
        <v>0</v>
      </c>
      <c r="H47" s="484">
        <f>'3B PH fel'!H47</f>
        <v>0</v>
      </c>
      <c r="I47" s="484">
        <f>'3B PH fel'!I47</f>
        <v>0</v>
      </c>
      <c r="J47" s="484">
        <f t="shared" si="1"/>
        <v>0</v>
      </c>
      <c r="K47" s="484">
        <f>'3B PH fel'!K47</f>
        <v>0</v>
      </c>
      <c r="L47" s="484">
        <f>'3B PH fel'!L47</f>
        <v>0</v>
      </c>
      <c r="M47" s="484">
        <f>'3B PH fel'!M47</f>
        <v>0</v>
      </c>
      <c r="N47" s="484">
        <f t="shared" si="2"/>
        <v>0</v>
      </c>
      <c r="O47" s="484">
        <f>'3B PH fel'!O47</f>
        <v>0</v>
      </c>
      <c r="P47" s="484">
        <f>'3B PH fel'!P47</f>
        <v>0</v>
      </c>
      <c r="Q47" s="484">
        <f>'3B PH fel'!Q47</f>
        <v>0</v>
      </c>
      <c r="R47" s="484">
        <f t="shared" si="3"/>
        <v>0</v>
      </c>
      <c r="S47" s="484">
        <f>'3B PH fel'!S47</f>
        <v>0</v>
      </c>
      <c r="T47" s="484">
        <f>'3B PH fel'!T47</f>
        <v>0</v>
      </c>
      <c r="U47" s="484">
        <f>'3B PH fel'!U47</f>
        <v>0</v>
      </c>
      <c r="V47" s="484">
        <f t="shared" si="4"/>
        <v>0</v>
      </c>
      <c r="W47" s="768">
        <f t="shared" si="5"/>
        <v>0</v>
      </c>
    </row>
    <row r="48" spans="1:23" x14ac:dyDescent="0.25">
      <c r="A48" s="482" t="s">
        <v>315</v>
      </c>
      <c r="B48" s="483" t="s">
        <v>343</v>
      </c>
      <c r="C48" s="484">
        <f>'3B PH fel'!C48</f>
        <v>0</v>
      </c>
      <c r="D48" s="484">
        <f>'3B PH fel'!D48</f>
        <v>0</v>
      </c>
      <c r="E48" s="484">
        <f>'3B PH fel'!E48</f>
        <v>0</v>
      </c>
      <c r="F48" s="484">
        <f t="shared" si="0"/>
        <v>0</v>
      </c>
      <c r="G48" s="484">
        <f>'3B PH fel'!G48</f>
        <v>0</v>
      </c>
      <c r="H48" s="484">
        <f>'3B PH fel'!H48</f>
        <v>0</v>
      </c>
      <c r="I48" s="484">
        <f>'3B PH fel'!I48</f>
        <v>0</v>
      </c>
      <c r="J48" s="484">
        <f t="shared" si="1"/>
        <v>0</v>
      </c>
      <c r="K48" s="484">
        <f>'3B PH fel'!K48</f>
        <v>0</v>
      </c>
      <c r="L48" s="484">
        <f>'3B PH fel'!L48</f>
        <v>0</v>
      </c>
      <c r="M48" s="484">
        <f>'3B PH fel'!M48</f>
        <v>0</v>
      </c>
      <c r="N48" s="484">
        <f t="shared" si="2"/>
        <v>0</v>
      </c>
      <c r="O48" s="484">
        <f>'3B PH fel'!O48</f>
        <v>0</v>
      </c>
      <c r="P48" s="484">
        <f>'3B PH fel'!P48</f>
        <v>0</v>
      </c>
      <c r="Q48" s="484">
        <f>'3B PH fel'!Q48</f>
        <v>0</v>
      </c>
      <c r="R48" s="484">
        <f t="shared" si="3"/>
        <v>0</v>
      </c>
      <c r="S48" s="484">
        <f>'3B PH fel'!S48</f>
        <v>0</v>
      </c>
      <c r="T48" s="484">
        <f>'3B PH fel'!T48</f>
        <v>0</v>
      </c>
      <c r="U48" s="484">
        <f>'3B PH fel'!U48</f>
        <v>0</v>
      </c>
      <c r="V48" s="484">
        <f t="shared" si="4"/>
        <v>0</v>
      </c>
      <c r="W48" s="768">
        <f t="shared" si="5"/>
        <v>0</v>
      </c>
    </row>
    <row r="49" spans="1:23" x14ac:dyDescent="0.25">
      <c r="A49" s="486"/>
      <c r="B49" s="487" t="s">
        <v>344</v>
      </c>
      <c r="C49" s="330">
        <f>C39+C45</f>
        <v>787907000</v>
      </c>
      <c r="D49" s="330">
        <f>D39+D45</f>
        <v>31760000</v>
      </c>
      <c r="E49" s="330">
        <f>E39+E45</f>
        <v>1229000</v>
      </c>
      <c r="F49" s="330">
        <f t="shared" si="0"/>
        <v>820896000</v>
      </c>
      <c r="G49" s="514">
        <f>G39+G45</f>
        <v>856011827</v>
      </c>
      <c r="H49" s="514">
        <f>H39+H45</f>
        <v>31760000</v>
      </c>
      <c r="I49" s="514">
        <f>I39+I45</f>
        <v>1229000</v>
      </c>
      <c r="J49" s="514">
        <f t="shared" si="1"/>
        <v>889000827</v>
      </c>
      <c r="K49" s="514">
        <f>K39+K45</f>
        <v>856011827</v>
      </c>
      <c r="L49" s="514">
        <f>L39+L45</f>
        <v>31760000</v>
      </c>
      <c r="M49" s="514">
        <f>M39+M45</f>
        <v>1229000</v>
      </c>
      <c r="N49" s="514">
        <f t="shared" si="2"/>
        <v>889000827</v>
      </c>
      <c r="O49" s="514">
        <f>O39+O45</f>
        <v>846775949</v>
      </c>
      <c r="P49" s="514">
        <f>P39+P45</f>
        <v>40995878</v>
      </c>
      <c r="Q49" s="514">
        <f>Q39+Q45</f>
        <v>1229000</v>
      </c>
      <c r="R49" s="514">
        <f t="shared" si="3"/>
        <v>889000827</v>
      </c>
      <c r="S49" s="514">
        <f>S39+S45</f>
        <v>691762230</v>
      </c>
      <c r="T49" s="514">
        <f>T39+T45</f>
        <v>39919594</v>
      </c>
      <c r="U49" s="514">
        <f>U39+U45</f>
        <v>649416</v>
      </c>
      <c r="V49" s="514">
        <f t="shared" si="4"/>
        <v>732331240</v>
      </c>
      <c r="W49" s="768">
        <f t="shared" si="5"/>
        <v>0</v>
      </c>
    </row>
    <row r="50" spans="1:23" x14ac:dyDescent="0.25">
      <c r="J50" s="457">
        <f>+J49-F49</f>
        <v>68104827</v>
      </c>
      <c r="N50" s="768">
        <f>+N49-J49</f>
        <v>0</v>
      </c>
      <c r="R50" s="768">
        <f>+R49-N49</f>
        <v>0</v>
      </c>
      <c r="V50" s="768">
        <f>+V49-R49</f>
        <v>-156669587</v>
      </c>
    </row>
  </sheetData>
  <mergeCells count="7">
    <mergeCell ref="S3:V3"/>
    <mergeCell ref="A3:A4"/>
    <mergeCell ref="B3:B4"/>
    <mergeCell ref="C3:F3"/>
    <mergeCell ref="G3:J3"/>
    <mergeCell ref="K3:N3"/>
    <mergeCell ref="O3:R3"/>
  </mergeCells>
  <printOptions horizontalCentered="1"/>
  <pageMargins left="0.31496062992125984" right="0.27559055118110237" top="0.64" bottom="0.32" header="0.17" footer="0.17"/>
  <pageSetup paperSize="9" scale="65" orientation="landscape" r:id="rId1"/>
  <headerFooter>
    <oddHeader>&amp;L3/A.  melléklet a ......./2021. (.................) önkormányzati rendelethez&amp;C&amp;"-,Félkövér"&amp;16
A Polgármesteri Hivatal 2020. évi bevételei és kiadásai jogcímenként és feladatonként</oddHeader>
    <oddFooter>&amp;C&amp;P&amp;R&amp;D,&amp;T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W49"/>
  <sheetViews>
    <sheetView view="pageBreakPreview" topLeftCell="A3" zoomScale="98" zoomScaleNormal="100" zoomScaleSheetLayoutView="98" workbookViewId="0">
      <selection activeCell="W17" activeCellId="1" sqref="W6 W17"/>
    </sheetView>
  </sheetViews>
  <sheetFormatPr defaultColWidth="9.140625" defaultRowHeight="15" x14ac:dyDescent="0.25"/>
  <cols>
    <col min="1" max="1" width="7.7109375" style="455" bestFit="1" customWidth="1"/>
    <col min="2" max="2" width="41.85546875" style="456" customWidth="1"/>
    <col min="3" max="3" width="9" style="245" hidden="1" customWidth="1"/>
    <col min="4" max="4" width="8.28515625" style="245" hidden="1" customWidth="1"/>
    <col min="5" max="5" width="8" style="245" hidden="1" customWidth="1"/>
    <col min="6" max="6" width="13.140625" style="245" hidden="1" customWidth="1"/>
    <col min="7" max="8" width="7.42578125" style="245" hidden="1" customWidth="1"/>
    <col min="9" max="9" width="7.7109375" style="245" hidden="1" customWidth="1"/>
    <col min="10" max="10" width="13.140625" style="245" hidden="1" customWidth="1"/>
    <col min="11" max="12" width="7.42578125" style="245" customWidth="1"/>
    <col min="13" max="13" width="7.7109375" style="245" customWidth="1"/>
    <col min="14" max="14" width="13.140625" style="245" customWidth="1"/>
    <col min="15" max="16" width="7.42578125" style="245" customWidth="1"/>
    <col min="17" max="17" width="7.7109375" style="245" customWidth="1"/>
    <col min="18" max="18" width="13.140625" style="245" customWidth="1"/>
    <col min="19" max="20" width="7.42578125" style="245" hidden="1" customWidth="1"/>
    <col min="21" max="21" width="7.7109375" style="245" hidden="1" customWidth="1"/>
    <col min="22" max="22" width="13.140625" style="245" hidden="1" customWidth="1"/>
    <col min="23" max="23" width="11.5703125" style="245" customWidth="1"/>
    <col min="24" max="16384" width="9.140625" style="245"/>
  </cols>
  <sheetData>
    <row r="1" spans="1:23" ht="15" customHeight="1" x14ac:dyDescent="0.25">
      <c r="F1" s="31"/>
      <c r="J1" s="31"/>
      <c r="N1" s="31"/>
      <c r="R1" s="31" t="s">
        <v>1662</v>
      </c>
    </row>
    <row r="2" spans="1:23" ht="90" x14ac:dyDescent="0.25">
      <c r="A2" s="947" t="s">
        <v>549</v>
      </c>
      <c r="B2" s="947" t="s">
        <v>306</v>
      </c>
      <c r="C2" s="477" t="s">
        <v>1356</v>
      </c>
      <c r="D2" s="477" t="s">
        <v>1303</v>
      </c>
      <c r="E2" s="477" t="s">
        <v>1305</v>
      </c>
      <c r="F2" s="516" t="s">
        <v>345</v>
      </c>
      <c r="G2" s="477" t="s">
        <v>1356</v>
      </c>
      <c r="H2" s="477" t="s">
        <v>1303</v>
      </c>
      <c r="I2" s="477" t="s">
        <v>1305</v>
      </c>
      <c r="J2" s="690" t="s">
        <v>345</v>
      </c>
      <c r="K2" s="477" t="s">
        <v>1356</v>
      </c>
      <c r="L2" s="477" t="s">
        <v>1303</v>
      </c>
      <c r="M2" s="477" t="s">
        <v>1305</v>
      </c>
      <c r="N2" s="690" t="s">
        <v>345</v>
      </c>
      <c r="O2" s="477" t="s">
        <v>1356</v>
      </c>
      <c r="P2" s="477" t="s">
        <v>1303</v>
      </c>
      <c r="Q2" s="477" t="s">
        <v>1305</v>
      </c>
      <c r="R2" s="690" t="s">
        <v>345</v>
      </c>
      <c r="S2" s="477" t="s">
        <v>1356</v>
      </c>
      <c r="T2" s="477" t="s">
        <v>1303</v>
      </c>
      <c r="U2" s="477" t="s">
        <v>1305</v>
      </c>
      <c r="V2" s="690" t="s">
        <v>345</v>
      </c>
    </row>
    <row r="3" spans="1:23" s="211" customFormat="1" ht="30.4" customHeight="1" x14ac:dyDescent="0.25">
      <c r="A3" s="948"/>
      <c r="B3" s="948"/>
      <c r="C3" s="939" t="s">
        <v>1654</v>
      </c>
      <c r="D3" s="936"/>
      <c r="E3" s="936"/>
      <c r="F3" s="940"/>
      <c r="G3" s="939" t="s">
        <v>1760</v>
      </c>
      <c r="H3" s="936"/>
      <c r="I3" s="936"/>
      <c r="J3" s="940"/>
      <c r="K3" s="939" t="s">
        <v>1795</v>
      </c>
      <c r="L3" s="936"/>
      <c r="M3" s="936"/>
      <c r="N3" s="940"/>
      <c r="O3" s="939" t="s">
        <v>1803</v>
      </c>
      <c r="P3" s="936"/>
      <c r="Q3" s="936"/>
      <c r="R3" s="940"/>
      <c r="S3" s="939" t="s">
        <v>1814</v>
      </c>
      <c r="T3" s="936"/>
      <c r="U3" s="936"/>
      <c r="V3" s="940"/>
    </row>
    <row r="4" spans="1:23" s="211" customFormat="1" x14ac:dyDescent="0.25">
      <c r="A4" s="458" t="s">
        <v>322</v>
      </c>
      <c r="B4" s="321" t="s">
        <v>653</v>
      </c>
      <c r="C4" s="459">
        <f>+C5+C20</f>
        <v>84</v>
      </c>
      <c r="D4" s="459">
        <v>0</v>
      </c>
      <c r="E4" s="459">
        <v>7</v>
      </c>
      <c r="F4" s="330">
        <f>+F5+F20+F31</f>
        <v>820896000</v>
      </c>
      <c r="G4" s="459">
        <f>+G5+G20</f>
        <v>84</v>
      </c>
      <c r="H4" s="459">
        <v>0</v>
      </c>
      <c r="I4" s="459">
        <v>7</v>
      </c>
      <c r="J4" s="514">
        <f>+J5+J20+J31</f>
        <v>889000827</v>
      </c>
      <c r="K4" s="459">
        <f>+K5+K20</f>
        <v>84</v>
      </c>
      <c r="L4" s="459">
        <v>0</v>
      </c>
      <c r="M4" s="459">
        <v>7</v>
      </c>
      <c r="N4" s="514">
        <f>+N5+N20+N31</f>
        <v>889000827</v>
      </c>
      <c r="O4" s="459">
        <f>+O5+O20</f>
        <v>84</v>
      </c>
      <c r="P4" s="459">
        <v>0</v>
      </c>
      <c r="Q4" s="459">
        <v>7</v>
      </c>
      <c r="R4" s="514">
        <f>+R5+R20+R31</f>
        <v>889000827</v>
      </c>
      <c r="S4" s="459">
        <f>+S5+S20</f>
        <v>84</v>
      </c>
      <c r="T4" s="459">
        <v>0</v>
      </c>
      <c r="U4" s="459">
        <v>7</v>
      </c>
      <c r="V4" s="514">
        <f>+V5+V20+V31</f>
        <v>732331240</v>
      </c>
    </row>
    <row r="5" spans="1:23" x14ac:dyDescent="0.25">
      <c r="A5" s="460" t="s">
        <v>309</v>
      </c>
      <c r="B5" s="461" t="s">
        <v>348</v>
      </c>
      <c r="C5" s="463">
        <f>+C6</f>
        <v>79</v>
      </c>
      <c r="D5" s="463">
        <v>0</v>
      </c>
      <c r="E5" s="463">
        <v>7</v>
      </c>
      <c r="F5" s="462">
        <f>+F6+F12</f>
        <v>787907000</v>
      </c>
      <c r="G5" s="463">
        <f>+G6</f>
        <v>79</v>
      </c>
      <c r="H5" s="463">
        <v>0</v>
      </c>
      <c r="I5" s="463">
        <v>7</v>
      </c>
      <c r="J5" s="462">
        <f>+J6+J12</f>
        <v>856011827</v>
      </c>
      <c r="K5" s="463">
        <f>+K6</f>
        <v>79</v>
      </c>
      <c r="L5" s="463">
        <v>0</v>
      </c>
      <c r="M5" s="463">
        <v>7</v>
      </c>
      <c r="N5" s="462">
        <f>+N6+N12</f>
        <v>856011827</v>
      </c>
      <c r="O5" s="463">
        <f>+O6</f>
        <v>79</v>
      </c>
      <c r="P5" s="463">
        <v>0</v>
      </c>
      <c r="Q5" s="463">
        <v>7</v>
      </c>
      <c r="R5" s="462">
        <f>+R6+R17</f>
        <v>846775949</v>
      </c>
      <c r="S5" s="463">
        <f>+S6</f>
        <v>79</v>
      </c>
      <c r="T5" s="463">
        <v>0</v>
      </c>
      <c r="U5" s="463">
        <v>7</v>
      </c>
      <c r="V5" s="462">
        <f>+V6+V17</f>
        <v>691762230</v>
      </c>
      <c r="W5" s="768">
        <f>+R5-N5</f>
        <v>-9235878</v>
      </c>
    </row>
    <row r="6" spans="1:23" x14ac:dyDescent="0.25">
      <c r="A6" s="464" t="s">
        <v>311</v>
      </c>
      <c r="B6" s="454" t="s">
        <v>654</v>
      </c>
      <c r="C6" s="466">
        <f>74+5</f>
        <v>79</v>
      </c>
      <c r="D6" s="466"/>
      <c r="E6" s="466">
        <v>7</v>
      </c>
      <c r="F6" s="465">
        <f>SUM(F7:F11)</f>
        <v>787907000</v>
      </c>
      <c r="G6" s="466">
        <f>74+5</f>
        <v>79</v>
      </c>
      <c r="H6" s="466"/>
      <c r="I6" s="466">
        <v>7</v>
      </c>
      <c r="J6" s="465">
        <f>SUM(J7:J11)</f>
        <v>856011827</v>
      </c>
      <c r="K6" s="466">
        <f>74+5</f>
        <v>79</v>
      </c>
      <c r="L6" s="466"/>
      <c r="M6" s="466">
        <v>7</v>
      </c>
      <c r="N6" s="465">
        <f>SUM(N7:N11)</f>
        <v>856011827</v>
      </c>
      <c r="O6" s="466">
        <f>74+5</f>
        <v>79</v>
      </c>
      <c r="P6" s="466"/>
      <c r="Q6" s="466">
        <v>7</v>
      </c>
      <c r="R6" s="465">
        <f>SUM(R7:R11)</f>
        <v>845964598</v>
      </c>
      <c r="S6" s="466">
        <f>74+5</f>
        <v>79</v>
      </c>
      <c r="T6" s="466"/>
      <c r="U6" s="466">
        <v>7</v>
      </c>
      <c r="V6" s="465">
        <f>SUM(V7:V11)</f>
        <v>690950879</v>
      </c>
      <c r="W6" s="768">
        <f>+R6-N6</f>
        <v>-10047229</v>
      </c>
    </row>
    <row r="7" spans="1:23" x14ac:dyDescent="0.25">
      <c r="A7" s="467"/>
      <c r="B7" s="468" t="s">
        <v>286</v>
      </c>
      <c r="C7" s="470"/>
      <c r="D7" s="470"/>
      <c r="E7" s="470"/>
      <c r="F7" s="469">
        <v>481833000</v>
      </c>
      <c r="G7" s="470"/>
      <c r="H7" s="470"/>
      <c r="I7" s="470"/>
      <c r="J7" s="469">
        <f>481833000+20038724+21277000</f>
        <v>523148724</v>
      </c>
      <c r="K7" s="470"/>
      <c r="L7" s="470"/>
      <c r="M7" s="470"/>
      <c r="N7" s="469">
        <f>481833000+20038724+21277000</f>
        <v>523148724</v>
      </c>
      <c r="O7" s="470"/>
      <c r="P7" s="470"/>
      <c r="Q7" s="470"/>
      <c r="R7" s="469">
        <f>518485358+900000-4335401</f>
        <v>515049957</v>
      </c>
      <c r="S7" s="470"/>
      <c r="T7" s="470"/>
      <c r="U7" s="470"/>
      <c r="V7" s="469">
        <f>25671609+418454986</f>
        <v>444126595</v>
      </c>
      <c r="W7" s="768">
        <f>+R7-N7</f>
        <v>-8098767</v>
      </c>
    </row>
    <row r="8" spans="1:23" x14ac:dyDescent="0.25">
      <c r="A8" s="467"/>
      <c r="B8" s="468" t="s">
        <v>287</v>
      </c>
      <c r="C8" s="470"/>
      <c r="D8" s="470"/>
      <c r="E8" s="470"/>
      <c r="F8" s="469">
        <v>96143000</v>
      </c>
      <c r="G8" s="470"/>
      <c r="H8" s="470"/>
      <c r="I8" s="470"/>
      <c r="J8" s="469">
        <f>96143000+3500000+3723000</f>
        <v>103366000</v>
      </c>
      <c r="K8" s="470"/>
      <c r="L8" s="470"/>
      <c r="M8" s="470"/>
      <c r="N8" s="469">
        <f>96143000+3500000+3723000</f>
        <v>103366000</v>
      </c>
      <c r="O8" s="470"/>
      <c r="P8" s="470"/>
      <c r="Q8" s="470"/>
      <c r="R8" s="469">
        <f>96143000+3500000+3723000-713977</f>
        <v>102652023</v>
      </c>
      <c r="S8" s="470"/>
      <c r="T8" s="470"/>
      <c r="U8" s="470"/>
      <c r="V8" s="469">
        <f>4092464+71084135</f>
        <v>75176599</v>
      </c>
      <c r="W8" s="768">
        <f>+R8-N8</f>
        <v>-713977</v>
      </c>
    </row>
    <row r="9" spans="1:23" x14ac:dyDescent="0.25">
      <c r="A9" s="467"/>
      <c r="B9" s="468" t="s">
        <v>292</v>
      </c>
      <c r="C9" s="470"/>
      <c r="D9" s="470"/>
      <c r="E9" s="470"/>
      <c r="F9" s="443">
        <f>600000+8650000+50677000+4776000+11410000+800000+3810000+1500000+9900000+64858000+500000+42000000+2450000</f>
        <v>201931000</v>
      </c>
      <c r="G9" s="470"/>
      <c r="H9" s="470"/>
      <c r="I9" s="470"/>
      <c r="J9" s="443">
        <f>600000+8650000+50677000+4776000+11410000+800000+3810000+1500000+9900000+64858000+500000+42000000+2450000+3688800</f>
        <v>205619800</v>
      </c>
      <c r="K9" s="470"/>
      <c r="L9" s="470"/>
      <c r="M9" s="470"/>
      <c r="N9" s="443">
        <f>600000+8650000+50677000+4776000+11410000+800000+3810000+1500000+9900000+64858000+500000+42000000+2450000+3688800</f>
        <v>205619800</v>
      </c>
      <c r="O9" s="470"/>
      <c r="P9" s="470"/>
      <c r="Q9" s="470"/>
      <c r="R9" s="443">
        <f>205578027-57733</f>
        <v>205520294</v>
      </c>
      <c r="S9" s="470"/>
      <c r="T9" s="470"/>
      <c r="U9" s="470"/>
      <c r="V9" s="443">
        <f>91989+154658890</f>
        <v>154750879</v>
      </c>
      <c r="W9" s="768">
        <f>+R9-N9</f>
        <v>-99506</v>
      </c>
    </row>
    <row r="10" spans="1:23" ht="30" x14ac:dyDescent="0.25">
      <c r="A10" s="467"/>
      <c r="B10" s="468" t="s">
        <v>565</v>
      </c>
      <c r="C10" s="470"/>
      <c r="D10" s="470"/>
      <c r="E10" s="470"/>
      <c r="F10" s="443"/>
      <c r="G10" s="470"/>
      <c r="H10" s="470"/>
      <c r="I10" s="470"/>
      <c r="J10" s="443">
        <v>15877303</v>
      </c>
      <c r="K10" s="470"/>
      <c r="L10" s="470"/>
      <c r="M10" s="470"/>
      <c r="N10" s="443">
        <v>15877303</v>
      </c>
      <c r="O10" s="470"/>
      <c r="P10" s="470"/>
      <c r="Q10" s="470"/>
      <c r="R10" s="443">
        <v>15877303</v>
      </c>
      <c r="S10" s="470"/>
      <c r="T10" s="470"/>
      <c r="U10" s="470"/>
      <c r="V10" s="443">
        <v>15877303</v>
      </c>
      <c r="W10" s="768">
        <f t="shared" ref="W10:W11" si="0">+R10-N10</f>
        <v>0</v>
      </c>
    </row>
    <row r="11" spans="1:23" x14ac:dyDescent="0.25">
      <c r="A11" s="467"/>
      <c r="B11" s="468" t="s">
        <v>351</v>
      </c>
      <c r="C11" s="470"/>
      <c r="D11" s="470"/>
      <c r="E11" s="470"/>
      <c r="F11" s="443">
        <f>1270000+6730000</f>
        <v>8000000</v>
      </c>
      <c r="G11" s="470"/>
      <c r="H11" s="470"/>
      <c r="I11" s="470"/>
      <c r="J11" s="443">
        <f>1270000+6730000</f>
        <v>8000000</v>
      </c>
      <c r="K11" s="470"/>
      <c r="L11" s="470"/>
      <c r="M11" s="470"/>
      <c r="N11" s="443">
        <f>1270000+6730000</f>
        <v>8000000</v>
      </c>
      <c r="O11" s="470"/>
      <c r="P11" s="470"/>
      <c r="Q11" s="470"/>
      <c r="R11" s="443">
        <f>7842600-753618-223961</f>
        <v>6865021</v>
      </c>
      <c r="S11" s="470"/>
      <c r="T11" s="470"/>
      <c r="U11" s="470"/>
      <c r="V11" s="443">
        <v>1019503</v>
      </c>
      <c r="W11" s="768">
        <f t="shared" si="0"/>
        <v>-1134979</v>
      </c>
    </row>
    <row r="12" spans="1:23" s="471" customFormat="1" ht="15" hidden="1" customHeight="1" x14ac:dyDescent="0.25">
      <c r="A12" s="464" t="s">
        <v>322</v>
      </c>
      <c r="B12" s="454" t="s">
        <v>1438</v>
      </c>
      <c r="C12" s="466"/>
      <c r="D12" s="466"/>
      <c r="E12" s="466"/>
      <c r="F12" s="465">
        <f>SUM(F13:F15)</f>
        <v>0</v>
      </c>
      <c r="G12" s="466"/>
      <c r="H12" s="466"/>
      <c r="I12" s="466"/>
      <c r="J12" s="465">
        <f>SUM(J13:J15)</f>
        <v>0</v>
      </c>
      <c r="K12" s="466"/>
      <c r="L12" s="466"/>
      <c r="M12" s="466"/>
      <c r="N12" s="465">
        <f>SUM(N13:N15)</f>
        <v>0</v>
      </c>
      <c r="O12" s="466"/>
      <c r="P12" s="466"/>
      <c r="Q12" s="466"/>
      <c r="R12" s="465">
        <f>SUM(R13:R15)</f>
        <v>0</v>
      </c>
      <c r="S12" s="466"/>
      <c r="T12" s="466"/>
      <c r="U12" s="466"/>
      <c r="V12" s="465">
        <f>SUM(V13:V15)</f>
        <v>0</v>
      </c>
    </row>
    <row r="13" spans="1:23" ht="15" hidden="1" customHeight="1" x14ac:dyDescent="0.25">
      <c r="A13" s="467"/>
      <c r="B13" s="468" t="s">
        <v>286</v>
      </c>
      <c r="C13" s="470"/>
      <c r="D13" s="470"/>
      <c r="E13" s="470"/>
      <c r="F13" s="469"/>
      <c r="G13" s="470"/>
      <c r="H13" s="470"/>
      <c r="I13" s="470"/>
      <c r="J13" s="469"/>
      <c r="K13" s="470"/>
      <c r="L13" s="470"/>
      <c r="M13" s="470"/>
      <c r="N13" s="469"/>
      <c r="O13" s="470"/>
      <c r="P13" s="470"/>
      <c r="Q13" s="470"/>
      <c r="R13" s="469"/>
      <c r="S13" s="470"/>
      <c r="T13" s="470"/>
      <c r="U13" s="470"/>
      <c r="V13" s="469"/>
    </row>
    <row r="14" spans="1:23" ht="15" hidden="1" customHeight="1" x14ac:dyDescent="0.25">
      <c r="A14" s="467"/>
      <c r="B14" s="468" t="s">
        <v>287</v>
      </c>
      <c r="C14" s="470"/>
      <c r="D14" s="470"/>
      <c r="E14" s="470"/>
      <c r="F14" s="469"/>
      <c r="G14" s="470"/>
      <c r="H14" s="470"/>
      <c r="I14" s="470"/>
      <c r="J14" s="469"/>
      <c r="K14" s="470"/>
      <c r="L14" s="470"/>
      <c r="M14" s="470"/>
      <c r="N14" s="469"/>
      <c r="O14" s="470"/>
      <c r="P14" s="470"/>
      <c r="Q14" s="470"/>
      <c r="R14" s="469"/>
      <c r="S14" s="470"/>
      <c r="T14" s="470"/>
      <c r="U14" s="470"/>
      <c r="V14" s="469"/>
    </row>
    <row r="15" spans="1:23" ht="15" hidden="1" customHeight="1" x14ac:dyDescent="0.25">
      <c r="A15" s="467"/>
      <c r="B15" s="468" t="s">
        <v>292</v>
      </c>
      <c r="C15" s="470"/>
      <c r="D15" s="470"/>
      <c r="E15" s="470"/>
      <c r="F15" s="469"/>
      <c r="G15" s="470"/>
      <c r="H15" s="470"/>
      <c r="I15" s="470"/>
      <c r="J15" s="469"/>
      <c r="K15" s="470"/>
      <c r="L15" s="470"/>
      <c r="M15" s="470"/>
      <c r="N15" s="469"/>
      <c r="O15" s="470"/>
      <c r="P15" s="470"/>
      <c r="Q15" s="470"/>
      <c r="R15" s="469"/>
      <c r="S15" s="470"/>
      <c r="T15" s="470"/>
      <c r="U15" s="470"/>
      <c r="V15" s="469"/>
    </row>
    <row r="16" spans="1:23" ht="15" hidden="1" customHeight="1" x14ac:dyDescent="0.25">
      <c r="A16" s="467"/>
      <c r="B16" s="468" t="s">
        <v>351</v>
      </c>
      <c r="C16" s="470"/>
      <c r="D16" s="470"/>
      <c r="E16" s="470"/>
      <c r="F16" s="469"/>
      <c r="G16" s="470"/>
      <c r="H16" s="470"/>
      <c r="I16" s="470"/>
      <c r="J16" s="469"/>
      <c r="K16" s="470"/>
      <c r="L16" s="470"/>
      <c r="M16" s="470"/>
      <c r="N16" s="469"/>
      <c r="O16" s="470"/>
      <c r="P16" s="470"/>
      <c r="Q16" s="470"/>
      <c r="R16" s="469"/>
      <c r="S16" s="470"/>
      <c r="T16" s="470"/>
      <c r="U16" s="470"/>
      <c r="V16" s="469"/>
    </row>
    <row r="17" spans="1:23" s="471" customFormat="1" ht="15" customHeight="1" x14ac:dyDescent="0.25">
      <c r="A17" s="464" t="s">
        <v>1812</v>
      </c>
      <c r="B17" s="376" t="s">
        <v>1763</v>
      </c>
      <c r="C17" s="466"/>
      <c r="D17" s="466"/>
      <c r="E17" s="466"/>
      <c r="F17" s="465"/>
      <c r="G17" s="466"/>
      <c r="H17" s="466"/>
      <c r="I17" s="466"/>
      <c r="J17" s="465"/>
      <c r="K17" s="466"/>
      <c r="L17" s="466"/>
      <c r="M17" s="466"/>
      <c r="N17" s="465"/>
      <c r="O17" s="466"/>
      <c r="P17" s="466"/>
      <c r="Q17" s="466"/>
      <c r="R17" s="465">
        <f>SUM(R18:R19)</f>
        <v>811351</v>
      </c>
      <c r="S17" s="466"/>
      <c r="T17" s="466"/>
      <c r="U17" s="466"/>
      <c r="V17" s="465">
        <f>SUM(V18:V19)</f>
        <v>811351</v>
      </c>
      <c r="W17" s="768">
        <f>+R17-N17</f>
        <v>811351</v>
      </c>
    </row>
    <row r="18" spans="1:23" ht="15" customHeight="1" x14ac:dyDescent="0.25">
      <c r="A18" s="467"/>
      <c r="B18" s="468" t="s">
        <v>292</v>
      </c>
      <c r="C18" s="470"/>
      <c r="D18" s="470"/>
      <c r="E18" s="470"/>
      <c r="F18" s="469"/>
      <c r="G18" s="470"/>
      <c r="H18" s="470"/>
      <c r="I18" s="470"/>
      <c r="J18" s="469"/>
      <c r="K18" s="470"/>
      <c r="L18" s="470"/>
      <c r="M18" s="470"/>
      <c r="N18" s="469"/>
      <c r="O18" s="470"/>
      <c r="P18" s="470"/>
      <c r="Q18" s="470"/>
      <c r="R18" s="469">
        <v>57733</v>
      </c>
      <c r="S18" s="470"/>
      <c r="T18" s="470"/>
      <c r="U18" s="470"/>
      <c r="V18" s="469">
        <v>57733</v>
      </c>
      <c r="W18" s="768">
        <f t="shared" ref="W18:W19" si="1">+R18-N18</f>
        <v>57733</v>
      </c>
    </row>
    <row r="19" spans="1:23" ht="15" customHeight="1" x14ac:dyDescent="0.25">
      <c r="A19" s="467"/>
      <c r="B19" s="468" t="s">
        <v>351</v>
      </c>
      <c r="C19" s="470"/>
      <c r="D19" s="470"/>
      <c r="E19" s="470"/>
      <c r="F19" s="469"/>
      <c r="G19" s="470"/>
      <c r="H19" s="470"/>
      <c r="I19" s="470"/>
      <c r="J19" s="469"/>
      <c r="K19" s="470"/>
      <c r="L19" s="470"/>
      <c r="M19" s="470"/>
      <c r="N19" s="469"/>
      <c r="O19" s="470"/>
      <c r="P19" s="470"/>
      <c r="Q19" s="470"/>
      <c r="R19" s="469">
        <v>753618</v>
      </c>
      <c r="S19" s="470"/>
      <c r="T19" s="470"/>
      <c r="U19" s="470"/>
      <c r="V19" s="469">
        <v>753618</v>
      </c>
      <c r="W19" s="768">
        <f t="shared" si="1"/>
        <v>753618</v>
      </c>
    </row>
    <row r="20" spans="1:23" x14ac:dyDescent="0.25">
      <c r="A20" s="460" t="s">
        <v>318</v>
      </c>
      <c r="B20" s="461" t="s">
        <v>353</v>
      </c>
      <c r="C20" s="463">
        <v>5</v>
      </c>
      <c r="D20" s="463">
        <v>0</v>
      </c>
      <c r="E20" s="463">
        <v>0</v>
      </c>
      <c r="F20" s="462">
        <f>+F21+F26</f>
        <v>31760000</v>
      </c>
      <c r="G20" s="463">
        <v>5</v>
      </c>
      <c r="H20" s="463">
        <v>0</v>
      </c>
      <c r="I20" s="463">
        <v>0</v>
      </c>
      <c r="J20" s="462">
        <f>+J21+J26</f>
        <v>31760000</v>
      </c>
      <c r="K20" s="463">
        <v>5</v>
      </c>
      <c r="L20" s="463">
        <v>0</v>
      </c>
      <c r="M20" s="463">
        <v>0</v>
      </c>
      <c r="N20" s="462">
        <f>+N21+N26</f>
        <v>31760000</v>
      </c>
      <c r="O20" s="463">
        <v>5</v>
      </c>
      <c r="P20" s="463">
        <v>0</v>
      </c>
      <c r="Q20" s="463">
        <v>0</v>
      </c>
      <c r="R20" s="462">
        <f>+R21+R26</f>
        <v>40995878</v>
      </c>
      <c r="S20" s="463">
        <v>5</v>
      </c>
      <c r="T20" s="463">
        <v>0</v>
      </c>
      <c r="U20" s="463">
        <v>0</v>
      </c>
      <c r="V20" s="462">
        <f>+V21+V26</f>
        <v>39919594</v>
      </c>
      <c r="W20" s="768">
        <f>+R20-N20</f>
        <v>9235878</v>
      </c>
    </row>
    <row r="21" spans="1:23" s="471" customFormat="1" x14ac:dyDescent="0.25">
      <c r="A21" s="464" t="s">
        <v>311</v>
      </c>
      <c r="B21" s="454" t="s">
        <v>1390</v>
      </c>
      <c r="C21" s="466">
        <v>4</v>
      </c>
      <c r="D21" s="466"/>
      <c r="E21" s="466"/>
      <c r="F21" s="465">
        <f>SUM(F22:F25)</f>
        <v>25883000</v>
      </c>
      <c r="G21" s="466">
        <v>4</v>
      </c>
      <c r="H21" s="466"/>
      <c r="I21" s="466"/>
      <c r="J21" s="465">
        <f>SUM(J22:J25)</f>
        <v>25883000</v>
      </c>
      <c r="K21" s="466">
        <v>4</v>
      </c>
      <c r="L21" s="466"/>
      <c r="M21" s="466"/>
      <c r="N21" s="465">
        <f>SUM(N22:N25)</f>
        <v>25883000</v>
      </c>
      <c r="O21" s="466">
        <v>4</v>
      </c>
      <c r="P21" s="466"/>
      <c r="Q21" s="466"/>
      <c r="R21" s="465">
        <f>SUM(R22:R25)</f>
        <v>35118878</v>
      </c>
      <c r="S21" s="466">
        <v>4</v>
      </c>
      <c r="T21" s="466"/>
      <c r="U21" s="466"/>
      <c r="V21" s="465">
        <f>SUM(V22:V25)</f>
        <v>39919594</v>
      </c>
      <c r="W21" s="768">
        <f>+R21-N21</f>
        <v>9235878</v>
      </c>
    </row>
    <row r="22" spans="1:23" x14ac:dyDescent="0.25">
      <c r="A22" s="467"/>
      <c r="B22" s="468" t="s">
        <v>286</v>
      </c>
      <c r="C22" s="470"/>
      <c r="D22" s="470"/>
      <c r="E22" s="470"/>
      <c r="F22" s="469">
        <v>18869000</v>
      </c>
      <c r="G22" s="470"/>
      <c r="H22" s="470"/>
      <c r="I22" s="470"/>
      <c r="J22" s="469">
        <f>18869000</f>
        <v>18869000</v>
      </c>
      <c r="K22" s="470"/>
      <c r="L22" s="470"/>
      <c r="M22" s="470"/>
      <c r="N22" s="469">
        <f>18869000</f>
        <v>18869000</v>
      </c>
      <c r="O22" s="470"/>
      <c r="P22" s="470"/>
      <c r="Q22" s="470"/>
      <c r="R22" s="469">
        <f>18869000+3763366+4335401</f>
        <v>26967767</v>
      </c>
      <c r="S22" s="470"/>
      <c r="T22" s="470"/>
      <c r="U22" s="470"/>
      <c r="V22" s="469">
        <v>30691767</v>
      </c>
      <c r="W22" s="768">
        <f>+R22-N22</f>
        <v>8098767</v>
      </c>
    </row>
    <row r="23" spans="1:23" x14ac:dyDescent="0.25">
      <c r="A23" s="467"/>
      <c r="B23" s="468" t="s">
        <v>287</v>
      </c>
      <c r="C23" s="470"/>
      <c r="D23" s="470"/>
      <c r="E23" s="470"/>
      <c r="F23" s="469">
        <f>+F22*0.19-110</f>
        <v>3585000</v>
      </c>
      <c r="G23" s="470"/>
      <c r="H23" s="470"/>
      <c r="I23" s="470"/>
      <c r="J23" s="469">
        <f>+J22*0.19-110</f>
        <v>3585000</v>
      </c>
      <c r="K23" s="470"/>
      <c r="L23" s="470"/>
      <c r="M23" s="470"/>
      <c r="N23" s="469">
        <f>+N22*0.19-110</f>
        <v>3585000</v>
      </c>
      <c r="O23" s="470"/>
      <c r="P23" s="470"/>
      <c r="Q23" s="470"/>
      <c r="R23" s="469">
        <f>3585000+713977</f>
        <v>4298977</v>
      </c>
      <c r="S23" s="470"/>
      <c r="T23" s="470"/>
      <c r="U23" s="470"/>
      <c r="V23" s="469">
        <v>5006977</v>
      </c>
      <c r="W23" s="768">
        <f>+R23-N23</f>
        <v>713977</v>
      </c>
    </row>
    <row r="24" spans="1:23" x14ac:dyDescent="0.25">
      <c r="A24" s="467"/>
      <c r="B24" s="468" t="s">
        <v>292</v>
      </c>
      <c r="C24" s="470"/>
      <c r="D24" s="470"/>
      <c r="E24" s="470"/>
      <c r="F24" s="443">
        <f>1200000+150000+1100000+150000+100000+729000</f>
        <v>3429000</v>
      </c>
      <c r="G24" s="470"/>
      <c r="H24" s="470"/>
      <c r="I24" s="470"/>
      <c r="J24" s="443">
        <f>1200000+150000+1100000+150000+100000+729000</f>
        <v>3429000</v>
      </c>
      <c r="K24" s="470"/>
      <c r="L24" s="470"/>
      <c r="M24" s="470"/>
      <c r="N24" s="443">
        <f>3429000</f>
        <v>3429000</v>
      </c>
      <c r="O24" s="470"/>
      <c r="P24" s="470"/>
      <c r="Q24" s="470"/>
      <c r="R24" s="443">
        <f>3429000+41773</f>
        <v>3470773</v>
      </c>
      <c r="S24" s="470"/>
      <c r="T24" s="470"/>
      <c r="U24" s="470"/>
      <c r="V24" s="443">
        <v>3839489</v>
      </c>
      <c r="W24" s="768">
        <f t="shared" ref="W24:W30" si="2">+R24-N24</f>
        <v>41773</v>
      </c>
    </row>
    <row r="25" spans="1:23" x14ac:dyDescent="0.25">
      <c r="A25" s="467"/>
      <c r="B25" s="468" t="s">
        <v>351</v>
      </c>
      <c r="C25" s="470"/>
      <c r="D25" s="470"/>
      <c r="E25" s="470"/>
      <c r="F25" s="443"/>
      <c r="G25" s="470"/>
      <c r="H25" s="470"/>
      <c r="I25" s="470"/>
      <c r="J25" s="443"/>
      <c r="K25" s="470"/>
      <c r="L25" s="470"/>
      <c r="M25" s="470"/>
      <c r="N25" s="443"/>
      <c r="O25" s="470"/>
      <c r="P25" s="470"/>
      <c r="Q25" s="470"/>
      <c r="R25" s="443">
        <f>157400+223961</f>
        <v>381361</v>
      </c>
      <c r="S25" s="470"/>
      <c r="T25" s="470"/>
      <c r="U25" s="470"/>
      <c r="V25" s="443">
        <v>381361</v>
      </c>
      <c r="W25" s="768">
        <f t="shared" si="2"/>
        <v>381361</v>
      </c>
    </row>
    <row r="26" spans="1:23" s="471" customFormat="1" x14ac:dyDescent="0.25">
      <c r="A26" s="464" t="s">
        <v>322</v>
      </c>
      <c r="B26" s="454" t="s">
        <v>1391</v>
      </c>
      <c r="C26" s="466">
        <v>1</v>
      </c>
      <c r="D26" s="466"/>
      <c r="E26" s="466"/>
      <c r="F26" s="441">
        <f>SUM(F27:F30)</f>
        <v>5877000</v>
      </c>
      <c r="G26" s="466">
        <v>1</v>
      </c>
      <c r="H26" s="466"/>
      <c r="I26" s="466"/>
      <c r="J26" s="441">
        <f>SUM(J27:J30)</f>
        <v>5877000</v>
      </c>
      <c r="K26" s="466">
        <v>1</v>
      </c>
      <c r="L26" s="466"/>
      <c r="M26" s="466"/>
      <c r="N26" s="441">
        <f>SUM(N27:N30)</f>
        <v>5877000</v>
      </c>
      <c r="O26" s="466">
        <v>1</v>
      </c>
      <c r="P26" s="466"/>
      <c r="Q26" s="466"/>
      <c r="R26" s="441">
        <f>SUM(R27:R30)</f>
        <v>5877000</v>
      </c>
      <c r="S26" s="466">
        <v>1</v>
      </c>
      <c r="T26" s="466"/>
      <c r="U26" s="466"/>
      <c r="V26" s="441">
        <f>SUM(V27:V30)</f>
        <v>0</v>
      </c>
      <c r="W26" s="768">
        <f t="shared" si="2"/>
        <v>0</v>
      </c>
    </row>
    <row r="27" spans="1:23" x14ac:dyDescent="0.25">
      <c r="A27" s="467"/>
      <c r="B27" s="468" t="s">
        <v>286</v>
      </c>
      <c r="C27" s="470"/>
      <c r="D27" s="470"/>
      <c r="E27" s="470"/>
      <c r="F27" s="443">
        <v>3724000</v>
      </c>
      <c r="G27" s="470"/>
      <c r="H27" s="470"/>
      <c r="I27" s="470"/>
      <c r="J27" s="443">
        <f>3724000</f>
        <v>3724000</v>
      </c>
      <c r="K27" s="470"/>
      <c r="L27" s="470"/>
      <c r="M27" s="470"/>
      <c r="N27" s="443">
        <f>3724000</f>
        <v>3724000</v>
      </c>
      <c r="O27" s="470"/>
      <c r="P27" s="470"/>
      <c r="Q27" s="470"/>
      <c r="R27" s="443">
        <f>3724000</f>
        <v>3724000</v>
      </c>
      <c r="S27" s="470"/>
      <c r="T27" s="470"/>
      <c r="U27" s="470"/>
      <c r="V27" s="443"/>
      <c r="W27" s="768">
        <f t="shared" si="2"/>
        <v>0</v>
      </c>
    </row>
    <row r="28" spans="1:23" x14ac:dyDescent="0.25">
      <c r="A28" s="467"/>
      <c r="B28" s="468" t="s">
        <v>287</v>
      </c>
      <c r="C28" s="470"/>
      <c r="D28" s="470"/>
      <c r="E28" s="470"/>
      <c r="F28" s="443">
        <v>708000</v>
      </c>
      <c r="G28" s="470"/>
      <c r="H28" s="470"/>
      <c r="I28" s="470"/>
      <c r="J28" s="443">
        <f>708000</f>
        <v>708000</v>
      </c>
      <c r="K28" s="470"/>
      <c r="L28" s="470"/>
      <c r="M28" s="470"/>
      <c r="N28" s="443">
        <f>708000</f>
        <v>708000</v>
      </c>
      <c r="O28" s="470"/>
      <c r="P28" s="470"/>
      <c r="Q28" s="470"/>
      <c r="R28" s="443">
        <f>708000</f>
        <v>708000</v>
      </c>
      <c r="S28" s="470"/>
      <c r="T28" s="470"/>
      <c r="U28" s="470"/>
      <c r="V28" s="443"/>
      <c r="W28" s="768">
        <f t="shared" si="2"/>
        <v>0</v>
      </c>
    </row>
    <row r="29" spans="1:23" x14ac:dyDescent="0.25">
      <c r="A29" s="467"/>
      <c r="B29" s="468" t="s">
        <v>292</v>
      </c>
      <c r="C29" s="470"/>
      <c r="D29" s="470"/>
      <c r="E29" s="470"/>
      <c r="F29" s="443">
        <f>865000+30000+200000+150000+200000</f>
        <v>1445000</v>
      </c>
      <c r="G29" s="470"/>
      <c r="H29" s="470"/>
      <c r="I29" s="470"/>
      <c r="J29" s="443">
        <f>865000+30000+200000+150000+200000</f>
        <v>1445000</v>
      </c>
      <c r="K29" s="470"/>
      <c r="L29" s="470"/>
      <c r="M29" s="470"/>
      <c r="N29" s="443">
        <f>865000+30000+200000+150000+200000</f>
        <v>1445000</v>
      </c>
      <c r="O29" s="470"/>
      <c r="P29" s="470"/>
      <c r="Q29" s="470"/>
      <c r="R29" s="443">
        <f>865000+30000+200000+150000+200000</f>
        <v>1445000</v>
      </c>
      <c r="S29" s="470"/>
      <c r="T29" s="470"/>
      <c r="U29" s="470"/>
      <c r="V29" s="443"/>
      <c r="W29" s="768">
        <f t="shared" si="2"/>
        <v>0</v>
      </c>
    </row>
    <row r="30" spans="1:23" x14ac:dyDescent="0.25">
      <c r="A30" s="467"/>
      <c r="B30" s="468" t="s">
        <v>351</v>
      </c>
      <c r="C30" s="470"/>
      <c r="D30" s="470"/>
      <c r="E30" s="470"/>
      <c r="F30" s="469"/>
      <c r="G30" s="470"/>
      <c r="H30" s="470"/>
      <c r="I30" s="470"/>
      <c r="J30" s="469"/>
      <c r="K30" s="470"/>
      <c r="L30" s="470"/>
      <c r="M30" s="470"/>
      <c r="N30" s="469"/>
      <c r="O30" s="470"/>
      <c r="P30" s="470"/>
      <c r="Q30" s="470"/>
      <c r="R30" s="469"/>
      <c r="S30" s="470"/>
      <c r="T30" s="470"/>
      <c r="U30" s="470"/>
      <c r="V30" s="469"/>
      <c r="W30" s="768">
        <f t="shared" si="2"/>
        <v>0</v>
      </c>
    </row>
    <row r="31" spans="1:23" x14ac:dyDescent="0.25">
      <c r="A31" s="460" t="s">
        <v>328</v>
      </c>
      <c r="B31" s="461" t="s">
        <v>657</v>
      </c>
      <c r="C31" s="463"/>
      <c r="D31" s="463"/>
      <c r="E31" s="463"/>
      <c r="F31" s="462">
        <f>+F32+F34</f>
        <v>1229000</v>
      </c>
      <c r="G31" s="463"/>
      <c r="H31" s="463"/>
      <c r="I31" s="463"/>
      <c r="J31" s="462">
        <f>+J32+J34</f>
        <v>1229000</v>
      </c>
      <c r="K31" s="463"/>
      <c r="L31" s="463"/>
      <c r="M31" s="463"/>
      <c r="N31" s="462">
        <f>+N32+N34</f>
        <v>1229000</v>
      </c>
      <c r="O31" s="463"/>
      <c r="P31" s="463"/>
      <c r="Q31" s="463"/>
      <c r="R31" s="462">
        <f>+R32+R34</f>
        <v>1229000</v>
      </c>
      <c r="S31" s="463"/>
      <c r="T31" s="463"/>
      <c r="U31" s="463"/>
      <c r="V31" s="462">
        <f>+V32+V34</f>
        <v>649416</v>
      </c>
      <c r="W31" s="768">
        <f>+R31-N31</f>
        <v>0</v>
      </c>
    </row>
    <row r="32" spans="1:23" x14ac:dyDescent="0.25">
      <c r="A32" s="464" t="s">
        <v>311</v>
      </c>
      <c r="B32" s="454" t="s">
        <v>1126</v>
      </c>
      <c r="C32" s="466"/>
      <c r="D32" s="466"/>
      <c r="E32" s="466"/>
      <c r="F32" s="465">
        <f>+F33</f>
        <v>0</v>
      </c>
      <c r="G32" s="466"/>
      <c r="H32" s="466"/>
      <c r="I32" s="466"/>
      <c r="J32" s="465">
        <f>+J33</f>
        <v>0</v>
      </c>
      <c r="K32" s="466"/>
      <c r="L32" s="466"/>
      <c r="M32" s="466"/>
      <c r="N32" s="465">
        <f>+N33</f>
        <v>0</v>
      </c>
      <c r="O32" s="466"/>
      <c r="P32" s="466"/>
      <c r="Q32" s="466"/>
      <c r="R32" s="465">
        <f>+R33</f>
        <v>0</v>
      </c>
      <c r="S32" s="466"/>
      <c r="T32" s="466"/>
      <c r="U32" s="466"/>
      <c r="V32" s="465">
        <f>+V33</f>
        <v>0</v>
      </c>
    </row>
    <row r="33" spans="1:23" x14ac:dyDescent="0.25">
      <c r="A33" s="472"/>
      <c r="B33" s="468" t="s">
        <v>337</v>
      </c>
      <c r="C33" s="470"/>
      <c r="D33" s="470"/>
      <c r="E33" s="470"/>
      <c r="F33" s="473">
        <v>0</v>
      </c>
      <c r="G33" s="470"/>
      <c r="H33" s="470"/>
      <c r="I33" s="470"/>
      <c r="J33" s="473">
        <v>0</v>
      </c>
      <c r="K33" s="470"/>
      <c r="L33" s="470"/>
      <c r="M33" s="470"/>
      <c r="N33" s="473">
        <v>0</v>
      </c>
      <c r="O33" s="470"/>
      <c r="P33" s="470"/>
      <c r="Q33" s="470"/>
      <c r="R33" s="473">
        <v>0</v>
      </c>
      <c r="S33" s="470"/>
      <c r="T33" s="470"/>
      <c r="U33" s="470"/>
      <c r="V33" s="473">
        <v>0</v>
      </c>
    </row>
    <row r="34" spans="1:23" s="471" customFormat="1" x14ac:dyDescent="0.25">
      <c r="A34" s="464" t="s">
        <v>322</v>
      </c>
      <c r="B34" s="454" t="s">
        <v>658</v>
      </c>
      <c r="C34" s="466"/>
      <c r="D34" s="466"/>
      <c r="E34" s="466"/>
      <c r="F34" s="465">
        <f>SUM(F35:F38)</f>
        <v>1229000</v>
      </c>
      <c r="G34" s="466"/>
      <c r="H34" s="466"/>
      <c r="I34" s="466"/>
      <c r="J34" s="465">
        <f>SUM(J35:J38)</f>
        <v>1229000</v>
      </c>
      <c r="K34" s="466"/>
      <c r="L34" s="466"/>
      <c r="M34" s="466"/>
      <c r="N34" s="465">
        <f>SUM(N35:N38)</f>
        <v>1229000</v>
      </c>
      <c r="O34" s="466"/>
      <c r="P34" s="466"/>
      <c r="Q34" s="466"/>
      <c r="R34" s="465">
        <f>SUM(R35:R38)</f>
        <v>1229000</v>
      </c>
      <c r="S34" s="466"/>
      <c r="T34" s="466"/>
      <c r="U34" s="466"/>
      <c r="V34" s="465">
        <f>SUM(V35:V38)</f>
        <v>649416</v>
      </c>
      <c r="W34" s="768">
        <f>+R34-N34</f>
        <v>0</v>
      </c>
    </row>
    <row r="35" spans="1:23" s="474" customFormat="1" x14ac:dyDescent="0.25">
      <c r="A35" s="472"/>
      <c r="B35" s="468" t="s">
        <v>286</v>
      </c>
      <c r="C35" s="470"/>
      <c r="D35" s="470"/>
      <c r="E35" s="470"/>
      <c r="F35" s="473">
        <v>40000</v>
      </c>
      <c r="G35" s="470"/>
      <c r="H35" s="470"/>
      <c r="I35" s="470"/>
      <c r="J35" s="473">
        <v>40000</v>
      </c>
      <c r="K35" s="470"/>
      <c r="L35" s="470"/>
      <c r="M35" s="470"/>
      <c r="N35" s="473">
        <v>40000</v>
      </c>
      <c r="O35" s="470"/>
      <c r="P35" s="470"/>
      <c r="Q35" s="470"/>
      <c r="R35" s="473">
        <v>40000</v>
      </c>
      <c r="S35" s="470"/>
      <c r="T35" s="470"/>
      <c r="U35" s="470"/>
      <c r="V35" s="473"/>
      <c r="W35" s="768">
        <f t="shared" ref="W35:W37" si="3">+R35-N35</f>
        <v>0</v>
      </c>
    </row>
    <row r="36" spans="1:23" s="474" customFormat="1" x14ac:dyDescent="0.25">
      <c r="A36" s="472"/>
      <c r="B36" s="475" t="s">
        <v>287</v>
      </c>
      <c r="C36" s="470"/>
      <c r="D36" s="470"/>
      <c r="E36" s="470"/>
      <c r="F36" s="473">
        <v>16000</v>
      </c>
      <c r="G36" s="470"/>
      <c r="H36" s="470"/>
      <c r="I36" s="470"/>
      <c r="J36" s="473">
        <v>16000</v>
      </c>
      <c r="K36" s="470"/>
      <c r="L36" s="470"/>
      <c r="M36" s="470"/>
      <c r="N36" s="473">
        <v>16000</v>
      </c>
      <c r="O36" s="470"/>
      <c r="P36" s="470"/>
      <c r="Q36" s="470"/>
      <c r="R36" s="473">
        <v>16000</v>
      </c>
      <c r="S36" s="470"/>
      <c r="T36" s="470"/>
      <c r="U36" s="470"/>
      <c r="V36" s="473"/>
      <c r="W36" s="768">
        <f t="shared" si="3"/>
        <v>0</v>
      </c>
    </row>
    <row r="37" spans="1:23" x14ac:dyDescent="0.25">
      <c r="A37" s="467"/>
      <c r="B37" s="468" t="s">
        <v>292</v>
      </c>
      <c r="C37" s="470"/>
      <c r="D37" s="470"/>
      <c r="E37" s="470"/>
      <c r="F37" s="443">
        <f>800000+45000+228000+100000</f>
        <v>1173000</v>
      </c>
      <c r="G37" s="470"/>
      <c r="H37" s="470"/>
      <c r="I37" s="470"/>
      <c r="J37" s="443">
        <f>800000+45000+228000+100000</f>
        <v>1173000</v>
      </c>
      <c r="K37" s="470"/>
      <c r="L37" s="470"/>
      <c r="M37" s="470"/>
      <c r="N37" s="443">
        <f>800000+45000+228000+100000</f>
        <v>1173000</v>
      </c>
      <c r="O37" s="470"/>
      <c r="P37" s="470"/>
      <c r="Q37" s="470"/>
      <c r="R37" s="443">
        <f>800000+45000+228000+100000</f>
        <v>1173000</v>
      </c>
      <c r="S37" s="470"/>
      <c r="T37" s="470"/>
      <c r="U37" s="470"/>
      <c r="V37" s="443">
        <v>649416</v>
      </c>
      <c r="W37" s="768">
        <f t="shared" si="3"/>
        <v>0</v>
      </c>
    </row>
    <row r="38" spans="1:23" x14ac:dyDescent="0.25">
      <c r="A38" s="467"/>
      <c r="B38" s="468" t="s">
        <v>351</v>
      </c>
      <c r="C38" s="470"/>
      <c r="D38" s="470"/>
      <c r="E38" s="470"/>
      <c r="F38" s="469"/>
      <c r="G38" s="470"/>
      <c r="H38" s="470"/>
      <c r="I38" s="470"/>
      <c r="J38" s="469"/>
      <c r="K38" s="470"/>
      <c r="L38" s="470"/>
      <c r="M38" s="470"/>
      <c r="N38" s="469"/>
      <c r="O38" s="470"/>
      <c r="P38" s="470"/>
      <c r="Q38" s="470"/>
      <c r="R38" s="469"/>
      <c r="S38" s="470"/>
      <c r="T38" s="470"/>
      <c r="U38" s="470"/>
      <c r="V38" s="469"/>
    </row>
    <row r="41" spans="1:23" x14ac:dyDescent="0.25">
      <c r="B41" s="456" t="s">
        <v>286</v>
      </c>
    </row>
    <row r="42" spans="1:23" x14ac:dyDescent="0.25">
      <c r="B42" s="456" t="s">
        <v>287</v>
      </c>
    </row>
    <row r="43" spans="1:23" x14ac:dyDescent="0.25">
      <c r="B43" s="456" t="s">
        <v>292</v>
      </c>
    </row>
    <row r="44" spans="1:23" x14ac:dyDescent="0.25">
      <c r="B44" s="456" t="s">
        <v>337</v>
      </c>
    </row>
    <row r="45" spans="1:23" x14ac:dyDescent="0.25">
      <c r="B45" s="456" t="s">
        <v>339</v>
      </c>
    </row>
    <row r="46" spans="1:23" x14ac:dyDescent="0.25">
      <c r="B46" s="456" t="s">
        <v>351</v>
      </c>
    </row>
    <row r="47" spans="1:23" x14ac:dyDescent="0.25">
      <c r="B47" s="456" t="s">
        <v>342</v>
      </c>
    </row>
    <row r="48" spans="1:23" x14ac:dyDescent="0.25">
      <c r="B48" s="456" t="s">
        <v>343</v>
      </c>
    </row>
    <row r="49" spans="2:2" x14ac:dyDescent="0.25">
      <c r="B49" s="476" t="s">
        <v>1292</v>
      </c>
    </row>
  </sheetData>
  <mergeCells count="7">
    <mergeCell ref="S3:V3"/>
    <mergeCell ref="A2:A3"/>
    <mergeCell ref="B2:B3"/>
    <mergeCell ref="C3:F3"/>
    <mergeCell ref="G3:J3"/>
    <mergeCell ref="K3:N3"/>
    <mergeCell ref="O3:R3"/>
  </mergeCells>
  <printOptions horizontalCentered="1"/>
  <pageMargins left="0.27559055118110237" right="0.19685039370078741" top="1.0236220472440944" bottom="0.19685039370078741" header="0.31496062992125984" footer="0.31496062992125984"/>
  <pageSetup paperSize="9" scale="70" fitToWidth="2" pageOrder="overThenDown" orientation="landscape" r:id="rId1"/>
  <headerFooter>
    <oddHeader>&amp;L3/B.  melléklet a ......./2021. (.................) önkormányzati rendelethez&amp;C&amp;"-,Félkövér"&amp;16
A Polgármesteri Hivatal 2020. évi kiadásai feladatonként részletes bontásban</oddHeader>
    <oddFooter>&amp;C&amp;P&amp;R&amp;D, &amp;T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Q47"/>
  <sheetViews>
    <sheetView view="pageBreakPreview" zoomScale="98" zoomScaleNormal="100" zoomScaleSheetLayoutView="98" workbookViewId="0">
      <selection activeCell="B4" sqref="B4:B5"/>
    </sheetView>
  </sheetViews>
  <sheetFormatPr defaultRowHeight="15" x14ac:dyDescent="0.25"/>
  <cols>
    <col min="1" max="1" width="7.140625" style="30" customWidth="1"/>
    <col min="2" max="2" width="50" customWidth="1"/>
    <col min="3" max="3" width="12.85546875" hidden="1" customWidth="1"/>
    <col min="4" max="4" width="0" hidden="1" customWidth="1"/>
    <col min="5" max="5" width="16.5703125" hidden="1" customWidth="1"/>
    <col min="6" max="6" width="12.85546875" hidden="1" customWidth="1"/>
    <col min="7" max="7" width="0" hidden="1" customWidth="1"/>
    <col min="8" max="8" width="16.5703125" hidden="1" customWidth="1"/>
    <col min="9" max="9" width="12.85546875" customWidth="1"/>
    <col min="11" max="11" width="16.5703125" bestFit="1" customWidth="1"/>
    <col min="12" max="12" width="12.85546875" customWidth="1"/>
    <col min="14" max="14" width="16.5703125" bestFit="1" customWidth="1"/>
    <col min="15" max="15" width="12.85546875" hidden="1" customWidth="1"/>
    <col min="16" max="16" width="0" hidden="1" customWidth="1"/>
    <col min="17" max="17" width="16.5703125" hidden="1" customWidth="1"/>
  </cols>
  <sheetData>
    <row r="1" spans="1:17" x14ac:dyDescent="0.25">
      <c r="E1" s="31"/>
      <c r="H1" s="31"/>
      <c r="K1" s="31"/>
      <c r="N1" s="31" t="s">
        <v>1662</v>
      </c>
    </row>
    <row r="2" spans="1:17" ht="30" x14ac:dyDescent="0.25">
      <c r="A2" s="304" t="s">
        <v>303</v>
      </c>
      <c r="B2" s="304" t="s">
        <v>1423</v>
      </c>
      <c r="C2" s="518"/>
      <c r="D2" s="518"/>
      <c r="E2" s="518"/>
      <c r="F2" s="518"/>
      <c r="G2" s="518"/>
      <c r="H2" s="518"/>
      <c r="I2" s="518"/>
      <c r="J2" s="518"/>
      <c r="K2" s="518"/>
      <c r="L2" s="518"/>
      <c r="M2" s="518"/>
      <c r="N2" s="518"/>
      <c r="O2" s="518"/>
      <c r="P2" s="518"/>
      <c r="Q2" s="518"/>
    </row>
    <row r="3" spans="1:17" x14ac:dyDescent="0.25">
      <c r="A3" s="304" t="s">
        <v>304</v>
      </c>
      <c r="B3" s="304" t="s">
        <v>1482</v>
      </c>
      <c r="C3" s="518"/>
      <c r="D3" s="518"/>
      <c r="E3" s="518"/>
      <c r="F3" s="518"/>
      <c r="G3" s="518"/>
      <c r="H3" s="518"/>
      <c r="I3" s="518"/>
      <c r="J3" s="518"/>
      <c r="K3" s="518"/>
      <c r="L3" s="518"/>
      <c r="M3" s="518"/>
      <c r="N3" s="518"/>
      <c r="O3" s="518"/>
      <c r="P3" s="518"/>
      <c r="Q3" s="518"/>
    </row>
    <row r="4" spans="1:17" ht="60.75" customHeight="1" x14ac:dyDescent="0.25">
      <c r="A4" s="938" t="s">
        <v>305</v>
      </c>
      <c r="B4" s="965" t="s">
        <v>306</v>
      </c>
      <c r="C4" s="939" t="s">
        <v>1654</v>
      </c>
      <c r="D4" s="936"/>
      <c r="E4" s="940"/>
      <c r="F4" s="939" t="s">
        <v>1760</v>
      </c>
      <c r="G4" s="936"/>
      <c r="H4" s="940"/>
      <c r="I4" s="939" t="s">
        <v>1795</v>
      </c>
      <c r="J4" s="936"/>
      <c r="K4" s="940"/>
      <c r="L4" s="939" t="s">
        <v>1803</v>
      </c>
      <c r="M4" s="936"/>
      <c r="N4" s="940"/>
      <c r="O4" s="962" t="s">
        <v>1807</v>
      </c>
      <c r="P4" s="936"/>
      <c r="Q4" s="940"/>
    </row>
    <row r="5" spans="1:17" ht="60" x14ac:dyDescent="0.25">
      <c r="A5" s="938"/>
      <c r="B5" s="965"/>
      <c r="C5" s="516" t="s">
        <v>1300</v>
      </c>
      <c r="D5" s="516" t="s">
        <v>1301</v>
      </c>
      <c r="E5" s="516" t="s">
        <v>550</v>
      </c>
      <c r="F5" s="690" t="s">
        <v>1300</v>
      </c>
      <c r="G5" s="690" t="s">
        <v>1301</v>
      </c>
      <c r="H5" s="690" t="s">
        <v>550</v>
      </c>
      <c r="I5" s="690" t="s">
        <v>1300</v>
      </c>
      <c r="J5" s="690" t="s">
        <v>1301</v>
      </c>
      <c r="K5" s="690" t="s">
        <v>550</v>
      </c>
      <c r="L5" s="690" t="s">
        <v>1300</v>
      </c>
      <c r="M5" s="690" t="s">
        <v>1301</v>
      </c>
      <c r="N5" s="690" t="s">
        <v>550</v>
      </c>
      <c r="O5" s="690" t="s">
        <v>1300</v>
      </c>
      <c r="P5" s="690" t="s">
        <v>1301</v>
      </c>
      <c r="Q5" s="690" t="s">
        <v>550</v>
      </c>
    </row>
    <row r="6" spans="1:17" x14ac:dyDescent="0.25">
      <c r="A6" s="305"/>
      <c r="B6" s="306" t="s">
        <v>307</v>
      </c>
      <c r="C6" s="307">
        <v>13</v>
      </c>
      <c r="D6" s="307"/>
      <c r="E6" s="307">
        <f t="shared" ref="E6:E46" si="0">SUM(C6:D6)</f>
        <v>13</v>
      </c>
      <c r="F6" s="307">
        <v>13</v>
      </c>
      <c r="G6" s="307"/>
      <c r="H6" s="307">
        <f t="shared" ref="H6:H46" si="1">SUM(F6:G6)</f>
        <v>13</v>
      </c>
      <c r="I6" s="307">
        <v>13</v>
      </c>
      <c r="J6" s="307"/>
      <c r="K6" s="307">
        <f t="shared" ref="K6:K46" si="2">SUM(I6:J6)</f>
        <v>13</v>
      </c>
      <c r="L6" s="307">
        <v>13</v>
      </c>
      <c r="M6" s="307"/>
      <c r="N6" s="307">
        <f t="shared" ref="N6:N46" si="3">SUM(L6:M6)</f>
        <v>13</v>
      </c>
      <c r="O6" s="307">
        <v>13</v>
      </c>
      <c r="P6" s="307"/>
      <c r="Q6" s="307">
        <f t="shared" ref="Q6:Q46" si="4">SUM(O6:P6)</f>
        <v>13</v>
      </c>
    </row>
    <row r="7" spans="1:17" x14ac:dyDescent="0.25">
      <c r="A7" s="305"/>
      <c r="B7" s="306" t="s">
        <v>308</v>
      </c>
      <c r="C7" s="307"/>
      <c r="D7" s="307"/>
      <c r="E7" s="307">
        <f t="shared" si="0"/>
        <v>0</v>
      </c>
      <c r="F7" s="307"/>
      <c r="G7" s="307"/>
      <c r="H7" s="307">
        <f t="shared" si="1"/>
        <v>0</v>
      </c>
      <c r="I7" s="307"/>
      <c r="J7" s="307"/>
      <c r="K7" s="307">
        <f t="shared" si="2"/>
        <v>0</v>
      </c>
      <c r="L7" s="307"/>
      <c r="M7" s="307"/>
      <c r="N7" s="307">
        <f t="shared" si="3"/>
        <v>0</v>
      </c>
      <c r="O7" s="307"/>
      <c r="P7" s="307"/>
      <c r="Q7" s="307">
        <f t="shared" si="4"/>
        <v>0</v>
      </c>
    </row>
    <row r="8" spans="1:17" x14ac:dyDescent="0.25">
      <c r="A8" s="308" t="s">
        <v>309</v>
      </c>
      <c r="B8" s="309" t="s">
        <v>310</v>
      </c>
      <c r="C8" s="310">
        <f>C9+C11+C20</f>
        <v>1750000</v>
      </c>
      <c r="D8" s="310">
        <f>D9+D11+D20</f>
        <v>0</v>
      </c>
      <c r="E8" s="310">
        <f t="shared" si="0"/>
        <v>1750000</v>
      </c>
      <c r="F8" s="501">
        <f>F9+F11+F20</f>
        <v>1750000</v>
      </c>
      <c r="G8" s="501">
        <f>G9+G11+G20</f>
        <v>0</v>
      </c>
      <c r="H8" s="501">
        <f t="shared" si="1"/>
        <v>1750000</v>
      </c>
      <c r="I8" s="501">
        <f>I9+I11+I20</f>
        <v>1750000</v>
      </c>
      <c r="J8" s="501">
        <f>J9+J11+J20</f>
        <v>0</v>
      </c>
      <c r="K8" s="501">
        <f t="shared" si="2"/>
        <v>1750000</v>
      </c>
      <c r="L8" s="501">
        <f>L9+L11+L20</f>
        <v>1750000</v>
      </c>
      <c r="M8" s="501">
        <f>M9+M11+M20</f>
        <v>0</v>
      </c>
      <c r="N8" s="501">
        <f t="shared" si="3"/>
        <v>1750000</v>
      </c>
      <c r="O8" s="501">
        <f>O9+O11+O20</f>
        <v>1954501</v>
      </c>
      <c r="P8" s="501">
        <f>P9+P11+P20</f>
        <v>0</v>
      </c>
      <c r="Q8" s="501">
        <f t="shared" si="4"/>
        <v>1954501</v>
      </c>
    </row>
    <row r="9" spans="1:17" x14ac:dyDescent="0.25">
      <c r="A9" s="311" t="s">
        <v>311</v>
      </c>
      <c r="B9" s="312" t="s">
        <v>312</v>
      </c>
      <c r="C9" s="313">
        <f>C10</f>
        <v>0</v>
      </c>
      <c r="D9" s="313">
        <f>D10</f>
        <v>0</v>
      </c>
      <c r="E9" s="313">
        <f t="shared" si="0"/>
        <v>0</v>
      </c>
      <c r="F9" s="503">
        <f>F10</f>
        <v>0</v>
      </c>
      <c r="G9" s="503">
        <f>G10</f>
        <v>0</v>
      </c>
      <c r="H9" s="503">
        <f t="shared" si="1"/>
        <v>0</v>
      </c>
      <c r="I9" s="503">
        <f>I10</f>
        <v>0</v>
      </c>
      <c r="J9" s="503">
        <f>J10</f>
        <v>0</v>
      </c>
      <c r="K9" s="503">
        <f t="shared" si="2"/>
        <v>0</v>
      </c>
      <c r="L9" s="503">
        <f>L10</f>
        <v>0</v>
      </c>
      <c r="M9" s="503">
        <f>M10</f>
        <v>0</v>
      </c>
      <c r="N9" s="503">
        <f t="shared" si="3"/>
        <v>0</v>
      </c>
      <c r="O9" s="503">
        <f>O10</f>
        <v>0</v>
      </c>
      <c r="P9" s="503">
        <f>P10</f>
        <v>0</v>
      </c>
      <c r="Q9" s="503">
        <f t="shared" si="4"/>
        <v>0</v>
      </c>
    </row>
    <row r="10" spans="1:17" ht="30" hidden="1" customHeight="1" x14ac:dyDescent="0.25">
      <c r="A10" s="346"/>
      <c r="B10" s="314" t="s">
        <v>313</v>
      </c>
      <c r="C10" s="235">
        <v>0</v>
      </c>
      <c r="D10" s="235">
        <v>0</v>
      </c>
      <c r="E10" s="235">
        <f t="shared" si="0"/>
        <v>0</v>
      </c>
      <c r="F10" s="235">
        <v>0</v>
      </c>
      <c r="G10" s="235">
        <v>0</v>
      </c>
      <c r="H10" s="235">
        <f t="shared" si="1"/>
        <v>0</v>
      </c>
      <c r="I10" s="235">
        <v>0</v>
      </c>
      <c r="J10" s="235">
        <v>0</v>
      </c>
      <c r="K10" s="235">
        <f t="shared" si="2"/>
        <v>0</v>
      </c>
      <c r="L10" s="235">
        <v>0</v>
      </c>
      <c r="M10" s="235">
        <v>0</v>
      </c>
      <c r="N10" s="235">
        <f t="shared" si="3"/>
        <v>0</v>
      </c>
      <c r="O10" s="235">
        <v>0</v>
      </c>
      <c r="P10" s="235">
        <v>0</v>
      </c>
      <c r="Q10" s="235">
        <f t="shared" si="4"/>
        <v>0</v>
      </c>
    </row>
    <row r="11" spans="1:17" x14ac:dyDescent="0.25">
      <c r="A11" s="311" t="s">
        <v>322</v>
      </c>
      <c r="B11" s="312" t="s">
        <v>314</v>
      </c>
      <c r="C11" s="313">
        <f>SUM(C12:C19)</f>
        <v>1750000</v>
      </c>
      <c r="D11" s="313">
        <f>SUM(D12:D19)</f>
        <v>0</v>
      </c>
      <c r="E11" s="313">
        <f t="shared" si="0"/>
        <v>1750000</v>
      </c>
      <c r="F11" s="503">
        <f>SUM(F12:F19)</f>
        <v>1750000</v>
      </c>
      <c r="G11" s="503">
        <f>SUM(G12:G19)</f>
        <v>0</v>
      </c>
      <c r="H11" s="503">
        <f t="shared" si="1"/>
        <v>1750000</v>
      </c>
      <c r="I11" s="503">
        <f>SUM(I12:I19)</f>
        <v>1750000</v>
      </c>
      <c r="J11" s="503">
        <f>SUM(J12:J19)</f>
        <v>0</v>
      </c>
      <c r="K11" s="503">
        <f t="shared" si="2"/>
        <v>1750000</v>
      </c>
      <c r="L11" s="503">
        <f>SUM(L12:L19)</f>
        <v>1750000</v>
      </c>
      <c r="M11" s="503">
        <f>SUM(M12:M19)</f>
        <v>0</v>
      </c>
      <c r="N11" s="503">
        <f t="shared" si="3"/>
        <v>1750000</v>
      </c>
      <c r="O11" s="503">
        <f>SUM(O12:O19)</f>
        <v>1954501</v>
      </c>
      <c r="P11" s="503">
        <f>SUM(P12:P19)</f>
        <v>0</v>
      </c>
      <c r="Q11" s="503">
        <f t="shared" si="4"/>
        <v>1954501</v>
      </c>
    </row>
    <row r="12" spans="1:17" x14ac:dyDescent="0.25">
      <c r="A12" s="346"/>
      <c r="B12" s="314" t="s">
        <v>651</v>
      </c>
      <c r="C12" s="235">
        <v>0</v>
      </c>
      <c r="D12" s="235">
        <v>0</v>
      </c>
      <c r="E12" s="235">
        <f t="shared" si="0"/>
        <v>0</v>
      </c>
      <c r="F12" s="235">
        <v>0</v>
      </c>
      <c r="G12" s="235">
        <v>0</v>
      </c>
      <c r="H12" s="235">
        <f t="shared" si="1"/>
        <v>0</v>
      </c>
      <c r="I12" s="235">
        <v>0</v>
      </c>
      <c r="J12" s="235">
        <v>0</v>
      </c>
      <c r="K12" s="235">
        <f t="shared" si="2"/>
        <v>0</v>
      </c>
      <c r="L12" s="235">
        <v>0</v>
      </c>
      <c r="M12" s="235">
        <v>0</v>
      </c>
      <c r="N12" s="235">
        <f t="shared" si="3"/>
        <v>0</v>
      </c>
      <c r="O12" s="235">
        <v>0</v>
      </c>
      <c r="P12" s="235">
        <v>0</v>
      </c>
      <c r="Q12" s="235">
        <f t="shared" si="4"/>
        <v>0</v>
      </c>
    </row>
    <row r="13" spans="1:17" x14ac:dyDescent="0.25">
      <c r="A13" s="346"/>
      <c r="B13" s="314" t="s">
        <v>652</v>
      </c>
      <c r="C13" s="235">
        <v>0</v>
      </c>
      <c r="D13" s="235">
        <v>0</v>
      </c>
      <c r="E13" s="235">
        <f t="shared" si="0"/>
        <v>0</v>
      </c>
      <c r="F13" s="235">
        <v>0</v>
      </c>
      <c r="G13" s="235">
        <v>0</v>
      </c>
      <c r="H13" s="235">
        <f t="shared" si="1"/>
        <v>0</v>
      </c>
      <c r="I13" s="235">
        <v>0</v>
      </c>
      <c r="J13" s="235">
        <v>0</v>
      </c>
      <c r="K13" s="235">
        <f t="shared" si="2"/>
        <v>0</v>
      </c>
      <c r="L13" s="235">
        <v>0</v>
      </c>
      <c r="M13" s="235">
        <v>0</v>
      </c>
      <c r="N13" s="235">
        <f t="shared" si="3"/>
        <v>0</v>
      </c>
      <c r="O13" s="235">
        <v>0</v>
      </c>
      <c r="P13" s="235">
        <v>0</v>
      </c>
      <c r="Q13" s="235">
        <f t="shared" si="4"/>
        <v>0</v>
      </c>
    </row>
    <row r="14" spans="1:17" x14ac:dyDescent="0.25">
      <c r="A14" s="346"/>
      <c r="B14" s="314" t="s">
        <v>659</v>
      </c>
      <c r="C14" s="235">
        <v>0</v>
      </c>
      <c r="D14" s="235">
        <v>0</v>
      </c>
      <c r="E14" s="235">
        <f t="shared" si="0"/>
        <v>0</v>
      </c>
      <c r="F14" s="235">
        <v>0</v>
      </c>
      <c r="G14" s="235">
        <v>0</v>
      </c>
      <c r="H14" s="235">
        <f t="shared" si="1"/>
        <v>0</v>
      </c>
      <c r="I14" s="235">
        <v>0</v>
      </c>
      <c r="J14" s="235">
        <v>0</v>
      </c>
      <c r="K14" s="235">
        <f t="shared" si="2"/>
        <v>0</v>
      </c>
      <c r="L14" s="235">
        <v>0</v>
      </c>
      <c r="M14" s="235">
        <v>0</v>
      </c>
      <c r="N14" s="235">
        <f t="shared" si="3"/>
        <v>0</v>
      </c>
      <c r="O14" s="235">
        <v>0</v>
      </c>
      <c r="P14" s="235">
        <v>0</v>
      </c>
      <c r="Q14" s="235">
        <f t="shared" si="4"/>
        <v>0</v>
      </c>
    </row>
    <row r="15" spans="1:17" x14ac:dyDescent="0.25">
      <c r="A15" s="346"/>
      <c r="B15" s="314" t="s">
        <v>660</v>
      </c>
      <c r="C15" s="235">
        <v>1400000</v>
      </c>
      <c r="D15" s="235">
        <v>0</v>
      </c>
      <c r="E15" s="235">
        <f t="shared" si="0"/>
        <v>1400000</v>
      </c>
      <c r="F15" s="235">
        <v>1400000</v>
      </c>
      <c r="G15" s="235">
        <v>0</v>
      </c>
      <c r="H15" s="235">
        <f t="shared" si="1"/>
        <v>1400000</v>
      </c>
      <c r="I15" s="235">
        <v>1400000</v>
      </c>
      <c r="J15" s="235">
        <v>0</v>
      </c>
      <c r="K15" s="235">
        <f t="shared" si="2"/>
        <v>1400000</v>
      </c>
      <c r="L15" s="235">
        <v>1400000</v>
      </c>
      <c r="M15" s="235">
        <v>0</v>
      </c>
      <c r="N15" s="235">
        <f t="shared" si="3"/>
        <v>1400000</v>
      </c>
      <c r="O15" s="235">
        <v>988597</v>
      </c>
      <c r="P15" s="235">
        <v>0</v>
      </c>
      <c r="Q15" s="235">
        <f t="shared" si="4"/>
        <v>988597</v>
      </c>
    </row>
    <row r="16" spans="1:17" x14ac:dyDescent="0.25">
      <c r="A16" s="346"/>
      <c r="B16" s="314" t="s">
        <v>661</v>
      </c>
      <c r="C16" s="235">
        <v>350000</v>
      </c>
      <c r="D16" s="235">
        <v>0</v>
      </c>
      <c r="E16" s="235">
        <f t="shared" si="0"/>
        <v>350000</v>
      </c>
      <c r="F16" s="235">
        <v>350000</v>
      </c>
      <c r="G16" s="235">
        <v>0</v>
      </c>
      <c r="H16" s="235">
        <f t="shared" si="1"/>
        <v>350000</v>
      </c>
      <c r="I16" s="235">
        <v>350000</v>
      </c>
      <c r="J16" s="235">
        <v>0</v>
      </c>
      <c r="K16" s="235">
        <f t="shared" si="2"/>
        <v>350000</v>
      </c>
      <c r="L16" s="235">
        <v>350000</v>
      </c>
      <c r="M16" s="235">
        <v>0</v>
      </c>
      <c r="N16" s="235">
        <f t="shared" si="3"/>
        <v>350000</v>
      </c>
      <c r="O16" s="235">
        <v>266930</v>
      </c>
      <c r="P16" s="235">
        <v>0</v>
      </c>
      <c r="Q16" s="235">
        <f t="shared" si="4"/>
        <v>266930</v>
      </c>
    </row>
    <row r="17" spans="1:17" x14ac:dyDescent="0.25">
      <c r="A17" s="346"/>
      <c r="B17" s="314" t="s">
        <v>662</v>
      </c>
      <c r="C17" s="235">
        <v>0</v>
      </c>
      <c r="D17" s="235">
        <v>0</v>
      </c>
      <c r="E17" s="235">
        <f t="shared" si="0"/>
        <v>0</v>
      </c>
      <c r="F17" s="235"/>
      <c r="G17" s="235">
        <v>0</v>
      </c>
      <c r="H17" s="235">
        <f t="shared" si="1"/>
        <v>0</v>
      </c>
      <c r="I17" s="235"/>
      <c r="J17" s="235">
        <v>0</v>
      </c>
      <c r="K17" s="235">
        <f t="shared" si="2"/>
        <v>0</v>
      </c>
      <c r="L17" s="235"/>
      <c r="M17" s="235">
        <v>0</v>
      </c>
      <c r="N17" s="235">
        <f t="shared" si="3"/>
        <v>0</v>
      </c>
      <c r="O17" s="235">
        <v>280000</v>
      </c>
      <c r="P17" s="235">
        <v>0</v>
      </c>
      <c r="Q17" s="235">
        <f t="shared" si="4"/>
        <v>280000</v>
      </c>
    </row>
    <row r="18" spans="1:17" x14ac:dyDescent="0.25">
      <c r="A18" s="346"/>
      <c r="B18" s="314" t="s">
        <v>663</v>
      </c>
      <c r="C18" s="235">
        <v>0</v>
      </c>
      <c r="D18" s="235">
        <v>0</v>
      </c>
      <c r="E18" s="235">
        <f t="shared" si="0"/>
        <v>0</v>
      </c>
      <c r="F18" s="235">
        <v>0</v>
      </c>
      <c r="G18" s="235">
        <v>0</v>
      </c>
      <c r="H18" s="235">
        <f t="shared" si="1"/>
        <v>0</v>
      </c>
      <c r="I18" s="235">
        <v>0</v>
      </c>
      <c r="J18" s="235">
        <v>0</v>
      </c>
      <c r="K18" s="235">
        <f t="shared" si="2"/>
        <v>0</v>
      </c>
      <c r="L18" s="235">
        <v>0</v>
      </c>
      <c r="M18" s="235">
        <v>0</v>
      </c>
      <c r="N18" s="235">
        <f t="shared" si="3"/>
        <v>0</v>
      </c>
      <c r="O18" s="235">
        <v>0</v>
      </c>
      <c r="P18" s="235">
        <v>0</v>
      </c>
      <c r="Q18" s="235">
        <f t="shared" si="4"/>
        <v>0</v>
      </c>
    </row>
    <row r="19" spans="1:17" x14ac:dyDescent="0.25">
      <c r="A19" s="346"/>
      <c r="B19" s="314" t="s">
        <v>664</v>
      </c>
      <c r="C19" s="235">
        <v>0</v>
      </c>
      <c r="D19" s="235">
        <v>0</v>
      </c>
      <c r="E19" s="235">
        <f t="shared" si="0"/>
        <v>0</v>
      </c>
      <c r="F19" s="235">
        <v>0</v>
      </c>
      <c r="G19" s="235">
        <v>0</v>
      </c>
      <c r="H19" s="235">
        <f t="shared" si="1"/>
        <v>0</v>
      </c>
      <c r="I19" s="235">
        <v>0</v>
      </c>
      <c r="J19" s="235">
        <v>0</v>
      </c>
      <c r="K19" s="235">
        <f t="shared" si="2"/>
        <v>0</v>
      </c>
      <c r="L19" s="235">
        <v>0</v>
      </c>
      <c r="M19" s="235">
        <v>0</v>
      </c>
      <c r="N19" s="235">
        <f t="shared" si="3"/>
        <v>0</v>
      </c>
      <c r="O19" s="235">
        <v>418974</v>
      </c>
      <c r="P19" s="235">
        <v>0</v>
      </c>
      <c r="Q19" s="235">
        <f t="shared" si="4"/>
        <v>418974</v>
      </c>
    </row>
    <row r="20" spans="1:17" x14ac:dyDescent="0.25">
      <c r="A20" s="311" t="s">
        <v>315</v>
      </c>
      <c r="B20" s="312" t="s">
        <v>316</v>
      </c>
      <c r="C20" s="313">
        <f>C21</f>
        <v>0</v>
      </c>
      <c r="D20" s="313">
        <f>D21</f>
        <v>0</v>
      </c>
      <c r="E20" s="313">
        <f t="shared" si="0"/>
        <v>0</v>
      </c>
      <c r="F20" s="503">
        <f>F21</f>
        <v>0</v>
      </c>
      <c r="G20" s="503">
        <f>G21</f>
        <v>0</v>
      </c>
      <c r="H20" s="503">
        <f t="shared" si="1"/>
        <v>0</v>
      </c>
      <c r="I20" s="503">
        <f>I21</f>
        <v>0</v>
      </c>
      <c r="J20" s="503">
        <f>J21</f>
        <v>0</v>
      </c>
      <c r="K20" s="503">
        <f t="shared" si="2"/>
        <v>0</v>
      </c>
      <c r="L20" s="503">
        <f>L21</f>
        <v>0</v>
      </c>
      <c r="M20" s="503">
        <f>M21</f>
        <v>0</v>
      </c>
      <c r="N20" s="503">
        <f t="shared" si="3"/>
        <v>0</v>
      </c>
      <c r="O20" s="503">
        <f>O21</f>
        <v>0</v>
      </c>
      <c r="P20" s="503">
        <f>P21</f>
        <v>0</v>
      </c>
      <c r="Q20" s="503">
        <f t="shared" si="4"/>
        <v>0</v>
      </c>
    </row>
    <row r="21" spans="1:17" ht="15" hidden="1" customHeight="1" x14ac:dyDescent="0.25">
      <c r="A21" s="346"/>
      <c r="B21" s="314" t="s">
        <v>317</v>
      </c>
      <c r="C21" s="235">
        <v>0</v>
      </c>
      <c r="D21" s="235">
        <v>0</v>
      </c>
      <c r="E21" s="235">
        <f t="shared" si="0"/>
        <v>0</v>
      </c>
      <c r="F21" s="235">
        <v>0</v>
      </c>
      <c r="G21" s="235">
        <v>0</v>
      </c>
      <c r="H21" s="235">
        <f t="shared" si="1"/>
        <v>0</v>
      </c>
      <c r="I21" s="235">
        <v>0</v>
      </c>
      <c r="J21" s="235">
        <v>0</v>
      </c>
      <c r="K21" s="235">
        <f t="shared" si="2"/>
        <v>0</v>
      </c>
      <c r="L21" s="235">
        <v>0</v>
      </c>
      <c r="M21" s="235">
        <v>0</v>
      </c>
      <c r="N21" s="235">
        <f t="shared" si="3"/>
        <v>0</v>
      </c>
      <c r="O21" s="235">
        <v>0</v>
      </c>
      <c r="P21" s="235">
        <v>0</v>
      </c>
      <c r="Q21" s="235">
        <f t="shared" si="4"/>
        <v>0</v>
      </c>
    </row>
    <row r="22" spans="1:17" x14ac:dyDescent="0.25">
      <c r="A22" s="308" t="s">
        <v>318</v>
      </c>
      <c r="B22" s="309" t="s">
        <v>319</v>
      </c>
      <c r="C22" s="310">
        <f>C23+C25+C28</f>
        <v>0</v>
      </c>
      <c r="D22" s="310">
        <f>D23+D25+D28</f>
        <v>0</v>
      </c>
      <c r="E22" s="310">
        <f t="shared" si="0"/>
        <v>0</v>
      </c>
      <c r="F22" s="501">
        <f>F23+F25+F28</f>
        <v>0</v>
      </c>
      <c r="G22" s="501">
        <f>G23+G25+G28</f>
        <v>0</v>
      </c>
      <c r="H22" s="501">
        <f t="shared" si="1"/>
        <v>0</v>
      </c>
      <c r="I22" s="501">
        <f>I23+I25+I28</f>
        <v>0</v>
      </c>
      <c r="J22" s="501">
        <f>J23+J25+J28</f>
        <v>0</v>
      </c>
      <c r="K22" s="501">
        <f t="shared" si="2"/>
        <v>0</v>
      </c>
      <c r="L22" s="501">
        <f>L23+L25+L28</f>
        <v>0</v>
      </c>
      <c r="M22" s="501">
        <f>M23+M25+M28</f>
        <v>0</v>
      </c>
      <c r="N22" s="501">
        <f t="shared" si="3"/>
        <v>0</v>
      </c>
      <c r="O22" s="501">
        <f>O23+O25+O28</f>
        <v>0</v>
      </c>
      <c r="P22" s="501">
        <f>P23+P25+P28</f>
        <v>0</v>
      </c>
      <c r="Q22" s="501">
        <f t="shared" si="4"/>
        <v>0</v>
      </c>
    </row>
    <row r="23" spans="1:17" ht="15" hidden="1" customHeight="1" x14ac:dyDescent="0.25">
      <c r="A23" s="311" t="s">
        <v>311</v>
      </c>
      <c r="B23" s="312" t="s">
        <v>320</v>
      </c>
      <c r="C23" s="313">
        <f>C24</f>
        <v>0</v>
      </c>
      <c r="D23" s="313">
        <f>D24</f>
        <v>0</v>
      </c>
      <c r="E23" s="313">
        <f t="shared" si="0"/>
        <v>0</v>
      </c>
      <c r="F23" s="503">
        <f>F24</f>
        <v>0</v>
      </c>
      <c r="G23" s="503">
        <f>G24</f>
        <v>0</v>
      </c>
      <c r="H23" s="503">
        <f t="shared" si="1"/>
        <v>0</v>
      </c>
      <c r="I23" s="503">
        <f>I24</f>
        <v>0</v>
      </c>
      <c r="J23" s="503">
        <f>J24</f>
        <v>0</v>
      </c>
      <c r="K23" s="503">
        <f t="shared" si="2"/>
        <v>0</v>
      </c>
      <c r="L23" s="503">
        <f>L24</f>
        <v>0</v>
      </c>
      <c r="M23" s="503">
        <f>M24</f>
        <v>0</v>
      </c>
      <c r="N23" s="503">
        <f t="shared" si="3"/>
        <v>0</v>
      </c>
      <c r="O23" s="503">
        <f>O24</f>
        <v>0</v>
      </c>
      <c r="P23" s="503">
        <f>P24</f>
        <v>0</v>
      </c>
      <c r="Q23" s="503">
        <f t="shared" si="4"/>
        <v>0</v>
      </c>
    </row>
    <row r="24" spans="1:17" ht="30" hidden="1" customHeight="1" x14ac:dyDescent="0.25">
      <c r="A24" s="346"/>
      <c r="B24" s="234" t="s">
        <v>321</v>
      </c>
      <c r="C24" s="235">
        <v>0</v>
      </c>
      <c r="D24" s="235">
        <v>0</v>
      </c>
      <c r="E24" s="235">
        <f t="shared" si="0"/>
        <v>0</v>
      </c>
      <c r="F24" s="235">
        <v>0</v>
      </c>
      <c r="G24" s="235">
        <v>0</v>
      </c>
      <c r="H24" s="235">
        <f t="shared" si="1"/>
        <v>0</v>
      </c>
      <c r="I24" s="235">
        <v>0</v>
      </c>
      <c r="J24" s="235">
        <v>0</v>
      </c>
      <c r="K24" s="235">
        <f t="shared" si="2"/>
        <v>0</v>
      </c>
      <c r="L24" s="235">
        <v>0</v>
      </c>
      <c r="M24" s="235">
        <v>0</v>
      </c>
      <c r="N24" s="235">
        <f t="shared" si="3"/>
        <v>0</v>
      </c>
      <c r="O24" s="235">
        <v>0</v>
      </c>
      <c r="P24" s="235">
        <v>0</v>
      </c>
      <c r="Q24" s="235">
        <f t="shared" si="4"/>
        <v>0</v>
      </c>
    </row>
    <row r="25" spans="1:17" ht="15" hidden="1" customHeight="1" x14ac:dyDescent="0.25">
      <c r="A25" s="311" t="s">
        <v>322</v>
      </c>
      <c r="B25" s="312" t="s">
        <v>257</v>
      </c>
      <c r="C25" s="313">
        <f>SUM(C26:C27)</f>
        <v>0</v>
      </c>
      <c r="D25" s="313">
        <f>SUM(D26:D27)</f>
        <v>0</v>
      </c>
      <c r="E25" s="313">
        <f t="shared" si="0"/>
        <v>0</v>
      </c>
      <c r="F25" s="503">
        <f>SUM(F26:F27)</f>
        <v>0</v>
      </c>
      <c r="G25" s="503">
        <f>SUM(G26:G27)</f>
        <v>0</v>
      </c>
      <c r="H25" s="503">
        <f t="shared" si="1"/>
        <v>0</v>
      </c>
      <c r="I25" s="503">
        <f>SUM(I26:I27)</f>
        <v>0</v>
      </c>
      <c r="J25" s="503">
        <f>SUM(J26:J27)</f>
        <v>0</v>
      </c>
      <c r="K25" s="503">
        <f t="shared" si="2"/>
        <v>0</v>
      </c>
      <c r="L25" s="503">
        <f>SUM(L26:L27)</f>
        <v>0</v>
      </c>
      <c r="M25" s="503">
        <f>SUM(M26:M27)</f>
        <v>0</v>
      </c>
      <c r="N25" s="503">
        <f t="shared" si="3"/>
        <v>0</v>
      </c>
      <c r="O25" s="503">
        <f>SUM(O26:O27)</f>
        <v>0</v>
      </c>
      <c r="P25" s="503">
        <f>SUM(P26:P27)</f>
        <v>0</v>
      </c>
      <c r="Q25" s="503">
        <f t="shared" si="4"/>
        <v>0</v>
      </c>
    </row>
    <row r="26" spans="1:17" ht="15" hidden="1" customHeight="1" x14ac:dyDescent="0.25">
      <c r="A26" s="346"/>
      <c r="B26" s="316" t="s">
        <v>323</v>
      </c>
      <c r="C26" s="235">
        <v>0</v>
      </c>
      <c r="D26" s="235">
        <v>0</v>
      </c>
      <c r="E26" s="235">
        <f t="shared" si="0"/>
        <v>0</v>
      </c>
      <c r="F26" s="235">
        <v>0</v>
      </c>
      <c r="G26" s="235">
        <v>0</v>
      </c>
      <c r="H26" s="235">
        <f t="shared" si="1"/>
        <v>0</v>
      </c>
      <c r="I26" s="235">
        <v>0</v>
      </c>
      <c r="J26" s="235">
        <v>0</v>
      </c>
      <c r="K26" s="235">
        <f t="shared" si="2"/>
        <v>0</v>
      </c>
      <c r="L26" s="235">
        <v>0</v>
      </c>
      <c r="M26" s="235">
        <v>0</v>
      </c>
      <c r="N26" s="235">
        <f t="shared" si="3"/>
        <v>0</v>
      </c>
      <c r="O26" s="235">
        <v>0</v>
      </c>
      <c r="P26" s="235">
        <v>0</v>
      </c>
      <c r="Q26" s="235">
        <f t="shared" si="4"/>
        <v>0</v>
      </c>
    </row>
    <row r="27" spans="1:17" ht="15" hidden="1" customHeight="1" x14ac:dyDescent="0.25">
      <c r="A27" s="346"/>
      <c r="B27" s="316" t="s">
        <v>324</v>
      </c>
      <c r="C27" s="235">
        <v>0</v>
      </c>
      <c r="D27" s="235">
        <v>0</v>
      </c>
      <c r="E27" s="235">
        <f t="shared" si="0"/>
        <v>0</v>
      </c>
      <c r="F27" s="235">
        <v>0</v>
      </c>
      <c r="G27" s="235">
        <v>0</v>
      </c>
      <c r="H27" s="235">
        <f t="shared" si="1"/>
        <v>0</v>
      </c>
      <c r="I27" s="235">
        <v>0</v>
      </c>
      <c r="J27" s="235">
        <v>0</v>
      </c>
      <c r="K27" s="235">
        <f t="shared" si="2"/>
        <v>0</v>
      </c>
      <c r="L27" s="235">
        <v>0</v>
      </c>
      <c r="M27" s="235">
        <v>0</v>
      </c>
      <c r="N27" s="235">
        <f t="shared" si="3"/>
        <v>0</v>
      </c>
      <c r="O27" s="235">
        <v>0</v>
      </c>
      <c r="P27" s="235">
        <v>0</v>
      </c>
      <c r="Q27" s="235">
        <f t="shared" si="4"/>
        <v>0</v>
      </c>
    </row>
    <row r="28" spans="1:17" ht="15" hidden="1" customHeight="1" x14ac:dyDescent="0.25">
      <c r="A28" s="311" t="s">
        <v>315</v>
      </c>
      <c r="B28" s="312" t="s">
        <v>325</v>
      </c>
      <c r="C28" s="313">
        <f>C29</f>
        <v>0</v>
      </c>
      <c r="D28" s="313">
        <f>D29</f>
        <v>0</v>
      </c>
      <c r="E28" s="313">
        <f t="shared" si="0"/>
        <v>0</v>
      </c>
      <c r="F28" s="503">
        <f>F29</f>
        <v>0</v>
      </c>
      <c r="G28" s="503">
        <f>G29</f>
        <v>0</v>
      </c>
      <c r="H28" s="503">
        <f t="shared" si="1"/>
        <v>0</v>
      </c>
      <c r="I28" s="503">
        <f>I29</f>
        <v>0</v>
      </c>
      <c r="J28" s="503">
        <f>J29</f>
        <v>0</v>
      </c>
      <c r="K28" s="503">
        <f t="shared" si="2"/>
        <v>0</v>
      </c>
      <c r="L28" s="503">
        <f>L29</f>
        <v>0</v>
      </c>
      <c r="M28" s="503">
        <f>M29</f>
        <v>0</v>
      </c>
      <c r="N28" s="503">
        <f t="shared" si="3"/>
        <v>0</v>
      </c>
      <c r="O28" s="503">
        <f>O29</f>
        <v>0</v>
      </c>
      <c r="P28" s="503">
        <f>P29</f>
        <v>0</v>
      </c>
      <c r="Q28" s="503">
        <f t="shared" si="4"/>
        <v>0</v>
      </c>
    </row>
    <row r="29" spans="1:17" ht="15" hidden="1" customHeight="1" x14ac:dyDescent="0.25">
      <c r="A29" s="346"/>
      <c r="B29" s="316" t="s">
        <v>326</v>
      </c>
      <c r="C29" s="235">
        <v>0</v>
      </c>
      <c r="D29" s="235">
        <v>0</v>
      </c>
      <c r="E29" s="235">
        <f t="shared" si="0"/>
        <v>0</v>
      </c>
      <c r="F29" s="235">
        <v>0</v>
      </c>
      <c r="G29" s="235">
        <v>0</v>
      </c>
      <c r="H29" s="235">
        <f t="shared" si="1"/>
        <v>0</v>
      </c>
      <c r="I29" s="235">
        <v>0</v>
      </c>
      <c r="J29" s="235">
        <v>0</v>
      </c>
      <c r="K29" s="235">
        <f t="shared" si="2"/>
        <v>0</v>
      </c>
      <c r="L29" s="235">
        <v>0</v>
      </c>
      <c r="M29" s="235">
        <v>0</v>
      </c>
      <c r="N29" s="235">
        <f t="shared" si="3"/>
        <v>0</v>
      </c>
      <c r="O29" s="235">
        <v>0</v>
      </c>
      <c r="P29" s="235">
        <v>0</v>
      </c>
      <c r="Q29" s="235">
        <f t="shared" si="4"/>
        <v>0</v>
      </c>
    </row>
    <row r="30" spans="1:17" x14ac:dyDescent="0.25">
      <c r="A30" s="344"/>
      <c r="B30" s="317" t="s">
        <v>327</v>
      </c>
      <c r="C30" s="318">
        <f>C8+C22</f>
        <v>1750000</v>
      </c>
      <c r="D30" s="318">
        <f>D8+D22</f>
        <v>0</v>
      </c>
      <c r="E30" s="318">
        <f t="shared" si="0"/>
        <v>1750000</v>
      </c>
      <c r="F30" s="511">
        <f>F8+F22</f>
        <v>1750000</v>
      </c>
      <c r="G30" s="511">
        <f>G8+G22</f>
        <v>0</v>
      </c>
      <c r="H30" s="511">
        <f t="shared" si="1"/>
        <v>1750000</v>
      </c>
      <c r="I30" s="511">
        <f>I8+I22</f>
        <v>1750000</v>
      </c>
      <c r="J30" s="511">
        <f>J8+J22</f>
        <v>0</v>
      </c>
      <c r="K30" s="511">
        <f t="shared" si="2"/>
        <v>1750000</v>
      </c>
      <c r="L30" s="511">
        <f>L8+L22</f>
        <v>1750000</v>
      </c>
      <c r="M30" s="511">
        <f>M8+M22</f>
        <v>0</v>
      </c>
      <c r="N30" s="511">
        <f t="shared" si="3"/>
        <v>1750000</v>
      </c>
      <c r="O30" s="511">
        <f>O8+O22</f>
        <v>1954501</v>
      </c>
      <c r="P30" s="511">
        <f>P8+P22</f>
        <v>0</v>
      </c>
      <c r="Q30" s="511">
        <f t="shared" si="4"/>
        <v>1954501</v>
      </c>
    </row>
    <row r="31" spans="1:17" x14ac:dyDescent="0.25">
      <c r="A31" s="308" t="s">
        <v>328</v>
      </c>
      <c r="B31" s="309" t="s">
        <v>329</v>
      </c>
      <c r="C31" s="310">
        <f>C32</f>
        <v>81445430</v>
      </c>
      <c r="D31" s="310">
        <f>D32</f>
        <v>0</v>
      </c>
      <c r="E31" s="310">
        <f t="shared" si="0"/>
        <v>81445430</v>
      </c>
      <c r="F31" s="501">
        <f>F32</f>
        <v>95611614</v>
      </c>
      <c r="G31" s="501">
        <f>G32</f>
        <v>0</v>
      </c>
      <c r="H31" s="501">
        <f t="shared" si="1"/>
        <v>95611614</v>
      </c>
      <c r="I31" s="501">
        <f>I32</f>
        <v>93227187</v>
      </c>
      <c r="J31" s="501">
        <f>J32</f>
        <v>0</v>
      </c>
      <c r="K31" s="501">
        <f t="shared" si="2"/>
        <v>93227187</v>
      </c>
      <c r="L31" s="501">
        <f>L32</f>
        <v>93227187</v>
      </c>
      <c r="M31" s="501">
        <f>M32</f>
        <v>0</v>
      </c>
      <c r="N31" s="501">
        <f t="shared" si="3"/>
        <v>93227187</v>
      </c>
      <c r="O31" s="501">
        <f>O32</f>
        <v>83867657</v>
      </c>
      <c r="P31" s="501">
        <f>P32</f>
        <v>0</v>
      </c>
      <c r="Q31" s="501">
        <f t="shared" si="4"/>
        <v>83867657</v>
      </c>
    </row>
    <row r="32" spans="1:17" x14ac:dyDescent="0.25">
      <c r="A32" s="311" t="s">
        <v>311</v>
      </c>
      <c r="B32" s="312" t="s">
        <v>330</v>
      </c>
      <c r="C32" s="313">
        <f>SUM(C33:C34)</f>
        <v>81445430</v>
      </c>
      <c r="D32" s="313">
        <f>SUM(D33:D34)</f>
        <v>0</v>
      </c>
      <c r="E32" s="313">
        <f t="shared" si="0"/>
        <v>81445430</v>
      </c>
      <c r="F32" s="503">
        <f>SUM(F33:F34)</f>
        <v>95611614</v>
      </c>
      <c r="G32" s="503">
        <f>SUM(G33:G34)</f>
        <v>0</v>
      </c>
      <c r="H32" s="503">
        <f t="shared" si="1"/>
        <v>95611614</v>
      </c>
      <c r="I32" s="503">
        <f>SUM(I33:I34)</f>
        <v>93227187</v>
      </c>
      <c r="J32" s="503">
        <f>SUM(J33:J34)</f>
        <v>0</v>
      </c>
      <c r="K32" s="503">
        <f t="shared" si="2"/>
        <v>93227187</v>
      </c>
      <c r="L32" s="503">
        <f>SUM(L33:L34)</f>
        <v>93227187</v>
      </c>
      <c r="M32" s="503">
        <f>SUM(M33:M34)</f>
        <v>0</v>
      </c>
      <c r="N32" s="503">
        <f t="shared" si="3"/>
        <v>93227187</v>
      </c>
      <c r="O32" s="503">
        <f>SUM(O33:O34)</f>
        <v>83867657</v>
      </c>
      <c r="P32" s="503">
        <f>SUM(P33:P34)</f>
        <v>0</v>
      </c>
      <c r="Q32" s="503">
        <f t="shared" si="4"/>
        <v>83867657</v>
      </c>
    </row>
    <row r="33" spans="1:17" x14ac:dyDescent="0.25">
      <c r="A33" s="346"/>
      <c r="B33" s="316" t="s">
        <v>331</v>
      </c>
      <c r="C33" s="235"/>
      <c r="D33" s="235">
        <v>0</v>
      </c>
      <c r="E33" s="235">
        <f t="shared" si="0"/>
        <v>0</v>
      </c>
      <c r="F33" s="235">
        <v>14166184</v>
      </c>
      <c r="G33" s="235">
        <v>0</v>
      </c>
      <c r="H33" s="235">
        <f t="shared" si="1"/>
        <v>14166184</v>
      </c>
      <c r="I33" s="235">
        <v>14166184</v>
      </c>
      <c r="J33" s="235">
        <v>0</v>
      </c>
      <c r="K33" s="235">
        <f t="shared" si="2"/>
        <v>14166184</v>
      </c>
      <c r="L33" s="235">
        <v>14166184</v>
      </c>
      <c r="M33" s="235">
        <v>0</v>
      </c>
      <c r="N33" s="235">
        <f t="shared" si="3"/>
        <v>14166184</v>
      </c>
      <c r="O33" s="235">
        <v>14166184</v>
      </c>
      <c r="P33" s="235">
        <v>0</v>
      </c>
      <c r="Q33" s="235">
        <f t="shared" si="4"/>
        <v>14166184</v>
      </c>
    </row>
    <row r="34" spans="1:17" x14ac:dyDescent="0.25">
      <c r="A34" s="346"/>
      <c r="B34" s="316" t="s">
        <v>332</v>
      </c>
      <c r="C34" s="235">
        <f>C46-C30-C33</f>
        <v>81445430</v>
      </c>
      <c r="D34" s="235">
        <f>D46-D30-D33</f>
        <v>0</v>
      </c>
      <c r="E34" s="235">
        <f t="shared" si="0"/>
        <v>81445430</v>
      </c>
      <c r="F34" s="235">
        <f>F46-F30-F33</f>
        <v>81445430</v>
      </c>
      <c r="G34" s="235">
        <f>G46-G30-G33</f>
        <v>0</v>
      </c>
      <c r="H34" s="235">
        <f t="shared" si="1"/>
        <v>81445430</v>
      </c>
      <c r="I34" s="235">
        <f>I46-I30-I33</f>
        <v>79061003</v>
      </c>
      <c r="J34" s="235">
        <f>J46-J30-J33</f>
        <v>0</v>
      </c>
      <c r="K34" s="235">
        <f t="shared" si="2"/>
        <v>79061003</v>
      </c>
      <c r="L34" s="235">
        <f>L46-L30-L33</f>
        <v>79061003</v>
      </c>
      <c r="M34" s="235">
        <f>M46-M30-M33</f>
        <v>0</v>
      </c>
      <c r="N34" s="235">
        <f t="shared" si="3"/>
        <v>79061003</v>
      </c>
      <c r="O34" s="235">
        <v>69701473</v>
      </c>
      <c r="P34" s="235">
        <f>P46-P30-P33</f>
        <v>0</v>
      </c>
      <c r="Q34" s="235">
        <f t="shared" si="4"/>
        <v>69701473</v>
      </c>
    </row>
    <row r="35" spans="1:17" x14ac:dyDescent="0.25">
      <c r="A35" s="319"/>
      <c r="B35" s="320" t="s">
        <v>333</v>
      </c>
      <c r="C35" s="292">
        <f>C30+C31</f>
        <v>83195430</v>
      </c>
      <c r="D35" s="292">
        <f>D30+D31</f>
        <v>0</v>
      </c>
      <c r="E35" s="292">
        <f t="shared" si="0"/>
        <v>83195430</v>
      </c>
      <c r="F35" s="292">
        <f>F30+F31</f>
        <v>97361614</v>
      </c>
      <c r="G35" s="292">
        <f>G30+G31</f>
        <v>0</v>
      </c>
      <c r="H35" s="292">
        <f t="shared" si="1"/>
        <v>97361614</v>
      </c>
      <c r="I35" s="292">
        <f>I30+I31</f>
        <v>94977187</v>
      </c>
      <c r="J35" s="292">
        <f>J30+J31</f>
        <v>0</v>
      </c>
      <c r="K35" s="292">
        <f t="shared" si="2"/>
        <v>94977187</v>
      </c>
      <c r="L35" s="292">
        <f>L30+L31</f>
        <v>94977187</v>
      </c>
      <c r="M35" s="292">
        <f>M30+M31</f>
        <v>0</v>
      </c>
      <c r="N35" s="292">
        <f t="shared" si="3"/>
        <v>94977187</v>
      </c>
      <c r="O35" s="292">
        <f>O30+O31</f>
        <v>85822158</v>
      </c>
      <c r="P35" s="292">
        <f>P30+P31</f>
        <v>0</v>
      </c>
      <c r="Q35" s="292">
        <f t="shared" si="4"/>
        <v>85822158</v>
      </c>
    </row>
    <row r="36" spans="1:17" x14ac:dyDescent="0.25">
      <c r="A36" s="308" t="s">
        <v>309</v>
      </c>
      <c r="B36" s="309" t="s">
        <v>334</v>
      </c>
      <c r="C36" s="310">
        <f>SUM(C37:C41)</f>
        <v>81925430</v>
      </c>
      <c r="D36" s="310">
        <f>SUM(D37:D41)</f>
        <v>0</v>
      </c>
      <c r="E36" s="310">
        <f t="shared" si="0"/>
        <v>81925430</v>
      </c>
      <c r="F36" s="501">
        <f>SUM(F37:F41)</f>
        <v>96091614</v>
      </c>
      <c r="G36" s="501">
        <f>SUM(G37:G41)</f>
        <v>0</v>
      </c>
      <c r="H36" s="501">
        <f t="shared" si="1"/>
        <v>96091614</v>
      </c>
      <c r="I36" s="501">
        <f>SUM(I37:I41)</f>
        <v>93707187</v>
      </c>
      <c r="J36" s="501">
        <f>SUM(J37:J41)</f>
        <v>0</v>
      </c>
      <c r="K36" s="501">
        <f t="shared" si="2"/>
        <v>93707187</v>
      </c>
      <c r="L36" s="501">
        <f>SUM(L37:L41)</f>
        <v>93707187</v>
      </c>
      <c r="M36" s="501">
        <f>SUM(M37:M41)</f>
        <v>0</v>
      </c>
      <c r="N36" s="501">
        <f t="shared" si="3"/>
        <v>93707187</v>
      </c>
      <c r="O36" s="501">
        <f>SUM(O37:O41)</f>
        <v>83966042</v>
      </c>
      <c r="P36" s="501">
        <f>SUM(P37:P41)</f>
        <v>0</v>
      </c>
      <c r="Q36" s="501">
        <f t="shared" si="4"/>
        <v>83966042</v>
      </c>
    </row>
    <row r="37" spans="1:17" x14ac:dyDescent="0.25">
      <c r="A37" s="311" t="s">
        <v>311</v>
      </c>
      <c r="B37" s="312" t="s">
        <v>286</v>
      </c>
      <c r="C37" s="313">
        <f>'5 GSZNR fel'!E9+'5 GSZNR fel'!E16</f>
        <v>53690000</v>
      </c>
      <c r="D37" s="313">
        <f>'5 GSZNR fel'!D9+'5 GSZNR fel'!D16</f>
        <v>0</v>
      </c>
      <c r="E37" s="313">
        <f t="shared" si="0"/>
        <v>53690000</v>
      </c>
      <c r="F37" s="503">
        <f>'5 GSZNR fel'!H9+'5 GSZNR fel'!H16</f>
        <v>53690000</v>
      </c>
      <c r="G37" s="503">
        <f>'5 GSZNR fel'!G9+'5 GSZNR fel'!G16</f>
        <v>0</v>
      </c>
      <c r="H37" s="503">
        <f t="shared" si="1"/>
        <v>53690000</v>
      </c>
      <c r="I37" s="503">
        <f>'5 GSZNR fel'!K9+'5 GSZNR fel'!K16</f>
        <v>53690000</v>
      </c>
      <c r="J37" s="503">
        <f>'5 GSZNR fel'!J9+'5 GSZNR fel'!J16</f>
        <v>0</v>
      </c>
      <c r="K37" s="503">
        <f t="shared" si="2"/>
        <v>53690000</v>
      </c>
      <c r="L37" s="503">
        <f>'5 GSZNR fel'!N9+'5 GSZNR fel'!N16</f>
        <v>53690000</v>
      </c>
      <c r="M37" s="503">
        <f>'5 GSZNR fel'!M9+'5 GSZNR fel'!M16</f>
        <v>0</v>
      </c>
      <c r="N37" s="503">
        <f t="shared" si="3"/>
        <v>53690000</v>
      </c>
      <c r="O37" s="503">
        <f>'5 GSZNR fel'!Q9+'5 GSZNR fel'!Q16</f>
        <v>50637208</v>
      </c>
      <c r="P37" s="503">
        <f>'5 GSZNR fel'!P9+'5 GSZNR fel'!P16</f>
        <v>0</v>
      </c>
      <c r="Q37" s="503">
        <f t="shared" si="4"/>
        <v>50637208</v>
      </c>
    </row>
    <row r="38" spans="1:17" x14ac:dyDescent="0.25">
      <c r="A38" s="311" t="s">
        <v>322</v>
      </c>
      <c r="B38" s="312" t="s">
        <v>335</v>
      </c>
      <c r="C38" s="313">
        <f>'5 GSZNR fel'!E10+'5 GSZNR fel'!E17</f>
        <v>10289630</v>
      </c>
      <c r="D38" s="313">
        <f>'5 GSZNR fel'!D10+'5 GSZNR fel'!D17</f>
        <v>0</v>
      </c>
      <c r="E38" s="313">
        <f t="shared" si="0"/>
        <v>10289630</v>
      </c>
      <c r="F38" s="503">
        <f>'5 GSZNR fel'!H10+'5 GSZNR fel'!H17</f>
        <v>10289630</v>
      </c>
      <c r="G38" s="503">
        <f>'5 GSZNR fel'!G10+'5 GSZNR fel'!G17</f>
        <v>0</v>
      </c>
      <c r="H38" s="503">
        <f t="shared" si="1"/>
        <v>10289630</v>
      </c>
      <c r="I38" s="503">
        <f>'5 GSZNR fel'!K10+'5 GSZNR fel'!K17</f>
        <v>10289630</v>
      </c>
      <c r="J38" s="503">
        <f>'5 GSZNR fel'!J10+'5 GSZNR fel'!J17</f>
        <v>0</v>
      </c>
      <c r="K38" s="503">
        <f t="shared" si="2"/>
        <v>10289630</v>
      </c>
      <c r="L38" s="503">
        <f>'5 GSZNR fel'!N10+'5 GSZNR fel'!N17</f>
        <v>10289630</v>
      </c>
      <c r="M38" s="503">
        <f>'5 GSZNR fel'!M10+'5 GSZNR fel'!M17</f>
        <v>0</v>
      </c>
      <c r="N38" s="503">
        <f t="shared" si="3"/>
        <v>10289630</v>
      </c>
      <c r="O38" s="503">
        <f>'5 GSZNR fel'!Q10+'5 GSZNR fel'!Q17</f>
        <v>8635070</v>
      </c>
      <c r="P38" s="503">
        <f>'5 GSZNR fel'!P10+'5 GSZNR fel'!P17</f>
        <v>0</v>
      </c>
      <c r="Q38" s="503">
        <f t="shared" si="4"/>
        <v>8635070</v>
      </c>
    </row>
    <row r="39" spans="1:17" x14ac:dyDescent="0.25">
      <c r="A39" s="311" t="s">
        <v>315</v>
      </c>
      <c r="B39" s="312" t="s">
        <v>292</v>
      </c>
      <c r="C39" s="313">
        <f>'5 GSZNR fel'!E11+'5 GSZNR fel'!E18</f>
        <v>17945800</v>
      </c>
      <c r="D39" s="313">
        <f>'5 GSZNR fel'!D11+'5 GSZNR fel'!D18</f>
        <v>0</v>
      </c>
      <c r="E39" s="313">
        <f t="shared" si="0"/>
        <v>17945800</v>
      </c>
      <c r="F39" s="503">
        <f>'5 GSZNR fel'!H11+'5 GSZNR fel'!H18</f>
        <v>17945800</v>
      </c>
      <c r="G39" s="503">
        <f>'5 GSZNR fel'!G11+'5 GSZNR fel'!G18</f>
        <v>0</v>
      </c>
      <c r="H39" s="503">
        <f t="shared" si="1"/>
        <v>17945800</v>
      </c>
      <c r="I39" s="503">
        <f>'5 GSZNR fel'!K11+'5 GSZNR fel'!K18</f>
        <v>15561373</v>
      </c>
      <c r="J39" s="503">
        <f>'5 GSZNR fel'!J11+'5 GSZNR fel'!J18</f>
        <v>0</v>
      </c>
      <c r="K39" s="503">
        <f t="shared" si="2"/>
        <v>15561373</v>
      </c>
      <c r="L39" s="503">
        <f>'5 GSZNR fel'!N11+'5 GSZNR fel'!N18+'5 GSZNR fel'!N21</f>
        <v>15561373</v>
      </c>
      <c r="M39" s="503">
        <f>'5 GSZNR fel'!M11+'5 GSZNR fel'!M18</f>
        <v>0</v>
      </c>
      <c r="N39" s="503">
        <f t="shared" si="3"/>
        <v>15561373</v>
      </c>
      <c r="O39" s="503">
        <f>'5 GSZNR fel'!Q11+'5 GSZNR fel'!Q18+'5 GSZNR fel'!Q21</f>
        <v>10527580</v>
      </c>
      <c r="P39" s="503">
        <f>'5 GSZNR fel'!P11+'5 GSZNR fel'!P18</f>
        <v>0</v>
      </c>
      <c r="Q39" s="503">
        <f t="shared" si="4"/>
        <v>10527580</v>
      </c>
    </row>
    <row r="40" spans="1:17" x14ac:dyDescent="0.25">
      <c r="A40" s="311" t="s">
        <v>336</v>
      </c>
      <c r="B40" s="312" t="s">
        <v>337</v>
      </c>
      <c r="C40" s="313">
        <v>0</v>
      </c>
      <c r="D40" s="313">
        <v>0</v>
      </c>
      <c r="E40" s="313">
        <f t="shared" si="0"/>
        <v>0</v>
      </c>
      <c r="F40" s="503">
        <v>0</v>
      </c>
      <c r="G40" s="503">
        <v>0</v>
      </c>
      <c r="H40" s="503">
        <f t="shared" si="1"/>
        <v>0</v>
      </c>
      <c r="I40" s="503">
        <v>0</v>
      </c>
      <c r="J40" s="503">
        <v>0</v>
      </c>
      <c r="K40" s="503">
        <f t="shared" si="2"/>
        <v>0</v>
      </c>
      <c r="L40" s="503">
        <v>0</v>
      </c>
      <c r="M40" s="503">
        <v>0</v>
      </c>
      <c r="N40" s="503">
        <f t="shared" si="3"/>
        <v>0</v>
      </c>
      <c r="O40" s="503">
        <v>0</v>
      </c>
      <c r="P40" s="503">
        <v>0</v>
      </c>
      <c r="Q40" s="503">
        <f t="shared" si="4"/>
        <v>0</v>
      </c>
    </row>
    <row r="41" spans="1:17" x14ac:dyDescent="0.25">
      <c r="A41" s="311" t="s">
        <v>338</v>
      </c>
      <c r="B41" s="312" t="s">
        <v>339</v>
      </c>
      <c r="C41" s="313">
        <f>+'5 GSZNR fel'!E12</f>
        <v>0</v>
      </c>
      <c r="D41" s="313">
        <f>+'5 GSZNR fel'!D12</f>
        <v>0</v>
      </c>
      <c r="E41" s="313">
        <f t="shared" si="0"/>
        <v>0</v>
      </c>
      <c r="F41" s="503">
        <f>+'5 GSZNR fel'!H12</f>
        <v>14166184</v>
      </c>
      <c r="G41" s="503">
        <f>+'5 GSZNR fel'!G12</f>
        <v>0</v>
      </c>
      <c r="H41" s="503">
        <f t="shared" si="1"/>
        <v>14166184</v>
      </c>
      <c r="I41" s="503">
        <f>+'5 GSZNR fel'!K12</f>
        <v>14166184</v>
      </c>
      <c r="J41" s="503">
        <f>+'5 GSZNR fel'!J12</f>
        <v>0</v>
      </c>
      <c r="K41" s="503">
        <f t="shared" si="2"/>
        <v>14166184</v>
      </c>
      <c r="L41" s="503">
        <f>+'5 GSZNR fel'!N12</f>
        <v>14166184</v>
      </c>
      <c r="M41" s="503">
        <f>+'5 GSZNR fel'!M12</f>
        <v>0</v>
      </c>
      <c r="N41" s="503">
        <f t="shared" si="3"/>
        <v>14166184</v>
      </c>
      <c r="O41" s="503">
        <f>+'5 GSZNR fel'!Q12</f>
        <v>14166184</v>
      </c>
      <c r="P41" s="503">
        <f>+'5 GSZNR fel'!P12</f>
        <v>0</v>
      </c>
      <c r="Q41" s="503">
        <f t="shared" si="4"/>
        <v>14166184</v>
      </c>
    </row>
    <row r="42" spans="1:17" x14ac:dyDescent="0.25">
      <c r="A42" s="308" t="s">
        <v>318</v>
      </c>
      <c r="B42" s="309" t="s">
        <v>340</v>
      </c>
      <c r="C42" s="310">
        <f>SUM(C43:C45)</f>
        <v>1270000</v>
      </c>
      <c r="D42" s="310">
        <f>SUM(D43:D45)</f>
        <v>0</v>
      </c>
      <c r="E42" s="741">
        <f t="shared" si="0"/>
        <v>1270000</v>
      </c>
      <c r="F42" s="501">
        <f>SUM(F43:F45)</f>
        <v>1270000</v>
      </c>
      <c r="G42" s="501">
        <f>SUM(G43:G45)</f>
        <v>0</v>
      </c>
      <c r="H42" s="741">
        <f t="shared" si="1"/>
        <v>1270000</v>
      </c>
      <c r="I42" s="501">
        <f>SUM(I43:I45)</f>
        <v>1270000</v>
      </c>
      <c r="J42" s="501">
        <f>SUM(J43:J45)</f>
        <v>0</v>
      </c>
      <c r="K42" s="741">
        <f t="shared" si="2"/>
        <v>1270000</v>
      </c>
      <c r="L42" s="501">
        <f>SUM(L43:L45)</f>
        <v>1270000</v>
      </c>
      <c r="M42" s="501">
        <f>SUM(M43:M45)</f>
        <v>0</v>
      </c>
      <c r="N42" s="741">
        <f t="shared" si="3"/>
        <v>1270000</v>
      </c>
      <c r="O42" s="501">
        <f>SUM(O43:O45)</f>
        <v>128820</v>
      </c>
      <c r="P42" s="501">
        <f>SUM(P43:P45)</f>
        <v>0</v>
      </c>
      <c r="Q42" s="741">
        <f t="shared" si="4"/>
        <v>128820</v>
      </c>
    </row>
    <row r="43" spans="1:17" x14ac:dyDescent="0.25">
      <c r="A43" s="311" t="s">
        <v>311</v>
      </c>
      <c r="B43" s="312" t="s">
        <v>341</v>
      </c>
      <c r="C43" s="313">
        <f>'5 GSZNR fel'!E13+'5 GSZNR fel'!E19</f>
        <v>1270000</v>
      </c>
      <c r="D43" s="313">
        <f>'5 GSZNR fel'!D13+'5 GSZNR fel'!D19</f>
        <v>0</v>
      </c>
      <c r="E43" s="313">
        <f t="shared" si="0"/>
        <v>1270000</v>
      </c>
      <c r="F43" s="503">
        <f>'5 GSZNR fel'!H13+'5 GSZNR fel'!H19</f>
        <v>1270000</v>
      </c>
      <c r="G43" s="503">
        <f>'5 GSZNR fel'!G13+'5 GSZNR fel'!G19</f>
        <v>0</v>
      </c>
      <c r="H43" s="503">
        <f t="shared" si="1"/>
        <v>1270000</v>
      </c>
      <c r="I43" s="503">
        <f>'5 GSZNR fel'!K13+'5 GSZNR fel'!K19</f>
        <v>1270000</v>
      </c>
      <c r="J43" s="503">
        <f>'5 GSZNR fel'!J13+'5 GSZNR fel'!J19</f>
        <v>0</v>
      </c>
      <c r="K43" s="503">
        <f t="shared" si="2"/>
        <v>1270000</v>
      </c>
      <c r="L43" s="503">
        <f>'5 GSZNR fel'!N13+'5 GSZNR fel'!N19</f>
        <v>1270000</v>
      </c>
      <c r="M43" s="503">
        <f>'5 GSZNR fel'!M13+'5 GSZNR fel'!M19</f>
        <v>0</v>
      </c>
      <c r="N43" s="503">
        <f t="shared" si="3"/>
        <v>1270000</v>
      </c>
      <c r="O43" s="503">
        <f>'5 GSZNR fel'!Q13+'5 GSZNR fel'!Q19</f>
        <v>128820</v>
      </c>
      <c r="P43" s="503">
        <f>'5 GSZNR fel'!P13+'5 GSZNR fel'!P19</f>
        <v>0</v>
      </c>
      <c r="Q43" s="503">
        <f t="shared" si="4"/>
        <v>128820</v>
      </c>
    </row>
    <row r="44" spans="1:17" x14ac:dyDescent="0.25">
      <c r="A44" s="311" t="s">
        <v>322</v>
      </c>
      <c r="B44" s="312" t="s">
        <v>342</v>
      </c>
      <c r="C44" s="313">
        <f>'5 GSZNR fel'!E14+'5 GSZNR fel'!E22</f>
        <v>0</v>
      </c>
      <c r="D44" s="313">
        <v>0</v>
      </c>
      <c r="E44" s="313">
        <f t="shared" si="0"/>
        <v>0</v>
      </c>
      <c r="F44" s="503">
        <f>'5 GSZNR fel'!H14+'5 GSZNR fel'!H22</f>
        <v>0</v>
      </c>
      <c r="G44" s="503">
        <v>0</v>
      </c>
      <c r="H44" s="503">
        <f t="shared" si="1"/>
        <v>0</v>
      </c>
      <c r="I44" s="503">
        <f>'5 GSZNR fel'!K14+'5 GSZNR fel'!K22</f>
        <v>0</v>
      </c>
      <c r="J44" s="503">
        <v>0</v>
      </c>
      <c r="K44" s="503">
        <f t="shared" si="2"/>
        <v>0</v>
      </c>
      <c r="L44" s="503">
        <f>'5 GSZNR fel'!N14+'5 GSZNR fel'!N22</f>
        <v>0</v>
      </c>
      <c r="M44" s="503">
        <v>0</v>
      </c>
      <c r="N44" s="503">
        <f t="shared" si="3"/>
        <v>0</v>
      </c>
      <c r="O44" s="503">
        <f>'5 GSZNR fel'!Q14+'5 GSZNR fel'!Q22</f>
        <v>0</v>
      </c>
      <c r="P44" s="503">
        <v>0</v>
      </c>
      <c r="Q44" s="503">
        <f t="shared" si="4"/>
        <v>0</v>
      </c>
    </row>
    <row r="45" spans="1:17" x14ac:dyDescent="0.25">
      <c r="A45" s="311" t="s">
        <v>315</v>
      </c>
      <c r="B45" s="312" t="s">
        <v>343</v>
      </c>
      <c r="C45" s="313">
        <v>0</v>
      </c>
      <c r="D45" s="313">
        <v>0</v>
      </c>
      <c r="E45" s="313">
        <f t="shared" si="0"/>
        <v>0</v>
      </c>
      <c r="F45" s="503">
        <v>0</v>
      </c>
      <c r="G45" s="503">
        <v>0</v>
      </c>
      <c r="H45" s="503">
        <f t="shared" si="1"/>
        <v>0</v>
      </c>
      <c r="I45" s="503">
        <v>0</v>
      </c>
      <c r="J45" s="503">
        <v>0</v>
      </c>
      <c r="K45" s="503">
        <f t="shared" si="2"/>
        <v>0</v>
      </c>
      <c r="L45" s="503">
        <v>0</v>
      </c>
      <c r="M45" s="503">
        <v>0</v>
      </c>
      <c r="N45" s="503">
        <f t="shared" si="3"/>
        <v>0</v>
      </c>
      <c r="O45" s="503">
        <v>0</v>
      </c>
      <c r="P45" s="503">
        <v>0</v>
      </c>
      <c r="Q45" s="503">
        <f t="shared" si="4"/>
        <v>0</v>
      </c>
    </row>
    <row r="46" spans="1:17" x14ac:dyDescent="0.25">
      <c r="A46" s="319"/>
      <c r="B46" s="320" t="s">
        <v>344</v>
      </c>
      <c r="C46" s="292">
        <f>C36+C42</f>
        <v>83195430</v>
      </c>
      <c r="D46" s="292">
        <f>D36+D42</f>
        <v>0</v>
      </c>
      <c r="E46" s="292">
        <f t="shared" si="0"/>
        <v>83195430</v>
      </c>
      <c r="F46" s="292">
        <f>F36+F42</f>
        <v>97361614</v>
      </c>
      <c r="G46" s="292">
        <f>G36+G42</f>
        <v>0</v>
      </c>
      <c r="H46" s="292">
        <f t="shared" si="1"/>
        <v>97361614</v>
      </c>
      <c r="I46" s="292">
        <f>I36+I42</f>
        <v>94977187</v>
      </c>
      <c r="J46" s="292">
        <f>J36+J42</f>
        <v>0</v>
      </c>
      <c r="K46" s="292">
        <f t="shared" si="2"/>
        <v>94977187</v>
      </c>
      <c r="L46" s="292">
        <f>L36+L42</f>
        <v>94977187</v>
      </c>
      <c r="M46" s="292">
        <f>M36+M42</f>
        <v>0</v>
      </c>
      <c r="N46" s="292">
        <f t="shared" si="3"/>
        <v>94977187</v>
      </c>
      <c r="O46" s="292">
        <f>O36+O42</f>
        <v>84094862</v>
      </c>
      <c r="P46" s="292">
        <f>P36+P42</f>
        <v>0</v>
      </c>
      <c r="Q46" s="292">
        <f t="shared" si="4"/>
        <v>84094862</v>
      </c>
    </row>
    <row r="47" spans="1:17" x14ac:dyDescent="0.25">
      <c r="H47" s="39">
        <f>+H46-E46</f>
        <v>14166184</v>
      </c>
      <c r="K47" s="39">
        <f>+K46-H46</f>
        <v>-2384427</v>
      </c>
      <c r="N47" s="39">
        <f>+N46-K46</f>
        <v>0</v>
      </c>
      <c r="Q47" s="39">
        <f>+Q46-N46</f>
        <v>-10882325</v>
      </c>
    </row>
  </sheetData>
  <mergeCells count="7">
    <mergeCell ref="O4:Q4"/>
    <mergeCell ref="A4:A5"/>
    <mergeCell ref="C4:E4"/>
    <mergeCell ref="B4:B5"/>
    <mergeCell ref="F4:H4"/>
    <mergeCell ref="I4:K4"/>
    <mergeCell ref="L4:N4"/>
  </mergeCells>
  <printOptions horizontalCentered="1"/>
  <pageMargins left="0.19685039370078741" right="0.19685039370078741" top="0.82677165354330717" bottom="0.19685039370078741" header="0.31496062992125984" footer="0.31496062992125984"/>
  <pageSetup paperSize="9" scale="80" fitToWidth="0" fitToHeight="0" orientation="landscape" copies="2" r:id="rId1"/>
  <headerFooter>
    <oddHeader>&amp;L4/A.  melléklet a ......./2021. (.................) önkormányzati rendelethez&amp;C&amp;"-,Félkövér"&amp;16
A Walla József Óvoda 2020. évi bevételei és kiadásai jogcímenként és feladatonként</oddHeader>
    <oddFooter>&amp;C&amp;P&amp;R&amp;D, &amp;T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Q47"/>
  <sheetViews>
    <sheetView view="pageBreakPreview" zoomScale="96" zoomScaleNormal="100" zoomScaleSheetLayoutView="96" workbookViewId="0">
      <selection activeCell="B3" sqref="B3"/>
    </sheetView>
  </sheetViews>
  <sheetFormatPr defaultRowHeight="15" x14ac:dyDescent="0.25"/>
  <cols>
    <col min="1" max="1" width="7.140625" style="30" customWidth="1"/>
    <col min="2" max="2" width="52.140625" customWidth="1"/>
    <col min="3" max="3" width="13.28515625" hidden="1" customWidth="1"/>
    <col min="4" max="4" width="0" hidden="1" customWidth="1"/>
    <col min="5" max="5" width="16.5703125" hidden="1" customWidth="1"/>
    <col min="6" max="6" width="13.28515625" hidden="1" customWidth="1"/>
    <col min="7" max="7" width="0" hidden="1" customWidth="1"/>
    <col min="8" max="8" width="16.5703125" hidden="1" customWidth="1"/>
    <col min="9" max="9" width="13.28515625" customWidth="1"/>
    <col min="11" max="11" width="16.5703125" bestFit="1" customWidth="1"/>
    <col min="12" max="12" width="13.28515625" customWidth="1"/>
    <col min="14" max="14" width="16.5703125" bestFit="1" customWidth="1"/>
    <col min="15" max="15" width="13.28515625" hidden="1" customWidth="1"/>
    <col min="16" max="16" width="0" hidden="1" customWidth="1"/>
    <col min="17" max="17" width="16.5703125" hidden="1" customWidth="1"/>
  </cols>
  <sheetData>
    <row r="1" spans="1:17" x14ac:dyDescent="0.25">
      <c r="E1" s="31"/>
      <c r="H1" s="31"/>
      <c r="K1" s="31"/>
      <c r="N1" s="31" t="s">
        <v>1662</v>
      </c>
    </row>
    <row r="2" spans="1:17" ht="15" customHeight="1" x14ac:dyDescent="0.25">
      <c r="A2" s="304" t="s">
        <v>303</v>
      </c>
      <c r="B2" s="304" t="s">
        <v>1423</v>
      </c>
      <c r="C2" s="518"/>
      <c r="D2" s="518"/>
      <c r="E2" s="518"/>
      <c r="F2" s="518"/>
      <c r="G2" s="518"/>
      <c r="H2" s="518"/>
      <c r="I2" s="518"/>
      <c r="J2" s="518"/>
      <c r="K2" s="518"/>
      <c r="L2" s="518"/>
      <c r="M2" s="518"/>
      <c r="N2" s="518"/>
      <c r="O2" s="518"/>
      <c r="P2" s="518"/>
      <c r="Q2" s="518"/>
    </row>
    <row r="3" spans="1:17" x14ac:dyDescent="0.25">
      <c r="A3" s="304" t="s">
        <v>304</v>
      </c>
      <c r="B3" s="304" t="s">
        <v>1481</v>
      </c>
      <c r="C3" s="518"/>
      <c r="D3" s="518"/>
      <c r="E3" s="518"/>
      <c r="F3" s="518"/>
      <c r="G3" s="518"/>
      <c r="H3" s="518"/>
      <c r="I3" s="518"/>
      <c r="J3" s="518"/>
      <c r="K3" s="518"/>
      <c r="L3" s="518"/>
      <c r="M3" s="518"/>
      <c r="N3" s="518"/>
      <c r="O3" s="518"/>
      <c r="P3" s="518"/>
      <c r="Q3" s="518"/>
    </row>
    <row r="4" spans="1:17" ht="57.75" customHeight="1" x14ac:dyDescent="0.25">
      <c r="A4" s="938" t="s">
        <v>305</v>
      </c>
      <c r="B4" s="965" t="s">
        <v>306</v>
      </c>
      <c r="C4" s="939" t="s">
        <v>1654</v>
      </c>
      <c r="D4" s="936"/>
      <c r="E4" s="940"/>
      <c r="F4" s="939" t="s">
        <v>1760</v>
      </c>
      <c r="G4" s="936"/>
      <c r="H4" s="940"/>
      <c r="I4" s="939" t="s">
        <v>1795</v>
      </c>
      <c r="J4" s="936"/>
      <c r="K4" s="940"/>
      <c r="L4" s="939" t="s">
        <v>1803</v>
      </c>
      <c r="M4" s="936"/>
      <c r="N4" s="940"/>
      <c r="O4" s="962" t="s">
        <v>1807</v>
      </c>
      <c r="P4" s="936"/>
      <c r="Q4" s="940"/>
    </row>
    <row r="5" spans="1:17" ht="60" x14ac:dyDescent="0.25">
      <c r="A5" s="938"/>
      <c r="B5" s="965"/>
      <c r="C5" s="516" t="s">
        <v>1300</v>
      </c>
      <c r="D5" s="516" t="s">
        <v>1301</v>
      </c>
      <c r="E5" s="516" t="s">
        <v>550</v>
      </c>
      <c r="F5" s="690" t="s">
        <v>1300</v>
      </c>
      <c r="G5" s="690" t="s">
        <v>1301</v>
      </c>
      <c r="H5" s="690" t="s">
        <v>550</v>
      </c>
      <c r="I5" s="690" t="s">
        <v>1300</v>
      </c>
      <c r="J5" s="690" t="s">
        <v>1301</v>
      </c>
      <c r="K5" s="690" t="s">
        <v>550</v>
      </c>
      <c r="L5" s="690" t="s">
        <v>1300</v>
      </c>
      <c r="M5" s="690" t="s">
        <v>1301</v>
      </c>
      <c r="N5" s="690" t="s">
        <v>550</v>
      </c>
      <c r="O5" s="690" t="s">
        <v>1300</v>
      </c>
      <c r="P5" s="690" t="s">
        <v>1301</v>
      </c>
      <c r="Q5" s="690" t="s">
        <v>550</v>
      </c>
    </row>
    <row r="6" spans="1:17" x14ac:dyDescent="0.25">
      <c r="A6" s="305"/>
      <c r="B6" s="306" t="s">
        <v>307</v>
      </c>
      <c r="C6" s="307">
        <v>32</v>
      </c>
      <c r="D6" s="307"/>
      <c r="E6" s="307">
        <f t="shared" ref="E6:E46" si="0">SUM(C6:D6)</f>
        <v>32</v>
      </c>
      <c r="F6" s="307">
        <v>32</v>
      </c>
      <c r="G6" s="307"/>
      <c r="H6" s="307">
        <f t="shared" ref="H6:H46" si="1">SUM(F6:G6)</f>
        <v>32</v>
      </c>
      <c r="I6" s="307">
        <v>32</v>
      </c>
      <c r="J6" s="307"/>
      <c r="K6" s="307">
        <f t="shared" ref="K6:K46" si="2">SUM(I6:J6)</f>
        <v>32</v>
      </c>
      <c r="L6" s="307">
        <v>32</v>
      </c>
      <c r="M6" s="307"/>
      <c r="N6" s="307">
        <f t="shared" ref="N6:N46" si="3">SUM(L6:M6)</f>
        <v>32</v>
      </c>
      <c r="O6" s="307">
        <v>32</v>
      </c>
      <c r="P6" s="307"/>
      <c r="Q6" s="307">
        <f t="shared" ref="Q6:Q46" si="4">SUM(O6:P6)</f>
        <v>32</v>
      </c>
    </row>
    <row r="7" spans="1:17" x14ac:dyDescent="0.25">
      <c r="A7" s="305"/>
      <c r="B7" s="306" t="s">
        <v>308</v>
      </c>
      <c r="C7" s="307"/>
      <c r="D7" s="307"/>
      <c r="E7" s="307">
        <f t="shared" si="0"/>
        <v>0</v>
      </c>
      <c r="F7" s="307"/>
      <c r="G7" s="307"/>
      <c r="H7" s="307">
        <f t="shared" si="1"/>
        <v>0</v>
      </c>
      <c r="I7" s="307"/>
      <c r="J7" s="307"/>
      <c r="K7" s="307">
        <f t="shared" si="2"/>
        <v>0</v>
      </c>
      <c r="L7" s="307"/>
      <c r="M7" s="307"/>
      <c r="N7" s="307">
        <f t="shared" si="3"/>
        <v>0</v>
      </c>
      <c r="O7" s="307"/>
      <c r="P7" s="307"/>
      <c r="Q7" s="307">
        <f t="shared" si="4"/>
        <v>0</v>
      </c>
    </row>
    <row r="8" spans="1:17" x14ac:dyDescent="0.25">
      <c r="A8" s="308" t="s">
        <v>309</v>
      </c>
      <c r="B8" s="309" t="s">
        <v>310</v>
      </c>
      <c r="C8" s="310">
        <f>C9+C11+C20</f>
        <v>6300000</v>
      </c>
      <c r="D8" s="310">
        <f>D9+D11+D20</f>
        <v>0</v>
      </c>
      <c r="E8" s="310">
        <f t="shared" si="0"/>
        <v>6300000</v>
      </c>
      <c r="F8" s="501">
        <f>F9+F11+F20</f>
        <v>6300000</v>
      </c>
      <c r="G8" s="501">
        <f>G9+G11+G20</f>
        <v>0</v>
      </c>
      <c r="H8" s="501">
        <f t="shared" si="1"/>
        <v>6300000</v>
      </c>
      <c r="I8" s="501">
        <f>I9+I11+I20</f>
        <v>6300000</v>
      </c>
      <c r="J8" s="501">
        <f>J9+J11+J20</f>
        <v>0</v>
      </c>
      <c r="K8" s="501">
        <f t="shared" si="2"/>
        <v>6300000</v>
      </c>
      <c r="L8" s="501">
        <f>L9+L11+L20</f>
        <v>6300000</v>
      </c>
      <c r="M8" s="501">
        <f>M9+M11+M20</f>
        <v>0</v>
      </c>
      <c r="N8" s="501">
        <f t="shared" si="3"/>
        <v>6300000</v>
      </c>
      <c r="O8" s="501">
        <f>O9+O11+O20</f>
        <v>4400381</v>
      </c>
      <c r="P8" s="501">
        <f>P9+P11+P20</f>
        <v>0</v>
      </c>
      <c r="Q8" s="501">
        <f t="shared" si="4"/>
        <v>4400381</v>
      </c>
    </row>
    <row r="9" spans="1:17" x14ac:dyDescent="0.25">
      <c r="A9" s="311" t="s">
        <v>311</v>
      </c>
      <c r="B9" s="312" t="s">
        <v>312</v>
      </c>
      <c r="C9" s="313">
        <f>C10</f>
        <v>0</v>
      </c>
      <c r="D9" s="313">
        <f>D10</f>
        <v>0</v>
      </c>
      <c r="E9" s="313">
        <f t="shared" si="0"/>
        <v>0</v>
      </c>
      <c r="F9" s="503">
        <f>F10</f>
        <v>0</v>
      </c>
      <c r="G9" s="503">
        <f>G10</f>
        <v>0</v>
      </c>
      <c r="H9" s="503">
        <f t="shared" si="1"/>
        <v>0</v>
      </c>
      <c r="I9" s="503">
        <f>I10</f>
        <v>0</v>
      </c>
      <c r="J9" s="503">
        <f>J10</f>
        <v>0</v>
      </c>
      <c r="K9" s="503">
        <f t="shared" si="2"/>
        <v>0</v>
      </c>
      <c r="L9" s="503">
        <f>L10</f>
        <v>0</v>
      </c>
      <c r="M9" s="503">
        <f>M10</f>
        <v>0</v>
      </c>
      <c r="N9" s="503">
        <f t="shared" si="3"/>
        <v>0</v>
      </c>
      <c r="O9" s="503">
        <f>O10</f>
        <v>0</v>
      </c>
      <c r="P9" s="503">
        <f>P10</f>
        <v>0</v>
      </c>
      <c r="Q9" s="503">
        <f t="shared" si="4"/>
        <v>0</v>
      </c>
    </row>
    <row r="10" spans="1:17" ht="30" hidden="1" customHeight="1" x14ac:dyDescent="0.25">
      <c r="A10" s="346"/>
      <c r="B10" s="314" t="s">
        <v>313</v>
      </c>
      <c r="C10" s="235">
        <v>0</v>
      </c>
      <c r="D10" s="235">
        <v>0</v>
      </c>
      <c r="E10" s="235">
        <f t="shared" si="0"/>
        <v>0</v>
      </c>
      <c r="F10" s="235">
        <v>0</v>
      </c>
      <c r="G10" s="235">
        <v>0</v>
      </c>
      <c r="H10" s="235">
        <f t="shared" si="1"/>
        <v>0</v>
      </c>
      <c r="I10" s="235">
        <v>0</v>
      </c>
      <c r="J10" s="235">
        <v>0</v>
      </c>
      <c r="K10" s="235">
        <f t="shared" si="2"/>
        <v>0</v>
      </c>
      <c r="L10" s="235">
        <v>0</v>
      </c>
      <c r="M10" s="235">
        <v>0</v>
      </c>
      <c r="N10" s="235">
        <f t="shared" si="3"/>
        <v>0</v>
      </c>
      <c r="O10" s="235">
        <v>0</v>
      </c>
      <c r="P10" s="235">
        <v>0</v>
      </c>
      <c r="Q10" s="235">
        <f t="shared" si="4"/>
        <v>0</v>
      </c>
    </row>
    <row r="11" spans="1:17" x14ac:dyDescent="0.25">
      <c r="A11" s="311" t="s">
        <v>322</v>
      </c>
      <c r="B11" s="312" t="s">
        <v>314</v>
      </c>
      <c r="C11" s="313">
        <f>C12+C13+C14+C15+C16+C17+C18+C19</f>
        <v>6300000</v>
      </c>
      <c r="D11" s="313">
        <f>D12+D13+D14+D15+D16+D17+D18+D19</f>
        <v>0</v>
      </c>
      <c r="E11" s="313">
        <f t="shared" si="0"/>
        <v>6300000</v>
      </c>
      <c r="F11" s="503">
        <f>F12+F13+F14+F15+F16+F17+F18+F19</f>
        <v>6300000</v>
      </c>
      <c r="G11" s="503">
        <f>G12+G13+G14+G15+G16+G17+G18+G19</f>
        <v>0</v>
      </c>
      <c r="H11" s="503">
        <f t="shared" si="1"/>
        <v>6300000</v>
      </c>
      <c r="I11" s="503">
        <f>I12+I13+I14+I15+I16+I17+I18+I19</f>
        <v>6300000</v>
      </c>
      <c r="J11" s="503">
        <f>J12+J13+J14+J15+J16+J17+J18+J19</f>
        <v>0</v>
      </c>
      <c r="K11" s="503">
        <f t="shared" si="2"/>
        <v>6300000</v>
      </c>
      <c r="L11" s="503">
        <f>L12+L13+L14+L15+L16+L17+L18+L19</f>
        <v>6300000</v>
      </c>
      <c r="M11" s="503">
        <f>M12+M13+M14+M15+M16+M17+M18+M19</f>
        <v>0</v>
      </c>
      <c r="N11" s="503">
        <f t="shared" si="3"/>
        <v>6300000</v>
      </c>
      <c r="O11" s="503">
        <f>O12+O13+O14+O15+O16+O17+O18+O19</f>
        <v>4400381</v>
      </c>
      <c r="P11" s="503">
        <f>P12+P13+P14+P15+P16+P17+P18+P19</f>
        <v>0</v>
      </c>
      <c r="Q11" s="503">
        <f t="shared" si="4"/>
        <v>4400381</v>
      </c>
    </row>
    <row r="12" spans="1:17" x14ac:dyDescent="0.25">
      <c r="A12" s="346"/>
      <c r="B12" s="314" t="s">
        <v>651</v>
      </c>
      <c r="C12" s="235">
        <v>0</v>
      </c>
      <c r="D12" s="235">
        <v>0</v>
      </c>
      <c r="E12" s="235">
        <f t="shared" si="0"/>
        <v>0</v>
      </c>
      <c r="F12" s="235">
        <v>0</v>
      </c>
      <c r="G12" s="235">
        <v>0</v>
      </c>
      <c r="H12" s="235">
        <f t="shared" si="1"/>
        <v>0</v>
      </c>
      <c r="I12" s="235">
        <v>0</v>
      </c>
      <c r="J12" s="235">
        <v>0</v>
      </c>
      <c r="K12" s="235">
        <f t="shared" si="2"/>
        <v>0</v>
      </c>
      <c r="L12" s="235">
        <v>0</v>
      </c>
      <c r="M12" s="235">
        <v>0</v>
      </c>
      <c r="N12" s="235">
        <f t="shared" si="3"/>
        <v>0</v>
      </c>
      <c r="O12" s="235">
        <v>0</v>
      </c>
      <c r="P12" s="235">
        <v>0</v>
      </c>
      <c r="Q12" s="235">
        <f t="shared" si="4"/>
        <v>0</v>
      </c>
    </row>
    <row r="13" spans="1:17" x14ac:dyDescent="0.25">
      <c r="A13" s="346"/>
      <c r="B13" s="314" t="s">
        <v>652</v>
      </c>
      <c r="C13" s="315">
        <v>0</v>
      </c>
      <c r="D13" s="315">
        <v>0</v>
      </c>
      <c r="E13" s="315">
        <f t="shared" si="0"/>
        <v>0</v>
      </c>
      <c r="F13" s="315">
        <v>0</v>
      </c>
      <c r="G13" s="315">
        <v>0</v>
      </c>
      <c r="H13" s="315">
        <f t="shared" si="1"/>
        <v>0</v>
      </c>
      <c r="I13" s="315">
        <v>0</v>
      </c>
      <c r="J13" s="315">
        <v>0</v>
      </c>
      <c r="K13" s="315">
        <f t="shared" si="2"/>
        <v>0</v>
      </c>
      <c r="L13" s="315">
        <v>0</v>
      </c>
      <c r="M13" s="315">
        <v>0</v>
      </c>
      <c r="N13" s="315">
        <f t="shared" si="3"/>
        <v>0</v>
      </c>
      <c r="O13" s="315">
        <v>0</v>
      </c>
      <c r="P13" s="315">
        <v>0</v>
      </c>
      <c r="Q13" s="315">
        <f t="shared" si="4"/>
        <v>0</v>
      </c>
    </row>
    <row r="14" spans="1:17" x14ac:dyDescent="0.25">
      <c r="A14" s="346"/>
      <c r="B14" s="314" t="s">
        <v>659</v>
      </c>
      <c r="C14" s="315">
        <v>0</v>
      </c>
      <c r="D14" s="315">
        <v>0</v>
      </c>
      <c r="E14" s="315">
        <f t="shared" si="0"/>
        <v>0</v>
      </c>
      <c r="F14" s="315">
        <v>0</v>
      </c>
      <c r="G14" s="315">
        <v>0</v>
      </c>
      <c r="H14" s="315">
        <f t="shared" si="1"/>
        <v>0</v>
      </c>
      <c r="I14" s="315">
        <v>0</v>
      </c>
      <c r="J14" s="315">
        <v>0</v>
      </c>
      <c r="K14" s="315">
        <f t="shared" si="2"/>
        <v>0</v>
      </c>
      <c r="L14" s="315">
        <v>0</v>
      </c>
      <c r="M14" s="315">
        <v>0</v>
      </c>
      <c r="N14" s="315">
        <f t="shared" si="3"/>
        <v>0</v>
      </c>
      <c r="O14" s="315">
        <v>0</v>
      </c>
      <c r="P14" s="315">
        <v>0</v>
      </c>
      <c r="Q14" s="315">
        <f t="shared" si="4"/>
        <v>0</v>
      </c>
    </row>
    <row r="15" spans="1:17" x14ac:dyDescent="0.25">
      <c r="A15" s="346"/>
      <c r="B15" s="314" t="s">
        <v>660</v>
      </c>
      <c r="C15" s="235">
        <v>4300000</v>
      </c>
      <c r="D15" s="235">
        <v>0</v>
      </c>
      <c r="E15" s="235">
        <f t="shared" si="0"/>
        <v>4300000</v>
      </c>
      <c r="F15" s="235">
        <v>4300000</v>
      </c>
      <c r="G15" s="235">
        <v>0</v>
      </c>
      <c r="H15" s="235">
        <f t="shared" si="1"/>
        <v>4300000</v>
      </c>
      <c r="I15" s="235">
        <v>4300000</v>
      </c>
      <c r="J15" s="235">
        <v>0</v>
      </c>
      <c r="K15" s="235">
        <f t="shared" si="2"/>
        <v>4300000</v>
      </c>
      <c r="L15" s="235">
        <v>4300000</v>
      </c>
      <c r="M15" s="235">
        <v>0</v>
      </c>
      <c r="N15" s="235">
        <f t="shared" si="3"/>
        <v>4300000</v>
      </c>
      <c r="O15" s="235">
        <v>3081558</v>
      </c>
      <c r="P15" s="235">
        <v>0</v>
      </c>
      <c r="Q15" s="235">
        <f t="shared" si="4"/>
        <v>3081558</v>
      </c>
    </row>
    <row r="16" spans="1:17" x14ac:dyDescent="0.25">
      <c r="A16" s="346"/>
      <c r="B16" s="314" t="s">
        <v>661</v>
      </c>
      <c r="C16" s="235">
        <v>1200000</v>
      </c>
      <c r="D16" s="235">
        <v>0</v>
      </c>
      <c r="E16" s="235">
        <f t="shared" si="0"/>
        <v>1200000</v>
      </c>
      <c r="F16" s="235">
        <v>1200000</v>
      </c>
      <c r="G16" s="235">
        <v>0</v>
      </c>
      <c r="H16" s="235">
        <f t="shared" si="1"/>
        <v>1200000</v>
      </c>
      <c r="I16" s="235">
        <v>1200000</v>
      </c>
      <c r="J16" s="235">
        <v>0</v>
      </c>
      <c r="K16" s="235">
        <f t="shared" si="2"/>
        <v>1200000</v>
      </c>
      <c r="L16" s="235">
        <v>1200000</v>
      </c>
      <c r="M16" s="235">
        <v>0</v>
      </c>
      <c r="N16" s="235">
        <f t="shared" si="3"/>
        <v>1200000</v>
      </c>
      <c r="O16" s="235">
        <v>832022</v>
      </c>
      <c r="P16" s="235">
        <v>0</v>
      </c>
      <c r="Q16" s="235">
        <f t="shared" si="4"/>
        <v>832022</v>
      </c>
    </row>
    <row r="17" spans="1:17" x14ac:dyDescent="0.25">
      <c r="A17" s="346"/>
      <c r="B17" s="314" t="s">
        <v>662</v>
      </c>
      <c r="C17" s="235">
        <v>800000</v>
      </c>
      <c r="D17" s="235">
        <v>0</v>
      </c>
      <c r="E17" s="235">
        <f t="shared" si="0"/>
        <v>800000</v>
      </c>
      <c r="F17" s="235">
        <v>800000</v>
      </c>
      <c r="G17" s="235">
        <v>0</v>
      </c>
      <c r="H17" s="235">
        <f t="shared" si="1"/>
        <v>800000</v>
      </c>
      <c r="I17" s="235">
        <v>800000</v>
      </c>
      <c r="J17" s="235">
        <v>0</v>
      </c>
      <c r="K17" s="235">
        <f t="shared" si="2"/>
        <v>800000</v>
      </c>
      <c r="L17" s="235">
        <v>800000</v>
      </c>
      <c r="M17" s="235">
        <v>0</v>
      </c>
      <c r="N17" s="235">
        <f t="shared" si="3"/>
        <v>800000</v>
      </c>
      <c r="O17" s="235">
        <v>482000</v>
      </c>
      <c r="P17" s="235">
        <v>0</v>
      </c>
      <c r="Q17" s="235">
        <f t="shared" si="4"/>
        <v>482000</v>
      </c>
    </row>
    <row r="18" spans="1:17" x14ac:dyDescent="0.25">
      <c r="A18" s="346"/>
      <c r="B18" s="314" t="s">
        <v>663</v>
      </c>
      <c r="C18" s="235">
        <v>0</v>
      </c>
      <c r="D18" s="235">
        <v>0</v>
      </c>
      <c r="E18" s="235">
        <f t="shared" si="0"/>
        <v>0</v>
      </c>
      <c r="F18" s="235">
        <v>0</v>
      </c>
      <c r="G18" s="235">
        <v>0</v>
      </c>
      <c r="H18" s="235">
        <f t="shared" si="1"/>
        <v>0</v>
      </c>
      <c r="I18" s="235">
        <v>0</v>
      </c>
      <c r="J18" s="235">
        <v>0</v>
      </c>
      <c r="K18" s="235">
        <f t="shared" si="2"/>
        <v>0</v>
      </c>
      <c r="L18" s="235">
        <v>0</v>
      </c>
      <c r="M18" s="235">
        <v>0</v>
      </c>
      <c r="N18" s="235">
        <f t="shared" si="3"/>
        <v>0</v>
      </c>
      <c r="O18" s="235">
        <v>0</v>
      </c>
      <c r="P18" s="235">
        <v>0</v>
      </c>
      <c r="Q18" s="235">
        <f t="shared" si="4"/>
        <v>0</v>
      </c>
    </row>
    <row r="19" spans="1:17" x14ac:dyDescent="0.25">
      <c r="A19" s="346"/>
      <c r="B19" s="314" t="s">
        <v>664</v>
      </c>
      <c r="C19" s="235">
        <v>0</v>
      </c>
      <c r="D19" s="235">
        <v>0</v>
      </c>
      <c r="E19" s="235">
        <f t="shared" si="0"/>
        <v>0</v>
      </c>
      <c r="F19" s="235">
        <v>0</v>
      </c>
      <c r="G19" s="235">
        <v>0</v>
      </c>
      <c r="H19" s="235">
        <f t="shared" si="1"/>
        <v>0</v>
      </c>
      <c r="I19" s="235">
        <v>0</v>
      </c>
      <c r="J19" s="235">
        <v>0</v>
      </c>
      <c r="K19" s="235">
        <f t="shared" si="2"/>
        <v>0</v>
      </c>
      <c r="L19" s="235">
        <v>0</v>
      </c>
      <c r="M19" s="235">
        <v>0</v>
      </c>
      <c r="N19" s="235">
        <f t="shared" si="3"/>
        <v>0</v>
      </c>
      <c r="O19" s="235">
        <v>4801</v>
      </c>
      <c r="P19" s="235">
        <v>0</v>
      </c>
      <c r="Q19" s="235">
        <f t="shared" si="4"/>
        <v>4801</v>
      </c>
    </row>
    <row r="20" spans="1:17" x14ac:dyDescent="0.25">
      <c r="A20" s="311" t="s">
        <v>315</v>
      </c>
      <c r="B20" s="312" t="s">
        <v>316</v>
      </c>
      <c r="C20" s="313">
        <f>SUM(C21:C21)</f>
        <v>0</v>
      </c>
      <c r="D20" s="313">
        <f>SUM(D21:D21)</f>
        <v>0</v>
      </c>
      <c r="E20" s="313">
        <f t="shared" si="0"/>
        <v>0</v>
      </c>
      <c r="F20" s="503">
        <f>SUM(F21:F21)</f>
        <v>0</v>
      </c>
      <c r="G20" s="503">
        <f>SUM(G21:G21)</f>
        <v>0</v>
      </c>
      <c r="H20" s="503">
        <f t="shared" si="1"/>
        <v>0</v>
      </c>
      <c r="I20" s="503">
        <f>SUM(I21:I21)</f>
        <v>0</v>
      </c>
      <c r="J20" s="503">
        <f>SUM(J21:J21)</f>
        <v>0</v>
      </c>
      <c r="K20" s="503">
        <f t="shared" si="2"/>
        <v>0</v>
      </c>
      <c r="L20" s="503">
        <f>SUM(L21:L21)</f>
        <v>0</v>
      </c>
      <c r="M20" s="503">
        <f>SUM(M21:M21)</f>
        <v>0</v>
      </c>
      <c r="N20" s="503">
        <f t="shared" si="3"/>
        <v>0</v>
      </c>
      <c r="O20" s="503">
        <f>SUM(O21:O21)</f>
        <v>0</v>
      </c>
      <c r="P20" s="503">
        <f>SUM(P21:P21)</f>
        <v>0</v>
      </c>
      <c r="Q20" s="503">
        <f t="shared" si="4"/>
        <v>0</v>
      </c>
    </row>
    <row r="21" spans="1:17" ht="15" hidden="1" customHeight="1" x14ac:dyDescent="0.25">
      <c r="A21" s="346"/>
      <c r="B21" s="314" t="s">
        <v>317</v>
      </c>
      <c r="C21" s="235">
        <v>0</v>
      </c>
      <c r="D21" s="235">
        <v>0</v>
      </c>
      <c r="E21" s="235">
        <f t="shared" si="0"/>
        <v>0</v>
      </c>
      <c r="F21" s="235">
        <v>0</v>
      </c>
      <c r="G21" s="235">
        <v>0</v>
      </c>
      <c r="H21" s="235">
        <f t="shared" si="1"/>
        <v>0</v>
      </c>
      <c r="I21" s="235">
        <v>0</v>
      </c>
      <c r="J21" s="235">
        <v>0</v>
      </c>
      <c r="K21" s="235">
        <f t="shared" si="2"/>
        <v>0</v>
      </c>
      <c r="L21" s="235">
        <v>0</v>
      </c>
      <c r="M21" s="235">
        <v>0</v>
      </c>
      <c r="N21" s="235">
        <f t="shared" si="3"/>
        <v>0</v>
      </c>
      <c r="O21" s="235">
        <v>0</v>
      </c>
      <c r="P21" s="235">
        <v>0</v>
      </c>
      <c r="Q21" s="235">
        <f t="shared" si="4"/>
        <v>0</v>
      </c>
    </row>
    <row r="22" spans="1:17" x14ac:dyDescent="0.25">
      <c r="A22" s="308" t="s">
        <v>318</v>
      </c>
      <c r="B22" s="309" t="s">
        <v>319</v>
      </c>
      <c r="C22" s="310">
        <f>C23+C25+C28</f>
        <v>0</v>
      </c>
      <c r="D22" s="310">
        <f>D23+D25+D28</f>
        <v>0</v>
      </c>
      <c r="E22" s="310">
        <f t="shared" si="0"/>
        <v>0</v>
      </c>
      <c r="F22" s="501">
        <f>F23+F25+F28</f>
        <v>0</v>
      </c>
      <c r="G22" s="501">
        <f>G23+G25+G28</f>
        <v>0</v>
      </c>
      <c r="H22" s="501">
        <f t="shared" si="1"/>
        <v>0</v>
      </c>
      <c r="I22" s="501">
        <f>I23+I25+I28</f>
        <v>0</v>
      </c>
      <c r="J22" s="501">
        <f>J23+J25+J28</f>
        <v>0</v>
      </c>
      <c r="K22" s="501">
        <f t="shared" si="2"/>
        <v>0</v>
      </c>
      <c r="L22" s="501">
        <f>L23+L25+L28</f>
        <v>0</v>
      </c>
      <c r="M22" s="501">
        <f>M23+M25+M28</f>
        <v>0</v>
      </c>
      <c r="N22" s="501">
        <f t="shared" si="3"/>
        <v>0</v>
      </c>
      <c r="O22" s="501">
        <f>O23+O25+O28</f>
        <v>0</v>
      </c>
      <c r="P22" s="501">
        <f>P23+P25+P28</f>
        <v>0</v>
      </c>
      <c r="Q22" s="501">
        <f t="shared" si="4"/>
        <v>0</v>
      </c>
    </row>
    <row r="23" spans="1:17" ht="15" hidden="1" customHeight="1" x14ac:dyDescent="0.25">
      <c r="A23" s="311" t="s">
        <v>311</v>
      </c>
      <c r="B23" s="312" t="s">
        <v>320</v>
      </c>
      <c r="C23" s="313">
        <f>SUM(C24:C24)</f>
        <v>0</v>
      </c>
      <c r="D23" s="313">
        <f>SUM(D24:D24)</f>
        <v>0</v>
      </c>
      <c r="E23" s="313">
        <f t="shared" si="0"/>
        <v>0</v>
      </c>
      <c r="F23" s="503">
        <f>SUM(F24:F24)</f>
        <v>0</v>
      </c>
      <c r="G23" s="503">
        <f>SUM(G24:G24)</f>
        <v>0</v>
      </c>
      <c r="H23" s="503">
        <f t="shared" si="1"/>
        <v>0</v>
      </c>
      <c r="I23" s="503">
        <f>SUM(I24:I24)</f>
        <v>0</v>
      </c>
      <c r="J23" s="503">
        <f>SUM(J24:J24)</f>
        <v>0</v>
      </c>
      <c r="K23" s="503">
        <f t="shared" si="2"/>
        <v>0</v>
      </c>
      <c r="L23" s="503">
        <f>SUM(L24:L24)</f>
        <v>0</v>
      </c>
      <c r="M23" s="503">
        <f>SUM(M24:M24)</f>
        <v>0</v>
      </c>
      <c r="N23" s="503">
        <f t="shared" si="3"/>
        <v>0</v>
      </c>
      <c r="O23" s="503">
        <f>SUM(O24:O24)</f>
        <v>0</v>
      </c>
      <c r="P23" s="503">
        <f>SUM(P24:P24)</f>
        <v>0</v>
      </c>
      <c r="Q23" s="503">
        <f t="shared" si="4"/>
        <v>0</v>
      </c>
    </row>
    <row r="24" spans="1:17" ht="30" hidden="1" customHeight="1" x14ac:dyDescent="0.25">
      <c r="A24" s="346"/>
      <c r="B24" s="234" t="s">
        <v>321</v>
      </c>
      <c r="C24" s="235">
        <v>0</v>
      </c>
      <c r="D24" s="235">
        <v>0</v>
      </c>
      <c r="E24" s="235">
        <f t="shared" si="0"/>
        <v>0</v>
      </c>
      <c r="F24" s="235">
        <v>0</v>
      </c>
      <c r="G24" s="235">
        <v>0</v>
      </c>
      <c r="H24" s="235">
        <f t="shared" si="1"/>
        <v>0</v>
      </c>
      <c r="I24" s="235">
        <v>0</v>
      </c>
      <c r="J24" s="235">
        <v>0</v>
      </c>
      <c r="K24" s="235">
        <f t="shared" si="2"/>
        <v>0</v>
      </c>
      <c r="L24" s="235">
        <v>0</v>
      </c>
      <c r="M24" s="235">
        <v>0</v>
      </c>
      <c r="N24" s="235">
        <f t="shared" si="3"/>
        <v>0</v>
      </c>
      <c r="O24" s="235">
        <v>0</v>
      </c>
      <c r="P24" s="235">
        <v>0</v>
      </c>
      <c r="Q24" s="235">
        <f t="shared" si="4"/>
        <v>0</v>
      </c>
    </row>
    <row r="25" spans="1:17" ht="15" hidden="1" customHeight="1" x14ac:dyDescent="0.25">
      <c r="A25" s="311" t="s">
        <v>322</v>
      </c>
      <c r="B25" s="312" t="s">
        <v>257</v>
      </c>
      <c r="C25" s="313">
        <f>SUM(C26:C27)</f>
        <v>0</v>
      </c>
      <c r="D25" s="313">
        <f>SUM(D26:D27)</f>
        <v>0</v>
      </c>
      <c r="E25" s="313">
        <f t="shared" si="0"/>
        <v>0</v>
      </c>
      <c r="F25" s="503">
        <f>SUM(F26:F27)</f>
        <v>0</v>
      </c>
      <c r="G25" s="503">
        <f>SUM(G26:G27)</f>
        <v>0</v>
      </c>
      <c r="H25" s="503">
        <f t="shared" si="1"/>
        <v>0</v>
      </c>
      <c r="I25" s="503">
        <f>SUM(I26:I27)</f>
        <v>0</v>
      </c>
      <c r="J25" s="503">
        <f>SUM(J26:J27)</f>
        <v>0</v>
      </c>
      <c r="K25" s="503">
        <f t="shared" si="2"/>
        <v>0</v>
      </c>
      <c r="L25" s="503">
        <f>SUM(L26:L27)</f>
        <v>0</v>
      </c>
      <c r="M25" s="503">
        <f>SUM(M26:M27)</f>
        <v>0</v>
      </c>
      <c r="N25" s="503">
        <f t="shared" si="3"/>
        <v>0</v>
      </c>
      <c r="O25" s="503">
        <f>SUM(O26:O27)</f>
        <v>0</v>
      </c>
      <c r="P25" s="503">
        <f>SUM(P26:P27)</f>
        <v>0</v>
      </c>
      <c r="Q25" s="503">
        <f t="shared" si="4"/>
        <v>0</v>
      </c>
    </row>
    <row r="26" spans="1:17" ht="15" hidden="1" customHeight="1" x14ac:dyDescent="0.25">
      <c r="A26" s="346"/>
      <c r="B26" s="316" t="s">
        <v>323</v>
      </c>
      <c r="C26" s="235">
        <v>0</v>
      </c>
      <c r="D26" s="235">
        <v>0</v>
      </c>
      <c r="E26" s="235">
        <f t="shared" si="0"/>
        <v>0</v>
      </c>
      <c r="F26" s="235">
        <v>0</v>
      </c>
      <c r="G26" s="235">
        <v>0</v>
      </c>
      <c r="H26" s="235">
        <f t="shared" si="1"/>
        <v>0</v>
      </c>
      <c r="I26" s="235">
        <v>0</v>
      </c>
      <c r="J26" s="235">
        <v>0</v>
      </c>
      <c r="K26" s="235">
        <f t="shared" si="2"/>
        <v>0</v>
      </c>
      <c r="L26" s="235">
        <v>0</v>
      </c>
      <c r="M26" s="235">
        <v>0</v>
      </c>
      <c r="N26" s="235">
        <f t="shared" si="3"/>
        <v>0</v>
      </c>
      <c r="O26" s="235">
        <v>0</v>
      </c>
      <c r="P26" s="235">
        <v>0</v>
      </c>
      <c r="Q26" s="235">
        <f t="shared" si="4"/>
        <v>0</v>
      </c>
    </row>
    <row r="27" spans="1:17" ht="15" hidden="1" customHeight="1" x14ac:dyDescent="0.25">
      <c r="A27" s="346"/>
      <c r="B27" s="316" t="s">
        <v>324</v>
      </c>
      <c r="C27" s="235">
        <v>0</v>
      </c>
      <c r="D27" s="235">
        <v>0</v>
      </c>
      <c r="E27" s="235">
        <f t="shared" si="0"/>
        <v>0</v>
      </c>
      <c r="F27" s="235">
        <v>0</v>
      </c>
      <c r="G27" s="235">
        <v>0</v>
      </c>
      <c r="H27" s="235">
        <f t="shared" si="1"/>
        <v>0</v>
      </c>
      <c r="I27" s="235">
        <v>0</v>
      </c>
      <c r="J27" s="235">
        <v>0</v>
      </c>
      <c r="K27" s="235">
        <f t="shared" si="2"/>
        <v>0</v>
      </c>
      <c r="L27" s="235">
        <v>0</v>
      </c>
      <c r="M27" s="235">
        <v>0</v>
      </c>
      <c r="N27" s="235">
        <f t="shared" si="3"/>
        <v>0</v>
      </c>
      <c r="O27" s="235">
        <v>0</v>
      </c>
      <c r="P27" s="235">
        <v>0</v>
      </c>
      <c r="Q27" s="235">
        <f t="shared" si="4"/>
        <v>0</v>
      </c>
    </row>
    <row r="28" spans="1:17" ht="15" hidden="1" customHeight="1" x14ac:dyDescent="0.25">
      <c r="A28" s="311" t="s">
        <v>315</v>
      </c>
      <c r="B28" s="312" t="s">
        <v>325</v>
      </c>
      <c r="C28" s="313">
        <f>SUM(C29:C29)</f>
        <v>0</v>
      </c>
      <c r="D28" s="313">
        <f>SUM(D29:D29)</f>
        <v>0</v>
      </c>
      <c r="E28" s="313">
        <f t="shared" si="0"/>
        <v>0</v>
      </c>
      <c r="F28" s="503">
        <f>SUM(F29:F29)</f>
        <v>0</v>
      </c>
      <c r="G28" s="503">
        <f>SUM(G29:G29)</f>
        <v>0</v>
      </c>
      <c r="H28" s="503">
        <f t="shared" si="1"/>
        <v>0</v>
      </c>
      <c r="I28" s="503">
        <f>SUM(I29:I29)</f>
        <v>0</v>
      </c>
      <c r="J28" s="503">
        <f>SUM(J29:J29)</f>
        <v>0</v>
      </c>
      <c r="K28" s="503">
        <f t="shared" si="2"/>
        <v>0</v>
      </c>
      <c r="L28" s="503">
        <f>SUM(L29:L29)</f>
        <v>0</v>
      </c>
      <c r="M28" s="503">
        <f>SUM(M29:M29)</f>
        <v>0</v>
      </c>
      <c r="N28" s="503">
        <f t="shared" si="3"/>
        <v>0</v>
      </c>
      <c r="O28" s="503">
        <f>SUM(O29:O29)</f>
        <v>0</v>
      </c>
      <c r="P28" s="503">
        <f>SUM(P29:P29)</f>
        <v>0</v>
      </c>
      <c r="Q28" s="503">
        <f t="shared" si="4"/>
        <v>0</v>
      </c>
    </row>
    <row r="29" spans="1:17" ht="15" hidden="1" customHeight="1" x14ac:dyDescent="0.25">
      <c r="A29" s="346"/>
      <c r="B29" s="316" t="s">
        <v>326</v>
      </c>
      <c r="C29" s="235">
        <v>0</v>
      </c>
      <c r="D29" s="235">
        <v>0</v>
      </c>
      <c r="E29" s="235">
        <f t="shared" si="0"/>
        <v>0</v>
      </c>
      <c r="F29" s="235">
        <v>0</v>
      </c>
      <c r="G29" s="235">
        <v>0</v>
      </c>
      <c r="H29" s="235">
        <f t="shared" si="1"/>
        <v>0</v>
      </c>
      <c r="I29" s="235">
        <v>0</v>
      </c>
      <c r="J29" s="235">
        <v>0</v>
      </c>
      <c r="K29" s="235">
        <f t="shared" si="2"/>
        <v>0</v>
      </c>
      <c r="L29" s="235">
        <v>0</v>
      </c>
      <c r="M29" s="235">
        <v>0</v>
      </c>
      <c r="N29" s="235">
        <f t="shared" si="3"/>
        <v>0</v>
      </c>
      <c r="O29" s="235">
        <v>0</v>
      </c>
      <c r="P29" s="235">
        <v>0</v>
      </c>
      <c r="Q29" s="235">
        <f t="shared" si="4"/>
        <v>0</v>
      </c>
    </row>
    <row r="30" spans="1:17" x14ac:dyDescent="0.25">
      <c r="A30" s="344"/>
      <c r="B30" s="317" t="s">
        <v>327</v>
      </c>
      <c r="C30" s="318">
        <f>C22+C8</f>
        <v>6300000</v>
      </c>
      <c r="D30" s="318">
        <f>D22+D8</f>
        <v>0</v>
      </c>
      <c r="E30" s="318">
        <f t="shared" si="0"/>
        <v>6300000</v>
      </c>
      <c r="F30" s="511">
        <f>F22+F8</f>
        <v>6300000</v>
      </c>
      <c r="G30" s="511">
        <f>G22+G8</f>
        <v>0</v>
      </c>
      <c r="H30" s="511">
        <f t="shared" si="1"/>
        <v>6300000</v>
      </c>
      <c r="I30" s="511">
        <f>I22+I8</f>
        <v>6300000</v>
      </c>
      <c r="J30" s="511">
        <f>J22+J8</f>
        <v>0</v>
      </c>
      <c r="K30" s="511">
        <f t="shared" si="2"/>
        <v>6300000</v>
      </c>
      <c r="L30" s="511">
        <f>L22+L8</f>
        <v>6300000</v>
      </c>
      <c r="M30" s="511">
        <f>M22+M8</f>
        <v>0</v>
      </c>
      <c r="N30" s="511">
        <f t="shared" si="3"/>
        <v>6300000</v>
      </c>
      <c r="O30" s="511">
        <f>O22+O8</f>
        <v>4400381</v>
      </c>
      <c r="P30" s="511">
        <f>P22+P8</f>
        <v>0</v>
      </c>
      <c r="Q30" s="511">
        <f t="shared" si="4"/>
        <v>4400381</v>
      </c>
    </row>
    <row r="31" spans="1:17" x14ac:dyDescent="0.25">
      <c r="A31" s="308" t="s">
        <v>328</v>
      </c>
      <c r="B31" s="309" t="s">
        <v>329</v>
      </c>
      <c r="C31" s="310">
        <f>C32</f>
        <v>197026150</v>
      </c>
      <c r="D31" s="310">
        <f>D32</f>
        <v>0</v>
      </c>
      <c r="E31" s="310">
        <f t="shared" si="0"/>
        <v>197026150</v>
      </c>
      <c r="F31" s="501">
        <f>F32</f>
        <v>205476274</v>
      </c>
      <c r="G31" s="501">
        <f>G32</f>
        <v>0</v>
      </c>
      <c r="H31" s="501">
        <f t="shared" si="1"/>
        <v>205476274</v>
      </c>
      <c r="I31" s="501">
        <f>I32</f>
        <v>200545112</v>
      </c>
      <c r="J31" s="501">
        <f>J32</f>
        <v>0</v>
      </c>
      <c r="K31" s="501">
        <f t="shared" si="2"/>
        <v>200545112</v>
      </c>
      <c r="L31" s="501">
        <f>L32</f>
        <v>200545112</v>
      </c>
      <c r="M31" s="501">
        <f>M32</f>
        <v>0</v>
      </c>
      <c r="N31" s="501">
        <f t="shared" si="3"/>
        <v>200545112</v>
      </c>
      <c r="O31" s="501">
        <f>O32</f>
        <v>185180099</v>
      </c>
      <c r="P31" s="501">
        <f>P32</f>
        <v>0</v>
      </c>
      <c r="Q31" s="501">
        <f t="shared" si="4"/>
        <v>185180099</v>
      </c>
    </row>
    <row r="32" spans="1:17" x14ac:dyDescent="0.25">
      <c r="A32" s="311" t="s">
        <v>311</v>
      </c>
      <c r="B32" s="312" t="s">
        <v>330</v>
      </c>
      <c r="C32" s="313">
        <f>SUM(C33:C34)</f>
        <v>197026150</v>
      </c>
      <c r="D32" s="313">
        <f>SUM(D33:D34)</f>
        <v>0</v>
      </c>
      <c r="E32" s="313">
        <f t="shared" si="0"/>
        <v>197026150</v>
      </c>
      <c r="F32" s="503">
        <f>SUM(F33:F34)</f>
        <v>205476274</v>
      </c>
      <c r="G32" s="503">
        <f>SUM(G33:G34)</f>
        <v>0</v>
      </c>
      <c r="H32" s="503">
        <f t="shared" si="1"/>
        <v>205476274</v>
      </c>
      <c r="I32" s="503">
        <f>SUM(I33:I34)</f>
        <v>200545112</v>
      </c>
      <c r="J32" s="503">
        <f>SUM(J33:J34)</f>
        <v>0</v>
      </c>
      <c r="K32" s="503">
        <f t="shared" si="2"/>
        <v>200545112</v>
      </c>
      <c r="L32" s="503">
        <f>SUM(L33:L34)</f>
        <v>200545112</v>
      </c>
      <c r="M32" s="503">
        <f>SUM(M33:M34)</f>
        <v>0</v>
      </c>
      <c r="N32" s="503">
        <f t="shared" si="3"/>
        <v>200545112</v>
      </c>
      <c r="O32" s="503">
        <f>SUM(O33:O34)</f>
        <v>185180099</v>
      </c>
      <c r="P32" s="503">
        <f>SUM(P33:P34)</f>
        <v>0</v>
      </c>
      <c r="Q32" s="503">
        <f t="shared" si="4"/>
        <v>185180099</v>
      </c>
    </row>
    <row r="33" spans="1:17" x14ac:dyDescent="0.25">
      <c r="A33" s="346"/>
      <c r="B33" s="316" t="s">
        <v>331</v>
      </c>
      <c r="C33" s="235">
        <v>0</v>
      </c>
      <c r="D33" s="235">
        <v>0</v>
      </c>
      <c r="E33" s="235">
        <f t="shared" si="0"/>
        <v>0</v>
      </c>
      <c r="F33" s="235">
        <v>8450124</v>
      </c>
      <c r="G33" s="235">
        <v>0</v>
      </c>
      <c r="H33" s="235">
        <f t="shared" si="1"/>
        <v>8450124</v>
      </c>
      <c r="I33" s="235">
        <v>8450124</v>
      </c>
      <c r="J33" s="235">
        <v>0</v>
      </c>
      <c r="K33" s="235">
        <f t="shared" si="2"/>
        <v>8450124</v>
      </c>
      <c r="L33" s="235">
        <v>8450124</v>
      </c>
      <c r="M33" s="235">
        <v>0</v>
      </c>
      <c r="N33" s="235">
        <f t="shared" si="3"/>
        <v>8450124</v>
      </c>
      <c r="O33" s="235">
        <v>8450124</v>
      </c>
      <c r="P33" s="235">
        <v>0</v>
      </c>
      <c r="Q33" s="235">
        <f t="shared" si="4"/>
        <v>8450124</v>
      </c>
    </row>
    <row r="34" spans="1:17" x14ac:dyDescent="0.25">
      <c r="A34" s="346"/>
      <c r="B34" s="316" t="s">
        <v>332</v>
      </c>
      <c r="C34" s="235">
        <f>C36+C42-C8-C22-C33</f>
        <v>197026150</v>
      </c>
      <c r="D34" s="235">
        <f>D36+D42-D8-D22-D33</f>
        <v>0</v>
      </c>
      <c r="E34" s="235">
        <f t="shared" si="0"/>
        <v>197026150</v>
      </c>
      <c r="F34" s="235">
        <f>F36+F42-F8-F22-F33</f>
        <v>197026150</v>
      </c>
      <c r="G34" s="235">
        <f>G36+G42-G8-G22-G33</f>
        <v>0</v>
      </c>
      <c r="H34" s="235">
        <f t="shared" si="1"/>
        <v>197026150</v>
      </c>
      <c r="I34" s="235">
        <f>I36+I42-I8-I22-I33</f>
        <v>192094988</v>
      </c>
      <c r="J34" s="235">
        <f>J36+J42-J8-J22-J33</f>
        <v>0</v>
      </c>
      <c r="K34" s="235">
        <f t="shared" si="2"/>
        <v>192094988</v>
      </c>
      <c r="L34" s="235">
        <f>L36+L42-L8-L22-L33</f>
        <v>192094988</v>
      </c>
      <c r="M34" s="235">
        <f>M36+M42-M8-M22-M33</f>
        <v>0</v>
      </c>
      <c r="N34" s="235">
        <f t="shared" si="3"/>
        <v>192094988</v>
      </c>
      <c r="O34" s="235">
        <v>176729975</v>
      </c>
      <c r="P34" s="235">
        <f>P36+P42-P8-P22-P33</f>
        <v>0</v>
      </c>
      <c r="Q34" s="235">
        <f t="shared" si="4"/>
        <v>176729975</v>
      </c>
    </row>
    <row r="35" spans="1:17" x14ac:dyDescent="0.25">
      <c r="A35" s="319"/>
      <c r="B35" s="320" t="s">
        <v>333</v>
      </c>
      <c r="C35" s="292">
        <f>C31+C22+C8</f>
        <v>203326150</v>
      </c>
      <c r="D35" s="292">
        <f>D31+D22+D8</f>
        <v>0</v>
      </c>
      <c r="E35" s="292">
        <f t="shared" si="0"/>
        <v>203326150</v>
      </c>
      <c r="F35" s="292">
        <f>F31+F22+F8</f>
        <v>211776274</v>
      </c>
      <c r="G35" s="292">
        <f>G31+G22+G8</f>
        <v>0</v>
      </c>
      <c r="H35" s="292">
        <f t="shared" si="1"/>
        <v>211776274</v>
      </c>
      <c r="I35" s="292">
        <f>I31+I22+I8</f>
        <v>206845112</v>
      </c>
      <c r="J35" s="292">
        <f>J31+J22+J8</f>
        <v>0</v>
      </c>
      <c r="K35" s="292">
        <f t="shared" si="2"/>
        <v>206845112</v>
      </c>
      <c r="L35" s="292">
        <f>L31+L22+L8</f>
        <v>206845112</v>
      </c>
      <c r="M35" s="292">
        <f>M31+M22+M8</f>
        <v>0</v>
      </c>
      <c r="N35" s="292">
        <f t="shared" si="3"/>
        <v>206845112</v>
      </c>
      <c r="O35" s="292">
        <f>O31+O22+O8</f>
        <v>189580480</v>
      </c>
      <c r="P35" s="292">
        <f>P31+P22+P8</f>
        <v>0</v>
      </c>
      <c r="Q35" s="292">
        <f t="shared" si="4"/>
        <v>189580480</v>
      </c>
    </row>
    <row r="36" spans="1:17" x14ac:dyDescent="0.25">
      <c r="A36" s="308" t="s">
        <v>309</v>
      </c>
      <c r="B36" s="309" t="s">
        <v>334</v>
      </c>
      <c r="C36" s="310">
        <f>SUM(C37:C41)</f>
        <v>202056150</v>
      </c>
      <c r="D36" s="310">
        <f>SUM(D37:D41)</f>
        <v>0</v>
      </c>
      <c r="E36" s="310">
        <f t="shared" si="0"/>
        <v>202056150</v>
      </c>
      <c r="F36" s="501">
        <f>SUM(F37:F41)</f>
        <v>209502974</v>
      </c>
      <c r="G36" s="501">
        <f>SUM(G37:G41)</f>
        <v>0</v>
      </c>
      <c r="H36" s="501">
        <f t="shared" si="1"/>
        <v>209502974</v>
      </c>
      <c r="I36" s="501">
        <f>SUM(I37:I41)</f>
        <v>204571812</v>
      </c>
      <c r="J36" s="501">
        <f>SUM(J37:J41)</f>
        <v>0</v>
      </c>
      <c r="K36" s="501">
        <f t="shared" si="2"/>
        <v>204571812</v>
      </c>
      <c r="L36" s="501">
        <f>SUM(L37:L41)</f>
        <v>204571812</v>
      </c>
      <c r="M36" s="501">
        <f>SUM(M37:M41)</f>
        <v>0</v>
      </c>
      <c r="N36" s="501">
        <f t="shared" si="3"/>
        <v>204571812</v>
      </c>
      <c r="O36" s="501">
        <f>SUM(O37:O41)</f>
        <v>186686603</v>
      </c>
      <c r="P36" s="501">
        <f>SUM(P37:P41)</f>
        <v>0</v>
      </c>
      <c r="Q36" s="501">
        <f t="shared" si="4"/>
        <v>186686603</v>
      </c>
    </row>
    <row r="37" spans="1:17" x14ac:dyDescent="0.25">
      <c r="A37" s="311" t="s">
        <v>311</v>
      </c>
      <c r="B37" s="312" t="s">
        <v>286</v>
      </c>
      <c r="C37" s="313">
        <f>'5 GSZNR fel'!E26+'5 GSZNR fel'!E32</f>
        <v>125417000</v>
      </c>
      <c r="D37" s="313">
        <f>'5 GSZNR fel'!D26+'5 GSZNR fel'!D32</f>
        <v>0</v>
      </c>
      <c r="E37" s="313">
        <f t="shared" si="0"/>
        <v>125417000</v>
      </c>
      <c r="F37" s="503">
        <f>'5 GSZNR fel'!H26+'5 GSZNR fel'!H32</f>
        <v>125417000</v>
      </c>
      <c r="G37" s="503">
        <f>'5 GSZNR fel'!G26+'5 GSZNR fel'!G32</f>
        <v>0</v>
      </c>
      <c r="H37" s="503">
        <f t="shared" si="1"/>
        <v>125417000</v>
      </c>
      <c r="I37" s="503">
        <f>'5 GSZNR fel'!K26+'5 GSZNR fel'!K32</f>
        <v>125417000</v>
      </c>
      <c r="J37" s="503">
        <f>'5 GSZNR fel'!J26+'5 GSZNR fel'!J32</f>
        <v>0</v>
      </c>
      <c r="K37" s="503">
        <f t="shared" si="2"/>
        <v>125417000</v>
      </c>
      <c r="L37" s="503">
        <f>'5 GSZNR fel'!N26+'5 GSZNR fel'!N32</f>
        <v>125417000</v>
      </c>
      <c r="M37" s="503">
        <f>'5 GSZNR fel'!M26+'5 GSZNR fel'!M32</f>
        <v>0</v>
      </c>
      <c r="N37" s="503">
        <f t="shared" si="3"/>
        <v>125417000</v>
      </c>
      <c r="O37" s="503">
        <f>'5 GSZNR fel'!Q26+'5 GSZNR fel'!Q32</f>
        <v>122263105</v>
      </c>
      <c r="P37" s="503">
        <f>'5 GSZNR fel'!P26+'5 GSZNR fel'!P32</f>
        <v>0</v>
      </c>
      <c r="Q37" s="503">
        <f t="shared" si="4"/>
        <v>122263105</v>
      </c>
    </row>
    <row r="38" spans="1:17" x14ac:dyDescent="0.25">
      <c r="A38" s="311" t="s">
        <v>322</v>
      </c>
      <c r="B38" s="312" t="s">
        <v>335</v>
      </c>
      <c r="C38" s="313">
        <f>'5 GSZNR fel'!E27+'5 GSZNR fel'!E33</f>
        <v>26169150</v>
      </c>
      <c r="D38" s="313">
        <f>'5 GSZNR fel'!D27+'5 GSZNR fel'!D33</f>
        <v>0</v>
      </c>
      <c r="E38" s="313">
        <f t="shared" si="0"/>
        <v>26169150</v>
      </c>
      <c r="F38" s="503">
        <f>'5 GSZNR fel'!H27+'5 GSZNR fel'!H33</f>
        <v>26169150</v>
      </c>
      <c r="G38" s="503">
        <f>'5 GSZNR fel'!G27+'5 GSZNR fel'!G33</f>
        <v>0</v>
      </c>
      <c r="H38" s="503">
        <f t="shared" si="1"/>
        <v>26169150</v>
      </c>
      <c r="I38" s="503">
        <f>'5 GSZNR fel'!K27+'5 GSZNR fel'!K33</f>
        <v>26169150</v>
      </c>
      <c r="J38" s="503">
        <f>'5 GSZNR fel'!J27+'5 GSZNR fel'!J33</f>
        <v>0</v>
      </c>
      <c r="K38" s="503">
        <f t="shared" si="2"/>
        <v>26169150</v>
      </c>
      <c r="L38" s="503">
        <f>'5 GSZNR fel'!N27+'5 GSZNR fel'!N33</f>
        <v>26169150</v>
      </c>
      <c r="M38" s="503">
        <f>'5 GSZNR fel'!M27+'5 GSZNR fel'!M33</f>
        <v>0</v>
      </c>
      <c r="N38" s="503">
        <f t="shared" si="3"/>
        <v>26169150</v>
      </c>
      <c r="O38" s="503">
        <f>'5 GSZNR fel'!Q27+'5 GSZNR fel'!Q33</f>
        <v>22662086</v>
      </c>
      <c r="P38" s="503">
        <f>'5 GSZNR fel'!P27+'5 GSZNR fel'!P33</f>
        <v>0</v>
      </c>
      <c r="Q38" s="503">
        <f t="shared" si="4"/>
        <v>22662086</v>
      </c>
    </row>
    <row r="39" spans="1:17" x14ac:dyDescent="0.25">
      <c r="A39" s="311" t="s">
        <v>315</v>
      </c>
      <c r="B39" s="312" t="s">
        <v>292</v>
      </c>
      <c r="C39" s="313">
        <f>'5 GSZNR fel'!E28+'5 GSZNR fel'!E34</f>
        <v>50470000</v>
      </c>
      <c r="D39" s="313">
        <f>'5 GSZNR fel'!D28+'5 GSZNR fel'!D34</f>
        <v>0</v>
      </c>
      <c r="E39" s="313">
        <f t="shared" si="0"/>
        <v>50470000</v>
      </c>
      <c r="F39" s="503">
        <f>'5 GSZNR fel'!H28+'5 GSZNR fel'!H34</f>
        <v>49672440</v>
      </c>
      <c r="G39" s="503">
        <f>'5 GSZNR fel'!G28+'5 GSZNR fel'!G34</f>
        <v>0</v>
      </c>
      <c r="H39" s="503">
        <f t="shared" si="1"/>
        <v>49672440</v>
      </c>
      <c r="I39" s="503">
        <f>'5 GSZNR fel'!K28+'5 GSZNR fel'!K34</f>
        <v>44741278</v>
      </c>
      <c r="J39" s="503">
        <f>'5 GSZNR fel'!J28+'5 GSZNR fel'!J34</f>
        <v>0</v>
      </c>
      <c r="K39" s="503">
        <f t="shared" si="2"/>
        <v>44741278</v>
      </c>
      <c r="L39" s="503">
        <f>'5 GSZNR fel'!N28+'5 GSZNR fel'!N34+'5 GSZNR fel'!N37</f>
        <v>44741278</v>
      </c>
      <c r="M39" s="503">
        <f>'5 GSZNR fel'!M28+'5 GSZNR fel'!M34</f>
        <v>0</v>
      </c>
      <c r="N39" s="503">
        <f t="shared" si="3"/>
        <v>44741278</v>
      </c>
      <c r="O39" s="503">
        <f>'5 GSZNR fel'!Q28+'5 GSZNR fel'!Q34+'5 GSZNR fel'!Q37</f>
        <v>33517028</v>
      </c>
      <c r="P39" s="503">
        <f>'5 GSZNR fel'!P28+'5 GSZNR fel'!P34</f>
        <v>0</v>
      </c>
      <c r="Q39" s="503">
        <f t="shared" si="4"/>
        <v>33517028</v>
      </c>
    </row>
    <row r="40" spans="1:17" x14ac:dyDescent="0.25">
      <c r="A40" s="311" t="s">
        <v>336</v>
      </c>
      <c r="B40" s="312" t="s">
        <v>337</v>
      </c>
      <c r="C40" s="313">
        <v>0</v>
      </c>
      <c r="D40" s="313">
        <v>0</v>
      </c>
      <c r="E40" s="313">
        <f t="shared" si="0"/>
        <v>0</v>
      </c>
      <c r="F40" s="503">
        <v>0</v>
      </c>
      <c r="G40" s="503">
        <v>0</v>
      </c>
      <c r="H40" s="503">
        <f t="shared" si="1"/>
        <v>0</v>
      </c>
      <c r="I40" s="503">
        <v>0</v>
      </c>
      <c r="J40" s="503">
        <v>0</v>
      </c>
      <c r="K40" s="503">
        <f t="shared" si="2"/>
        <v>0</v>
      </c>
      <c r="L40" s="503">
        <v>0</v>
      </c>
      <c r="M40" s="503">
        <v>0</v>
      </c>
      <c r="N40" s="503">
        <f t="shared" si="3"/>
        <v>0</v>
      </c>
      <c r="O40" s="503">
        <v>0</v>
      </c>
      <c r="P40" s="503">
        <v>0</v>
      </c>
      <c r="Q40" s="503">
        <f t="shared" si="4"/>
        <v>0</v>
      </c>
    </row>
    <row r="41" spans="1:17" x14ac:dyDescent="0.25">
      <c r="A41" s="311" t="s">
        <v>338</v>
      </c>
      <c r="B41" s="312" t="s">
        <v>339</v>
      </c>
      <c r="C41" s="313">
        <f>+'5 GSZNR fel'!E29</f>
        <v>0</v>
      </c>
      <c r="D41" s="313">
        <f>+'5 GSZNR fel'!D29</f>
        <v>0</v>
      </c>
      <c r="E41" s="313">
        <f t="shared" si="0"/>
        <v>0</v>
      </c>
      <c r="F41" s="503">
        <f>+'5 GSZNR fel'!H29</f>
        <v>8244384</v>
      </c>
      <c r="G41" s="503">
        <f>+'5 GSZNR fel'!G29</f>
        <v>0</v>
      </c>
      <c r="H41" s="503">
        <f t="shared" si="1"/>
        <v>8244384</v>
      </c>
      <c r="I41" s="503">
        <f>+'5 GSZNR fel'!K29</f>
        <v>8244384</v>
      </c>
      <c r="J41" s="503">
        <f>+'5 GSZNR fel'!J29</f>
        <v>0</v>
      </c>
      <c r="K41" s="503">
        <f t="shared" si="2"/>
        <v>8244384</v>
      </c>
      <c r="L41" s="503">
        <f>+'5 GSZNR fel'!N29</f>
        <v>8244384</v>
      </c>
      <c r="M41" s="503">
        <f>+'5 GSZNR fel'!M29</f>
        <v>0</v>
      </c>
      <c r="N41" s="503">
        <f t="shared" si="3"/>
        <v>8244384</v>
      </c>
      <c r="O41" s="503">
        <f>+'5 GSZNR fel'!Q29</f>
        <v>8244384</v>
      </c>
      <c r="P41" s="503">
        <f>+'5 GSZNR fel'!P29</f>
        <v>0</v>
      </c>
      <c r="Q41" s="503">
        <f t="shared" si="4"/>
        <v>8244384</v>
      </c>
    </row>
    <row r="42" spans="1:17" x14ac:dyDescent="0.25">
      <c r="A42" s="308" t="s">
        <v>318</v>
      </c>
      <c r="B42" s="309" t="s">
        <v>340</v>
      </c>
      <c r="C42" s="310">
        <f>SUM(C43:C45)</f>
        <v>1270000</v>
      </c>
      <c r="D42" s="310">
        <f>SUM(D43:D45)</f>
        <v>0</v>
      </c>
      <c r="E42" s="310">
        <f t="shared" si="0"/>
        <v>1270000</v>
      </c>
      <c r="F42" s="501">
        <f>SUM(F43:F45)</f>
        <v>2273300</v>
      </c>
      <c r="G42" s="501">
        <f>SUM(G43:G45)</f>
        <v>0</v>
      </c>
      <c r="H42" s="501">
        <f t="shared" si="1"/>
        <v>2273300</v>
      </c>
      <c r="I42" s="501">
        <f>SUM(I43:I45)</f>
        <v>2273300</v>
      </c>
      <c r="J42" s="501">
        <f>SUM(J43:J45)</f>
        <v>0</v>
      </c>
      <c r="K42" s="501">
        <f t="shared" si="2"/>
        <v>2273300</v>
      </c>
      <c r="L42" s="501">
        <f>SUM(L43:L45)</f>
        <v>2273300</v>
      </c>
      <c r="M42" s="501">
        <f>SUM(M43:M45)</f>
        <v>0</v>
      </c>
      <c r="N42" s="501">
        <f t="shared" si="3"/>
        <v>2273300</v>
      </c>
      <c r="O42" s="501">
        <f>SUM(O43:O45)</f>
        <v>1794838</v>
      </c>
      <c r="P42" s="501">
        <f>SUM(P43:P45)</f>
        <v>0</v>
      </c>
      <c r="Q42" s="501">
        <f t="shared" si="4"/>
        <v>1794838</v>
      </c>
    </row>
    <row r="43" spans="1:17" x14ac:dyDescent="0.25">
      <c r="A43" s="311" t="s">
        <v>311</v>
      </c>
      <c r="B43" s="312" t="s">
        <v>341</v>
      </c>
      <c r="C43" s="313">
        <f>'5 GSZNR fel'!E30+'5 GSZNR fel'!E35</f>
        <v>1270000</v>
      </c>
      <c r="D43" s="313">
        <f>'5 GSZNR fel'!D30+'5 GSZNR fel'!D35</f>
        <v>0</v>
      </c>
      <c r="E43" s="313">
        <f t="shared" si="0"/>
        <v>1270000</v>
      </c>
      <c r="F43" s="503">
        <f>'5 GSZNR fel'!H30+'5 GSZNR fel'!H35</f>
        <v>2273300</v>
      </c>
      <c r="G43" s="503">
        <f>'5 GSZNR fel'!G30+'5 GSZNR fel'!G35</f>
        <v>0</v>
      </c>
      <c r="H43" s="503">
        <f t="shared" si="1"/>
        <v>2273300</v>
      </c>
      <c r="I43" s="503">
        <f>'5 GSZNR fel'!K30+'5 GSZNR fel'!K35</f>
        <v>2273300</v>
      </c>
      <c r="J43" s="503">
        <f>'5 GSZNR fel'!J30+'5 GSZNR fel'!J35</f>
        <v>0</v>
      </c>
      <c r="K43" s="503">
        <f t="shared" si="2"/>
        <v>2273300</v>
      </c>
      <c r="L43" s="503">
        <f>'5 GSZNR fel'!N30+'5 GSZNR fel'!N35</f>
        <v>2273300</v>
      </c>
      <c r="M43" s="503">
        <f>'5 GSZNR fel'!M30+'5 GSZNR fel'!M35</f>
        <v>0</v>
      </c>
      <c r="N43" s="503">
        <f t="shared" si="3"/>
        <v>2273300</v>
      </c>
      <c r="O43" s="503">
        <f>'5 GSZNR fel'!Q30+'5 GSZNR fel'!Q35</f>
        <v>1794838</v>
      </c>
      <c r="P43" s="503">
        <f>'5 GSZNR fel'!P30+'5 GSZNR fel'!P35</f>
        <v>0</v>
      </c>
      <c r="Q43" s="503">
        <f t="shared" si="4"/>
        <v>1794838</v>
      </c>
    </row>
    <row r="44" spans="1:17" x14ac:dyDescent="0.25">
      <c r="A44" s="311" t="s">
        <v>322</v>
      </c>
      <c r="B44" s="312" t="s">
        <v>342</v>
      </c>
      <c r="C44" s="313">
        <v>0</v>
      </c>
      <c r="D44" s="313">
        <v>0</v>
      </c>
      <c r="E44" s="313">
        <f t="shared" si="0"/>
        <v>0</v>
      </c>
      <c r="F44" s="503">
        <v>0</v>
      </c>
      <c r="G44" s="503">
        <v>0</v>
      </c>
      <c r="H44" s="503">
        <f t="shared" si="1"/>
        <v>0</v>
      </c>
      <c r="I44" s="503">
        <v>0</v>
      </c>
      <c r="J44" s="503">
        <v>0</v>
      </c>
      <c r="K44" s="503">
        <f t="shared" si="2"/>
        <v>0</v>
      </c>
      <c r="L44" s="503">
        <v>0</v>
      </c>
      <c r="M44" s="503">
        <v>0</v>
      </c>
      <c r="N44" s="503">
        <f t="shared" si="3"/>
        <v>0</v>
      </c>
      <c r="O44" s="503">
        <v>0</v>
      </c>
      <c r="P44" s="503">
        <v>0</v>
      </c>
      <c r="Q44" s="503">
        <f t="shared" si="4"/>
        <v>0</v>
      </c>
    </row>
    <row r="45" spans="1:17" x14ac:dyDescent="0.25">
      <c r="A45" s="311" t="s">
        <v>315</v>
      </c>
      <c r="B45" s="312" t="s">
        <v>343</v>
      </c>
      <c r="C45" s="313">
        <v>0</v>
      </c>
      <c r="D45" s="313">
        <v>0</v>
      </c>
      <c r="E45" s="313">
        <f t="shared" si="0"/>
        <v>0</v>
      </c>
      <c r="F45" s="503">
        <v>0</v>
      </c>
      <c r="G45" s="503">
        <v>0</v>
      </c>
      <c r="H45" s="503">
        <f t="shared" si="1"/>
        <v>0</v>
      </c>
      <c r="I45" s="503">
        <v>0</v>
      </c>
      <c r="J45" s="503">
        <v>0</v>
      </c>
      <c r="K45" s="503">
        <f t="shared" si="2"/>
        <v>0</v>
      </c>
      <c r="L45" s="503">
        <v>0</v>
      </c>
      <c r="M45" s="503">
        <v>0</v>
      </c>
      <c r="N45" s="503">
        <f t="shared" si="3"/>
        <v>0</v>
      </c>
      <c r="O45" s="503">
        <v>0</v>
      </c>
      <c r="P45" s="503">
        <v>0</v>
      </c>
      <c r="Q45" s="503">
        <f t="shared" si="4"/>
        <v>0</v>
      </c>
    </row>
    <row r="46" spans="1:17" x14ac:dyDescent="0.25">
      <c r="A46" s="319"/>
      <c r="B46" s="320" t="s">
        <v>344</v>
      </c>
      <c r="C46" s="292">
        <f>C36+C42</f>
        <v>203326150</v>
      </c>
      <c r="D46" s="292">
        <f>D36+D42</f>
        <v>0</v>
      </c>
      <c r="E46" s="292">
        <f t="shared" si="0"/>
        <v>203326150</v>
      </c>
      <c r="F46" s="292">
        <f>F36+F42</f>
        <v>211776274</v>
      </c>
      <c r="G46" s="292">
        <f>G36+G42</f>
        <v>0</v>
      </c>
      <c r="H46" s="292">
        <f t="shared" si="1"/>
        <v>211776274</v>
      </c>
      <c r="I46" s="292">
        <f>I36+I42</f>
        <v>206845112</v>
      </c>
      <c r="J46" s="292">
        <f>J36+J42</f>
        <v>0</v>
      </c>
      <c r="K46" s="292">
        <f t="shared" si="2"/>
        <v>206845112</v>
      </c>
      <c r="L46" s="292">
        <f>L36+L42</f>
        <v>206845112</v>
      </c>
      <c r="M46" s="292">
        <f>M36+M42</f>
        <v>0</v>
      </c>
      <c r="N46" s="292">
        <f t="shared" si="3"/>
        <v>206845112</v>
      </c>
      <c r="O46" s="292">
        <f>O36+O42</f>
        <v>188481441</v>
      </c>
      <c r="P46" s="292">
        <f>P36+P42</f>
        <v>0</v>
      </c>
      <c r="Q46" s="292">
        <f t="shared" si="4"/>
        <v>188481441</v>
      </c>
    </row>
    <row r="47" spans="1:17" x14ac:dyDescent="0.25">
      <c r="H47" s="39">
        <f>+H46-E46</f>
        <v>8450124</v>
      </c>
      <c r="K47" s="39">
        <f>+K46-H46</f>
        <v>-4931162</v>
      </c>
      <c r="N47" s="39">
        <f>+N46-K46</f>
        <v>0</v>
      </c>
      <c r="Q47" s="39">
        <f>+Q46-N46</f>
        <v>-18363671</v>
      </c>
    </row>
  </sheetData>
  <mergeCells count="7">
    <mergeCell ref="O4:Q4"/>
    <mergeCell ref="A4:A5"/>
    <mergeCell ref="B4:B5"/>
    <mergeCell ref="C4:E4"/>
    <mergeCell ref="F4:H4"/>
    <mergeCell ref="I4:K4"/>
    <mergeCell ref="L4:N4"/>
  </mergeCells>
  <printOptions horizontalCentered="1"/>
  <pageMargins left="0.19685039370078741" right="0.19685039370078741" top="0.91" bottom="0.19685039370078741" header="0.31496062992125984" footer="0.31496062992125984"/>
  <pageSetup paperSize="9" scale="80" fitToWidth="0" fitToHeight="0" orientation="landscape" copies="2" r:id="rId1"/>
  <headerFooter>
    <oddHeader>&amp;L4/B.  melléklet a ......./2021. (.................) önkormányzati rendelethez&amp;C&amp;"-,Félkövér"&amp;16
A Törökbálinti Nyitnikék Óvoda 2020. évi bevételei és kiadásai jogcímenként és feladatonként</oddHeader>
    <oddFooter>&amp;C&amp;P&amp;R&amp;D, &amp;T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R47"/>
  <sheetViews>
    <sheetView view="pageBreakPreview" zoomScale="96" zoomScaleNormal="100" zoomScaleSheetLayoutView="96" workbookViewId="0">
      <selection sqref="A1:XFD1"/>
    </sheetView>
  </sheetViews>
  <sheetFormatPr defaultRowHeight="15" x14ac:dyDescent="0.25"/>
  <cols>
    <col min="1" max="1" width="5.7109375" style="30" customWidth="1"/>
    <col min="2" max="2" width="50.7109375" customWidth="1"/>
    <col min="3" max="8" width="15" hidden="1" customWidth="1"/>
    <col min="9" max="14" width="15" customWidth="1"/>
    <col min="15" max="17" width="15" hidden="1" customWidth="1"/>
  </cols>
  <sheetData>
    <row r="1" spans="1:17" x14ac:dyDescent="0.25">
      <c r="E1" s="31"/>
      <c r="H1" s="31"/>
      <c r="K1" s="31"/>
      <c r="N1" s="31" t="s">
        <v>1662</v>
      </c>
    </row>
    <row r="2" spans="1:17" ht="30" x14ac:dyDescent="0.25">
      <c r="A2" s="304" t="s">
        <v>303</v>
      </c>
      <c r="B2" s="304" t="s">
        <v>1423</v>
      </c>
      <c r="C2" s="518"/>
      <c r="D2" s="518"/>
      <c r="E2" s="518"/>
      <c r="F2" s="518"/>
      <c r="G2" s="518"/>
      <c r="H2" s="518"/>
      <c r="I2" s="518"/>
      <c r="J2" s="518"/>
      <c r="K2" s="518"/>
      <c r="L2" s="518"/>
      <c r="M2" s="518"/>
      <c r="N2" s="518"/>
      <c r="O2" s="518"/>
      <c r="P2" s="518"/>
      <c r="Q2" s="518"/>
    </row>
    <row r="3" spans="1:17" ht="30" x14ac:dyDescent="0.25">
      <c r="A3" s="304" t="s">
        <v>304</v>
      </c>
      <c r="B3" s="304" t="s">
        <v>1480</v>
      </c>
      <c r="C3" s="518"/>
      <c r="D3" s="518"/>
      <c r="E3" s="518"/>
      <c r="F3" s="518"/>
      <c r="G3" s="518"/>
      <c r="H3" s="518"/>
      <c r="I3" s="518"/>
      <c r="J3" s="518"/>
      <c r="K3" s="518"/>
      <c r="L3" s="518"/>
      <c r="M3" s="518"/>
      <c r="N3" s="518"/>
      <c r="O3" s="518"/>
      <c r="P3" s="518"/>
      <c r="Q3" s="518"/>
    </row>
    <row r="4" spans="1:17" ht="42" customHeight="1" x14ac:dyDescent="0.25">
      <c r="A4" s="345" t="s">
        <v>305</v>
      </c>
      <c r="B4" s="344" t="s">
        <v>306</v>
      </c>
      <c r="C4" s="939" t="s">
        <v>1654</v>
      </c>
      <c r="D4" s="936"/>
      <c r="E4" s="940"/>
      <c r="F4" s="939" t="s">
        <v>1760</v>
      </c>
      <c r="G4" s="936"/>
      <c r="H4" s="940"/>
      <c r="I4" s="939" t="s">
        <v>1795</v>
      </c>
      <c r="J4" s="936"/>
      <c r="K4" s="940"/>
      <c r="L4" s="939" t="s">
        <v>1803</v>
      </c>
      <c r="M4" s="936"/>
      <c r="N4" s="940"/>
      <c r="O4" s="962" t="s">
        <v>1807</v>
      </c>
      <c r="P4" s="936"/>
      <c r="Q4" s="940"/>
    </row>
    <row r="5" spans="1:17" ht="30" x14ac:dyDescent="0.25">
      <c r="A5" s="345"/>
      <c r="B5" s="344"/>
      <c r="C5" s="516" t="s">
        <v>1300</v>
      </c>
      <c r="D5" s="516" t="s">
        <v>1301</v>
      </c>
      <c r="E5" s="516" t="s">
        <v>550</v>
      </c>
      <c r="F5" s="690" t="s">
        <v>1300</v>
      </c>
      <c r="G5" s="690" t="s">
        <v>1301</v>
      </c>
      <c r="H5" s="690" t="s">
        <v>550</v>
      </c>
      <c r="I5" s="690" t="s">
        <v>1300</v>
      </c>
      <c r="J5" s="690" t="s">
        <v>1301</v>
      </c>
      <c r="K5" s="690" t="s">
        <v>550</v>
      </c>
      <c r="L5" s="690" t="s">
        <v>1300</v>
      </c>
      <c r="M5" s="690" t="s">
        <v>1301</v>
      </c>
      <c r="N5" s="690" t="s">
        <v>550</v>
      </c>
      <c r="O5" s="690" t="s">
        <v>1300</v>
      </c>
      <c r="P5" s="690" t="s">
        <v>1301</v>
      </c>
      <c r="Q5" s="690" t="s">
        <v>550</v>
      </c>
    </row>
    <row r="6" spans="1:17" x14ac:dyDescent="0.25">
      <c r="A6" s="305"/>
      <c r="B6" s="306" t="s">
        <v>307</v>
      </c>
      <c r="C6" s="307">
        <f>+'5 GSZNR fel'!C39</f>
        <v>55</v>
      </c>
      <c r="D6" s="307"/>
      <c r="E6" s="307">
        <f t="shared" ref="E6:E46" si="0">SUM(C6:D6)</f>
        <v>55</v>
      </c>
      <c r="F6" s="307">
        <f>+'5 GSZNR fel'!F39</f>
        <v>55</v>
      </c>
      <c r="G6" s="307"/>
      <c r="H6" s="307">
        <f t="shared" ref="H6:H46" si="1">SUM(F6:G6)</f>
        <v>55</v>
      </c>
      <c r="I6" s="307">
        <f>+'5 GSZNR fel'!I39</f>
        <v>55</v>
      </c>
      <c r="J6" s="307"/>
      <c r="K6" s="307">
        <f t="shared" ref="K6:K46" si="2">SUM(I6:J6)</f>
        <v>55</v>
      </c>
      <c r="L6" s="307">
        <f>+'5 GSZNR fel'!L39</f>
        <v>55</v>
      </c>
      <c r="M6" s="307"/>
      <c r="N6" s="307">
        <f t="shared" ref="N6:N46" si="3">SUM(L6:M6)</f>
        <v>55</v>
      </c>
      <c r="O6" s="307">
        <f>+'5 GSZNR fel'!O39</f>
        <v>55</v>
      </c>
      <c r="P6" s="307"/>
      <c r="Q6" s="307">
        <f t="shared" ref="Q6:Q46" si="4">SUM(O6:P6)</f>
        <v>55</v>
      </c>
    </row>
    <row r="7" spans="1:17" x14ac:dyDescent="0.25">
      <c r="A7" s="305"/>
      <c r="B7" s="306" t="s">
        <v>308</v>
      </c>
      <c r="C7" s="307"/>
      <c r="D7" s="307"/>
      <c r="E7" s="307">
        <f t="shared" si="0"/>
        <v>0</v>
      </c>
      <c r="F7" s="307"/>
      <c r="G7" s="307"/>
      <c r="H7" s="307">
        <f t="shared" si="1"/>
        <v>0</v>
      </c>
      <c r="I7" s="307"/>
      <c r="J7" s="307"/>
      <c r="K7" s="307">
        <f t="shared" si="2"/>
        <v>0</v>
      </c>
      <c r="L7" s="307"/>
      <c r="M7" s="307"/>
      <c r="N7" s="307">
        <f t="shared" si="3"/>
        <v>0</v>
      </c>
      <c r="O7" s="307"/>
      <c r="P7" s="307"/>
      <c r="Q7" s="307">
        <f t="shared" si="4"/>
        <v>0</v>
      </c>
    </row>
    <row r="8" spans="1:17" x14ac:dyDescent="0.25">
      <c r="A8" s="308" t="s">
        <v>309</v>
      </c>
      <c r="B8" s="309" t="s">
        <v>310</v>
      </c>
      <c r="C8" s="310">
        <f>C9+C11+C20</f>
        <v>10700000</v>
      </c>
      <c r="D8" s="310">
        <f>D9+D11+D20</f>
        <v>0</v>
      </c>
      <c r="E8" s="310">
        <f t="shared" si="0"/>
        <v>10700000</v>
      </c>
      <c r="F8" s="501">
        <f>F9+F11+F20</f>
        <v>10700000</v>
      </c>
      <c r="G8" s="501">
        <f>G9+G11+G20</f>
        <v>0</v>
      </c>
      <c r="H8" s="501">
        <f t="shared" si="1"/>
        <v>10700000</v>
      </c>
      <c r="I8" s="501">
        <f>I9+I11+I20</f>
        <v>10700000</v>
      </c>
      <c r="J8" s="501">
        <f>J9+J11+J20</f>
        <v>0</v>
      </c>
      <c r="K8" s="501">
        <f t="shared" si="2"/>
        <v>10700000</v>
      </c>
      <c r="L8" s="501">
        <f>L9+L11+L20</f>
        <v>10700000</v>
      </c>
      <c r="M8" s="501">
        <f>M9+M11+M20</f>
        <v>0</v>
      </c>
      <c r="N8" s="501">
        <f t="shared" si="3"/>
        <v>10700000</v>
      </c>
      <c r="O8" s="501">
        <f>O9+O11+O20</f>
        <v>8600257</v>
      </c>
      <c r="P8" s="501">
        <f>P9+P11+P20</f>
        <v>0</v>
      </c>
      <c r="Q8" s="501">
        <f t="shared" si="4"/>
        <v>8600257</v>
      </c>
    </row>
    <row r="9" spans="1:17" x14ac:dyDescent="0.25">
      <c r="A9" s="311" t="s">
        <v>311</v>
      </c>
      <c r="B9" s="312" t="s">
        <v>312</v>
      </c>
      <c r="C9" s="313">
        <f>C10</f>
        <v>0</v>
      </c>
      <c r="D9" s="313">
        <f>D10</f>
        <v>0</v>
      </c>
      <c r="E9" s="313">
        <f t="shared" si="0"/>
        <v>0</v>
      </c>
      <c r="F9" s="503">
        <f>F10</f>
        <v>0</v>
      </c>
      <c r="G9" s="503">
        <f>G10</f>
        <v>0</v>
      </c>
      <c r="H9" s="503">
        <f t="shared" si="1"/>
        <v>0</v>
      </c>
      <c r="I9" s="503">
        <f>I10</f>
        <v>0</v>
      </c>
      <c r="J9" s="503">
        <f>J10</f>
        <v>0</v>
      </c>
      <c r="K9" s="503">
        <f t="shared" si="2"/>
        <v>0</v>
      </c>
      <c r="L9" s="503">
        <f>L10</f>
        <v>0</v>
      </c>
      <c r="M9" s="503">
        <f>M10</f>
        <v>0</v>
      </c>
      <c r="N9" s="503">
        <f t="shared" si="3"/>
        <v>0</v>
      </c>
      <c r="O9" s="503">
        <f>O10</f>
        <v>0</v>
      </c>
      <c r="P9" s="503">
        <f>P10</f>
        <v>0</v>
      </c>
      <c r="Q9" s="503">
        <f t="shared" si="4"/>
        <v>0</v>
      </c>
    </row>
    <row r="10" spans="1:17" ht="30" hidden="1" customHeight="1" x14ac:dyDescent="0.25">
      <c r="A10" s="346"/>
      <c r="B10" s="314" t="s">
        <v>313</v>
      </c>
      <c r="C10" s="235">
        <v>0</v>
      </c>
      <c r="D10" s="235">
        <v>0</v>
      </c>
      <c r="E10" s="235">
        <f t="shared" si="0"/>
        <v>0</v>
      </c>
      <c r="F10" s="235">
        <v>0</v>
      </c>
      <c r="G10" s="235">
        <v>0</v>
      </c>
      <c r="H10" s="235">
        <f t="shared" si="1"/>
        <v>0</v>
      </c>
      <c r="I10" s="235">
        <v>0</v>
      </c>
      <c r="J10" s="235">
        <v>0</v>
      </c>
      <c r="K10" s="235">
        <f t="shared" si="2"/>
        <v>0</v>
      </c>
      <c r="L10" s="235">
        <v>0</v>
      </c>
      <c r="M10" s="235">
        <v>0</v>
      </c>
      <c r="N10" s="235">
        <f t="shared" si="3"/>
        <v>0</v>
      </c>
      <c r="O10" s="235">
        <v>0</v>
      </c>
      <c r="P10" s="235">
        <v>0</v>
      </c>
      <c r="Q10" s="235">
        <f t="shared" si="4"/>
        <v>0</v>
      </c>
    </row>
    <row r="11" spans="1:17" x14ac:dyDescent="0.25">
      <c r="A11" s="311" t="s">
        <v>322</v>
      </c>
      <c r="B11" s="312" t="s">
        <v>314</v>
      </c>
      <c r="C11" s="313">
        <f>C12+C13+C14+C15+C16+C17+C18+C19</f>
        <v>10700000</v>
      </c>
      <c r="D11" s="313">
        <f>D12+D13+D14+D15+D16+D17+D18+D19</f>
        <v>0</v>
      </c>
      <c r="E11" s="313">
        <f t="shared" si="0"/>
        <v>10700000</v>
      </c>
      <c r="F11" s="503">
        <f>F12+F13+F14+F15+F16+F17+F18+F19</f>
        <v>10700000</v>
      </c>
      <c r="G11" s="503">
        <f>G12+G13+G14+G15+G16+G17+G18+G19</f>
        <v>0</v>
      </c>
      <c r="H11" s="503">
        <f t="shared" si="1"/>
        <v>10700000</v>
      </c>
      <c r="I11" s="503">
        <f>I12+I13+I14+I15+I16+I17+I18+I19</f>
        <v>10700000</v>
      </c>
      <c r="J11" s="503">
        <f>J12+J13+J14+J15+J16+J17+J18+J19</f>
        <v>0</v>
      </c>
      <c r="K11" s="503">
        <f t="shared" si="2"/>
        <v>10700000</v>
      </c>
      <c r="L11" s="503">
        <f>L12+L13+L14+L15+L16+L17+L18+L19</f>
        <v>10700000</v>
      </c>
      <c r="M11" s="503">
        <f>M12+M13+M14+M15+M16+M17+M18+M19</f>
        <v>0</v>
      </c>
      <c r="N11" s="503">
        <f t="shared" si="3"/>
        <v>10700000</v>
      </c>
      <c r="O11" s="503">
        <f>O12+O13+O14+O15+O16+O17+O18+O19</f>
        <v>8600257</v>
      </c>
      <c r="P11" s="503">
        <f>P12+P13+P14+P15+P16+P17+P18+P19</f>
        <v>0</v>
      </c>
      <c r="Q11" s="503">
        <f t="shared" si="4"/>
        <v>8600257</v>
      </c>
    </row>
    <row r="12" spans="1:17" x14ac:dyDescent="0.25">
      <c r="A12" s="346"/>
      <c r="B12" s="314" t="s">
        <v>651</v>
      </c>
      <c r="C12" s="235">
        <v>0</v>
      </c>
      <c r="D12" s="235">
        <v>0</v>
      </c>
      <c r="E12" s="235">
        <f t="shared" si="0"/>
        <v>0</v>
      </c>
      <c r="F12" s="235">
        <v>0</v>
      </c>
      <c r="G12" s="235">
        <v>0</v>
      </c>
      <c r="H12" s="235">
        <f t="shared" si="1"/>
        <v>0</v>
      </c>
      <c r="I12" s="235">
        <v>0</v>
      </c>
      <c r="J12" s="235">
        <v>0</v>
      </c>
      <c r="K12" s="235">
        <f t="shared" si="2"/>
        <v>0</v>
      </c>
      <c r="L12" s="235">
        <v>0</v>
      </c>
      <c r="M12" s="235">
        <v>0</v>
      </c>
      <c r="N12" s="235">
        <f t="shared" si="3"/>
        <v>0</v>
      </c>
      <c r="O12" s="235">
        <v>0</v>
      </c>
      <c r="P12" s="235">
        <v>0</v>
      </c>
      <c r="Q12" s="235">
        <f t="shared" si="4"/>
        <v>0</v>
      </c>
    </row>
    <row r="13" spans="1:17" x14ac:dyDescent="0.25">
      <c r="A13" s="346"/>
      <c r="B13" s="314" t="s">
        <v>652</v>
      </c>
      <c r="C13" s="235">
        <v>0</v>
      </c>
      <c r="D13" s="235">
        <v>0</v>
      </c>
      <c r="E13" s="235">
        <f t="shared" si="0"/>
        <v>0</v>
      </c>
      <c r="F13" s="235">
        <v>0</v>
      </c>
      <c r="G13" s="235">
        <v>0</v>
      </c>
      <c r="H13" s="235">
        <f t="shared" si="1"/>
        <v>0</v>
      </c>
      <c r="I13" s="235">
        <v>0</v>
      </c>
      <c r="J13" s="235">
        <v>0</v>
      </c>
      <c r="K13" s="235">
        <f t="shared" si="2"/>
        <v>0</v>
      </c>
      <c r="L13" s="235">
        <v>0</v>
      </c>
      <c r="M13" s="235">
        <v>0</v>
      </c>
      <c r="N13" s="235">
        <f t="shared" si="3"/>
        <v>0</v>
      </c>
      <c r="O13" s="235">
        <v>0</v>
      </c>
      <c r="P13" s="235">
        <v>0</v>
      </c>
      <c r="Q13" s="235">
        <f t="shared" si="4"/>
        <v>0</v>
      </c>
    </row>
    <row r="14" spans="1:17" x14ac:dyDescent="0.25">
      <c r="A14" s="346"/>
      <c r="B14" s="314" t="s">
        <v>659</v>
      </c>
      <c r="C14" s="235">
        <v>0</v>
      </c>
      <c r="D14" s="235">
        <v>0</v>
      </c>
      <c r="E14" s="235">
        <f t="shared" si="0"/>
        <v>0</v>
      </c>
      <c r="F14" s="235">
        <v>0</v>
      </c>
      <c r="G14" s="235">
        <v>0</v>
      </c>
      <c r="H14" s="235">
        <f t="shared" si="1"/>
        <v>0</v>
      </c>
      <c r="I14" s="235">
        <v>0</v>
      </c>
      <c r="J14" s="235">
        <v>0</v>
      </c>
      <c r="K14" s="235">
        <f t="shared" si="2"/>
        <v>0</v>
      </c>
      <c r="L14" s="235">
        <v>0</v>
      </c>
      <c r="M14" s="235">
        <v>0</v>
      </c>
      <c r="N14" s="235">
        <f t="shared" si="3"/>
        <v>0</v>
      </c>
      <c r="O14" s="235">
        <v>0</v>
      </c>
      <c r="P14" s="235">
        <v>0</v>
      </c>
      <c r="Q14" s="235">
        <f t="shared" si="4"/>
        <v>0</v>
      </c>
    </row>
    <row r="15" spans="1:17" x14ac:dyDescent="0.25">
      <c r="A15" s="346"/>
      <c r="B15" s="314" t="s">
        <v>660</v>
      </c>
      <c r="C15" s="235">
        <v>7700000</v>
      </c>
      <c r="D15" s="235">
        <v>0</v>
      </c>
      <c r="E15" s="235">
        <f t="shared" si="0"/>
        <v>7700000</v>
      </c>
      <c r="F15" s="235">
        <v>7700000</v>
      </c>
      <c r="G15" s="235">
        <v>0</v>
      </c>
      <c r="H15" s="235">
        <f t="shared" si="1"/>
        <v>7700000</v>
      </c>
      <c r="I15" s="235">
        <v>7700000</v>
      </c>
      <c r="J15" s="235">
        <v>0</v>
      </c>
      <c r="K15" s="235">
        <f t="shared" si="2"/>
        <v>7700000</v>
      </c>
      <c r="L15" s="235">
        <v>7700000</v>
      </c>
      <c r="M15" s="235">
        <v>0</v>
      </c>
      <c r="N15" s="235">
        <f t="shared" si="3"/>
        <v>7700000</v>
      </c>
      <c r="O15" s="235">
        <v>6217658</v>
      </c>
      <c r="P15" s="235">
        <v>0</v>
      </c>
      <c r="Q15" s="235">
        <f t="shared" si="4"/>
        <v>6217658</v>
      </c>
    </row>
    <row r="16" spans="1:17" x14ac:dyDescent="0.25">
      <c r="A16" s="346"/>
      <c r="B16" s="314" t="s">
        <v>661</v>
      </c>
      <c r="C16" s="235">
        <v>2000000</v>
      </c>
      <c r="D16" s="235">
        <v>0</v>
      </c>
      <c r="E16" s="235">
        <f t="shared" si="0"/>
        <v>2000000</v>
      </c>
      <c r="F16" s="235">
        <v>2000000</v>
      </c>
      <c r="G16" s="235">
        <v>0</v>
      </c>
      <c r="H16" s="235">
        <f t="shared" si="1"/>
        <v>2000000</v>
      </c>
      <c r="I16" s="235">
        <v>2000000</v>
      </c>
      <c r="J16" s="235">
        <v>0</v>
      </c>
      <c r="K16" s="235">
        <f t="shared" si="2"/>
        <v>2000000</v>
      </c>
      <c r="L16" s="235">
        <v>2000000</v>
      </c>
      <c r="M16" s="235">
        <v>0</v>
      </c>
      <c r="N16" s="235">
        <f t="shared" si="3"/>
        <v>2000000</v>
      </c>
      <c r="O16" s="235">
        <v>1678758</v>
      </c>
      <c r="P16" s="235">
        <v>0</v>
      </c>
      <c r="Q16" s="235">
        <f t="shared" si="4"/>
        <v>1678758</v>
      </c>
    </row>
    <row r="17" spans="1:17" x14ac:dyDescent="0.25">
      <c r="A17" s="346"/>
      <c r="B17" s="314" t="s">
        <v>662</v>
      </c>
      <c r="C17" s="235">
        <v>1000000</v>
      </c>
      <c r="D17" s="235">
        <v>0</v>
      </c>
      <c r="E17" s="235">
        <f t="shared" si="0"/>
        <v>1000000</v>
      </c>
      <c r="F17" s="235">
        <v>1000000</v>
      </c>
      <c r="G17" s="235">
        <v>0</v>
      </c>
      <c r="H17" s="235">
        <f t="shared" si="1"/>
        <v>1000000</v>
      </c>
      <c r="I17" s="235">
        <v>1000000</v>
      </c>
      <c r="J17" s="235">
        <v>0</v>
      </c>
      <c r="K17" s="235">
        <f t="shared" si="2"/>
        <v>1000000</v>
      </c>
      <c r="L17" s="235">
        <v>1000000</v>
      </c>
      <c r="M17" s="235">
        <v>0</v>
      </c>
      <c r="N17" s="235">
        <f t="shared" si="3"/>
        <v>1000000</v>
      </c>
      <c r="O17" s="235">
        <v>700000</v>
      </c>
      <c r="P17" s="235">
        <v>0</v>
      </c>
      <c r="Q17" s="235">
        <f t="shared" si="4"/>
        <v>700000</v>
      </c>
    </row>
    <row r="18" spans="1:17" x14ac:dyDescent="0.25">
      <c r="A18" s="346"/>
      <c r="B18" s="314" t="s">
        <v>663</v>
      </c>
      <c r="C18" s="235">
        <v>0</v>
      </c>
      <c r="D18" s="235">
        <v>0</v>
      </c>
      <c r="E18" s="235">
        <f t="shared" si="0"/>
        <v>0</v>
      </c>
      <c r="F18" s="235">
        <v>0</v>
      </c>
      <c r="G18" s="235">
        <v>0</v>
      </c>
      <c r="H18" s="235">
        <f t="shared" si="1"/>
        <v>0</v>
      </c>
      <c r="I18" s="235">
        <v>0</v>
      </c>
      <c r="J18" s="235">
        <v>0</v>
      </c>
      <c r="K18" s="235">
        <f t="shared" si="2"/>
        <v>0</v>
      </c>
      <c r="L18" s="235">
        <v>0</v>
      </c>
      <c r="M18" s="235">
        <v>0</v>
      </c>
      <c r="N18" s="235">
        <f t="shared" si="3"/>
        <v>0</v>
      </c>
      <c r="O18" s="235">
        <v>0</v>
      </c>
      <c r="P18" s="235">
        <v>0</v>
      </c>
      <c r="Q18" s="235">
        <f t="shared" si="4"/>
        <v>0</v>
      </c>
    </row>
    <row r="19" spans="1:17" x14ac:dyDescent="0.25">
      <c r="A19" s="346"/>
      <c r="B19" s="314" t="s">
        <v>664</v>
      </c>
      <c r="C19" s="235">
        <v>0</v>
      </c>
      <c r="D19" s="235">
        <v>0</v>
      </c>
      <c r="E19" s="235">
        <f t="shared" si="0"/>
        <v>0</v>
      </c>
      <c r="F19" s="235">
        <v>0</v>
      </c>
      <c r="G19" s="235">
        <v>0</v>
      </c>
      <c r="H19" s="235">
        <f t="shared" si="1"/>
        <v>0</v>
      </c>
      <c r="I19" s="235">
        <v>0</v>
      </c>
      <c r="J19" s="235">
        <v>0</v>
      </c>
      <c r="K19" s="235">
        <f t="shared" si="2"/>
        <v>0</v>
      </c>
      <c r="L19" s="235">
        <v>0</v>
      </c>
      <c r="M19" s="235">
        <v>0</v>
      </c>
      <c r="N19" s="235">
        <f t="shared" si="3"/>
        <v>0</v>
      </c>
      <c r="O19" s="235">
        <v>3841</v>
      </c>
      <c r="P19" s="235">
        <v>0</v>
      </c>
      <c r="Q19" s="235">
        <f t="shared" si="4"/>
        <v>3841</v>
      </c>
    </row>
    <row r="20" spans="1:17" x14ac:dyDescent="0.25">
      <c r="A20" s="311" t="s">
        <v>315</v>
      </c>
      <c r="B20" s="312" t="s">
        <v>316</v>
      </c>
      <c r="C20" s="313">
        <f>SUM(C21:C21)</f>
        <v>0</v>
      </c>
      <c r="D20" s="313">
        <f>SUM(D21:D21)</f>
        <v>0</v>
      </c>
      <c r="E20" s="313">
        <f t="shared" si="0"/>
        <v>0</v>
      </c>
      <c r="F20" s="503">
        <f>SUM(F21:F21)</f>
        <v>0</v>
      </c>
      <c r="G20" s="503">
        <f>SUM(G21:G21)</f>
        <v>0</v>
      </c>
      <c r="H20" s="503">
        <f t="shared" si="1"/>
        <v>0</v>
      </c>
      <c r="I20" s="503">
        <f>SUM(I21:I21)</f>
        <v>0</v>
      </c>
      <c r="J20" s="503">
        <f>SUM(J21:J21)</f>
        <v>0</v>
      </c>
      <c r="K20" s="503">
        <f t="shared" si="2"/>
        <v>0</v>
      </c>
      <c r="L20" s="503">
        <f>SUM(L21:L21)</f>
        <v>0</v>
      </c>
      <c r="M20" s="503">
        <f>SUM(M21:M21)</f>
        <v>0</v>
      </c>
      <c r="N20" s="503">
        <f t="shared" si="3"/>
        <v>0</v>
      </c>
      <c r="O20" s="503">
        <f>SUM(O21:O21)</f>
        <v>0</v>
      </c>
      <c r="P20" s="503">
        <f>SUM(P21:P21)</f>
        <v>0</v>
      </c>
      <c r="Q20" s="503">
        <f t="shared" si="4"/>
        <v>0</v>
      </c>
    </row>
    <row r="21" spans="1:17" ht="15" hidden="1" customHeight="1" x14ac:dyDescent="0.25">
      <c r="A21" s="346"/>
      <c r="B21" s="314" t="s">
        <v>317</v>
      </c>
      <c r="C21" s="235">
        <v>0</v>
      </c>
      <c r="D21" s="235">
        <v>0</v>
      </c>
      <c r="E21" s="235">
        <f t="shared" si="0"/>
        <v>0</v>
      </c>
      <c r="F21" s="235">
        <v>0</v>
      </c>
      <c r="G21" s="235">
        <v>0</v>
      </c>
      <c r="H21" s="235">
        <f t="shared" si="1"/>
        <v>0</v>
      </c>
      <c r="I21" s="235">
        <v>0</v>
      </c>
      <c r="J21" s="235">
        <v>0</v>
      </c>
      <c r="K21" s="235">
        <f t="shared" si="2"/>
        <v>0</v>
      </c>
      <c r="L21" s="235">
        <v>0</v>
      </c>
      <c r="M21" s="235">
        <v>0</v>
      </c>
      <c r="N21" s="235">
        <f t="shared" si="3"/>
        <v>0</v>
      </c>
      <c r="O21" s="235">
        <v>0</v>
      </c>
      <c r="P21" s="235">
        <v>0</v>
      </c>
      <c r="Q21" s="235">
        <f t="shared" si="4"/>
        <v>0</v>
      </c>
    </row>
    <row r="22" spans="1:17" x14ac:dyDescent="0.25">
      <c r="A22" s="308" t="s">
        <v>318</v>
      </c>
      <c r="B22" s="309" t="s">
        <v>319</v>
      </c>
      <c r="C22" s="310">
        <f>C23+C25+C28</f>
        <v>0</v>
      </c>
      <c r="D22" s="310">
        <f>D23+D25+D28</f>
        <v>0</v>
      </c>
      <c r="E22" s="310">
        <f t="shared" si="0"/>
        <v>0</v>
      </c>
      <c r="F22" s="501">
        <f>F23+F25+F28</f>
        <v>0</v>
      </c>
      <c r="G22" s="501">
        <f>G23+G25+G28</f>
        <v>0</v>
      </c>
      <c r="H22" s="501">
        <f t="shared" si="1"/>
        <v>0</v>
      </c>
      <c r="I22" s="501">
        <f>I23+I25+I28</f>
        <v>0</v>
      </c>
      <c r="J22" s="501">
        <f>J23+J25+J28</f>
        <v>0</v>
      </c>
      <c r="K22" s="501">
        <f t="shared" si="2"/>
        <v>0</v>
      </c>
      <c r="L22" s="501">
        <f>L23+L25+L28</f>
        <v>0</v>
      </c>
      <c r="M22" s="501">
        <f>M23+M25+M28</f>
        <v>0</v>
      </c>
      <c r="N22" s="501">
        <f t="shared" si="3"/>
        <v>0</v>
      </c>
      <c r="O22" s="501">
        <f>O23+O25+O28</f>
        <v>0</v>
      </c>
      <c r="P22" s="501">
        <f>P23+P25+P28</f>
        <v>0</v>
      </c>
      <c r="Q22" s="501">
        <f t="shared" si="4"/>
        <v>0</v>
      </c>
    </row>
    <row r="23" spans="1:17" ht="15" hidden="1" customHeight="1" x14ac:dyDescent="0.25">
      <c r="A23" s="311" t="s">
        <v>311</v>
      </c>
      <c r="B23" s="312" t="s">
        <v>320</v>
      </c>
      <c r="C23" s="313">
        <f>SUM(C24:C24)</f>
        <v>0</v>
      </c>
      <c r="D23" s="313">
        <f>SUM(D24:D24)</f>
        <v>0</v>
      </c>
      <c r="E23" s="313">
        <f t="shared" si="0"/>
        <v>0</v>
      </c>
      <c r="F23" s="503">
        <f>SUM(F24:F24)</f>
        <v>0</v>
      </c>
      <c r="G23" s="503">
        <f>SUM(G24:G24)</f>
        <v>0</v>
      </c>
      <c r="H23" s="503">
        <f t="shared" si="1"/>
        <v>0</v>
      </c>
      <c r="I23" s="503">
        <f>SUM(I24:I24)</f>
        <v>0</v>
      </c>
      <c r="J23" s="503">
        <f>SUM(J24:J24)</f>
        <v>0</v>
      </c>
      <c r="K23" s="503">
        <f t="shared" si="2"/>
        <v>0</v>
      </c>
      <c r="L23" s="503">
        <f>SUM(L24:L24)</f>
        <v>0</v>
      </c>
      <c r="M23" s="503">
        <f>SUM(M24:M24)</f>
        <v>0</v>
      </c>
      <c r="N23" s="503">
        <f t="shared" si="3"/>
        <v>0</v>
      </c>
      <c r="O23" s="503">
        <f>SUM(O24:O24)</f>
        <v>0</v>
      </c>
      <c r="P23" s="503">
        <f>SUM(P24:P24)</f>
        <v>0</v>
      </c>
      <c r="Q23" s="503">
        <f t="shared" si="4"/>
        <v>0</v>
      </c>
    </row>
    <row r="24" spans="1:17" ht="30" hidden="1" customHeight="1" x14ac:dyDescent="0.25">
      <c r="A24" s="346"/>
      <c r="B24" s="234" t="s">
        <v>321</v>
      </c>
      <c r="C24" s="235">
        <v>0</v>
      </c>
      <c r="D24" s="235">
        <v>0</v>
      </c>
      <c r="E24" s="235">
        <f t="shared" si="0"/>
        <v>0</v>
      </c>
      <c r="F24" s="235">
        <v>0</v>
      </c>
      <c r="G24" s="235">
        <v>0</v>
      </c>
      <c r="H24" s="235">
        <f t="shared" si="1"/>
        <v>0</v>
      </c>
      <c r="I24" s="235">
        <v>0</v>
      </c>
      <c r="J24" s="235">
        <v>0</v>
      </c>
      <c r="K24" s="235">
        <f t="shared" si="2"/>
        <v>0</v>
      </c>
      <c r="L24" s="235">
        <v>0</v>
      </c>
      <c r="M24" s="235">
        <v>0</v>
      </c>
      <c r="N24" s="235">
        <f t="shared" si="3"/>
        <v>0</v>
      </c>
      <c r="O24" s="235">
        <v>0</v>
      </c>
      <c r="P24" s="235">
        <v>0</v>
      </c>
      <c r="Q24" s="235">
        <f t="shared" si="4"/>
        <v>0</v>
      </c>
    </row>
    <row r="25" spans="1:17" ht="15" hidden="1" customHeight="1" x14ac:dyDescent="0.25">
      <c r="A25" s="311" t="s">
        <v>322</v>
      </c>
      <c r="B25" s="312" t="s">
        <v>257</v>
      </c>
      <c r="C25" s="313">
        <f>SUM(C26:C27)</f>
        <v>0</v>
      </c>
      <c r="D25" s="313">
        <f>SUM(D26:D27)</f>
        <v>0</v>
      </c>
      <c r="E25" s="313">
        <f t="shared" si="0"/>
        <v>0</v>
      </c>
      <c r="F25" s="503">
        <f>SUM(F26:F27)</f>
        <v>0</v>
      </c>
      <c r="G25" s="503">
        <f>SUM(G26:G27)</f>
        <v>0</v>
      </c>
      <c r="H25" s="503">
        <f t="shared" si="1"/>
        <v>0</v>
      </c>
      <c r="I25" s="503">
        <f>SUM(I26:I27)</f>
        <v>0</v>
      </c>
      <c r="J25" s="503">
        <f>SUM(J26:J27)</f>
        <v>0</v>
      </c>
      <c r="K25" s="503">
        <f t="shared" si="2"/>
        <v>0</v>
      </c>
      <c r="L25" s="503">
        <f>SUM(L26:L27)</f>
        <v>0</v>
      </c>
      <c r="M25" s="503">
        <f>SUM(M26:M27)</f>
        <v>0</v>
      </c>
      <c r="N25" s="503">
        <f t="shared" si="3"/>
        <v>0</v>
      </c>
      <c r="O25" s="503">
        <f>SUM(O26:O27)</f>
        <v>0</v>
      </c>
      <c r="P25" s="503">
        <f>SUM(P26:P27)</f>
        <v>0</v>
      </c>
      <c r="Q25" s="503">
        <f t="shared" si="4"/>
        <v>0</v>
      </c>
    </row>
    <row r="26" spans="1:17" ht="15" hidden="1" customHeight="1" x14ac:dyDescent="0.25">
      <c r="A26" s="346"/>
      <c r="B26" s="316" t="s">
        <v>323</v>
      </c>
      <c r="C26" s="235">
        <v>0</v>
      </c>
      <c r="D26" s="235">
        <v>0</v>
      </c>
      <c r="E26" s="235">
        <f t="shared" si="0"/>
        <v>0</v>
      </c>
      <c r="F26" s="235">
        <v>0</v>
      </c>
      <c r="G26" s="235">
        <v>0</v>
      </c>
      <c r="H26" s="235">
        <f t="shared" si="1"/>
        <v>0</v>
      </c>
      <c r="I26" s="235">
        <v>0</v>
      </c>
      <c r="J26" s="235">
        <v>0</v>
      </c>
      <c r="K26" s="235">
        <f t="shared" si="2"/>
        <v>0</v>
      </c>
      <c r="L26" s="235">
        <v>0</v>
      </c>
      <c r="M26" s="235">
        <v>0</v>
      </c>
      <c r="N26" s="235">
        <f t="shared" si="3"/>
        <v>0</v>
      </c>
      <c r="O26" s="235">
        <v>0</v>
      </c>
      <c r="P26" s="235">
        <v>0</v>
      </c>
      <c r="Q26" s="235">
        <f t="shared" si="4"/>
        <v>0</v>
      </c>
    </row>
    <row r="27" spans="1:17" ht="15" hidden="1" customHeight="1" x14ac:dyDescent="0.25">
      <c r="A27" s="346"/>
      <c r="B27" s="316" t="s">
        <v>324</v>
      </c>
      <c r="C27" s="235">
        <v>0</v>
      </c>
      <c r="D27" s="235">
        <v>0</v>
      </c>
      <c r="E27" s="235">
        <f t="shared" si="0"/>
        <v>0</v>
      </c>
      <c r="F27" s="235">
        <v>0</v>
      </c>
      <c r="G27" s="235">
        <v>0</v>
      </c>
      <c r="H27" s="235">
        <f t="shared" si="1"/>
        <v>0</v>
      </c>
      <c r="I27" s="235">
        <v>0</v>
      </c>
      <c r="J27" s="235">
        <v>0</v>
      </c>
      <c r="K27" s="235">
        <f t="shared" si="2"/>
        <v>0</v>
      </c>
      <c r="L27" s="235">
        <v>0</v>
      </c>
      <c r="M27" s="235">
        <v>0</v>
      </c>
      <c r="N27" s="235">
        <f t="shared" si="3"/>
        <v>0</v>
      </c>
      <c r="O27" s="235">
        <v>0</v>
      </c>
      <c r="P27" s="235">
        <v>0</v>
      </c>
      <c r="Q27" s="235">
        <f t="shared" si="4"/>
        <v>0</v>
      </c>
    </row>
    <row r="28" spans="1:17" ht="15" hidden="1" customHeight="1" x14ac:dyDescent="0.25">
      <c r="A28" s="311" t="s">
        <v>315</v>
      </c>
      <c r="B28" s="312" t="s">
        <v>325</v>
      </c>
      <c r="C28" s="313">
        <f>SUM(C29:C29)</f>
        <v>0</v>
      </c>
      <c r="D28" s="313">
        <f>SUM(D29:D29)</f>
        <v>0</v>
      </c>
      <c r="E28" s="313">
        <f t="shared" si="0"/>
        <v>0</v>
      </c>
      <c r="F28" s="503">
        <f>SUM(F29:F29)</f>
        <v>0</v>
      </c>
      <c r="G28" s="503">
        <f>SUM(G29:G29)</f>
        <v>0</v>
      </c>
      <c r="H28" s="503">
        <f t="shared" si="1"/>
        <v>0</v>
      </c>
      <c r="I28" s="503">
        <f>SUM(I29:I29)</f>
        <v>0</v>
      </c>
      <c r="J28" s="503">
        <f>SUM(J29:J29)</f>
        <v>0</v>
      </c>
      <c r="K28" s="503">
        <f t="shared" si="2"/>
        <v>0</v>
      </c>
      <c r="L28" s="503">
        <f>SUM(L29:L29)</f>
        <v>0</v>
      </c>
      <c r="M28" s="503">
        <f>SUM(M29:M29)</f>
        <v>0</v>
      </c>
      <c r="N28" s="503">
        <f t="shared" si="3"/>
        <v>0</v>
      </c>
      <c r="O28" s="503">
        <f>SUM(O29:O29)</f>
        <v>0</v>
      </c>
      <c r="P28" s="503">
        <f>SUM(P29:P29)</f>
        <v>0</v>
      </c>
      <c r="Q28" s="503">
        <f t="shared" si="4"/>
        <v>0</v>
      </c>
    </row>
    <row r="29" spans="1:17" ht="15" hidden="1" customHeight="1" x14ac:dyDescent="0.25">
      <c r="A29" s="346"/>
      <c r="B29" s="316" t="s">
        <v>326</v>
      </c>
      <c r="C29" s="235">
        <v>0</v>
      </c>
      <c r="D29" s="235">
        <v>0</v>
      </c>
      <c r="E29" s="235">
        <f t="shared" si="0"/>
        <v>0</v>
      </c>
      <c r="F29" s="235">
        <v>0</v>
      </c>
      <c r="G29" s="235">
        <v>0</v>
      </c>
      <c r="H29" s="235">
        <f t="shared" si="1"/>
        <v>0</v>
      </c>
      <c r="I29" s="235">
        <v>0</v>
      </c>
      <c r="J29" s="235">
        <v>0</v>
      </c>
      <c r="K29" s="235">
        <f t="shared" si="2"/>
        <v>0</v>
      </c>
      <c r="L29" s="235">
        <v>0</v>
      </c>
      <c r="M29" s="235">
        <v>0</v>
      </c>
      <c r="N29" s="235">
        <f t="shared" si="3"/>
        <v>0</v>
      </c>
      <c r="O29" s="235">
        <v>0</v>
      </c>
      <c r="P29" s="235">
        <v>0</v>
      </c>
      <c r="Q29" s="235">
        <f t="shared" si="4"/>
        <v>0</v>
      </c>
    </row>
    <row r="30" spans="1:17" x14ac:dyDescent="0.25">
      <c r="A30" s="344"/>
      <c r="B30" s="317" t="s">
        <v>327</v>
      </c>
      <c r="C30" s="318">
        <f>C22+C8</f>
        <v>10700000</v>
      </c>
      <c r="D30" s="318">
        <f>D22+D8</f>
        <v>0</v>
      </c>
      <c r="E30" s="318">
        <f t="shared" si="0"/>
        <v>10700000</v>
      </c>
      <c r="F30" s="511">
        <f>F22+F8</f>
        <v>10700000</v>
      </c>
      <c r="G30" s="511">
        <f>G22+G8</f>
        <v>0</v>
      </c>
      <c r="H30" s="511">
        <f t="shared" si="1"/>
        <v>10700000</v>
      </c>
      <c r="I30" s="511">
        <f>I22+I8</f>
        <v>10700000</v>
      </c>
      <c r="J30" s="511">
        <f>J22+J8</f>
        <v>0</v>
      </c>
      <c r="K30" s="511">
        <f t="shared" si="2"/>
        <v>10700000</v>
      </c>
      <c r="L30" s="511">
        <f>L22+L8</f>
        <v>10700000</v>
      </c>
      <c r="M30" s="511">
        <f>M22+M8</f>
        <v>0</v>
      </c>
      <c r="N30" s="511">
        <f t="shared" si="3"/>
        <v>10700000</v>
      </c>
      <c r="O30" s="511">
        <f>O22+O8</f>
        <v>8600257</v>
      </c>
      <c r="P30" s="511">
        <f>P22+P8</f>
        <v>0</v>
      </c>
      <c r="Q30" s="511">
        <f t="shared" si="4"/>
        <v>8600257</v>
      </c>
    </row>
    <row r="31" spans="1:17" x14ac:dyDescent="0.25">
      <c r="A31" s="308" t="s">
        <v>328</v>
      </c>
      <c r="B31" s="309" t="s">
        <v>329</v>
      </c>
      <c r="C31" s="310">
        <f>C32</f>
        <v>348872890</v>
      </c>
      <c r="D31" s="310">
        <f>D32</f>
        <v>0</v>
      </c>
      <c r="E31" s="310">
        <f t="shared" si="0"/>
        <v>348872890</v>
      </c>
      <c r="F31" s="501">
        <f>F32</f>
        <v>361547290</v>
      </c>
      <c r="G31" s="501">
        <f>G32</f>
        <v>0</v>
      </c>
      <c r="H31" s="501">
        <f t="shared" si="1"/>
        <v>361547290</v>
      </c>
      <c r="I31" s="501">
        <f>I32</f>
        <v>351101856</v>
      </c>
      <c r="J31" s="501">
        <f>J32</f>
        <v>0</v>
      </c>
      <c r="K31" s="501">
        <f t="shared" si="2"/>
        <v>351101856</v>
      </c>
      <c r="L31" s="501">
        <f>L32</f>
        <v>351101856</v>
      </c>
      <c r="M31" s="501">
        <f>M32</f>
        <v>0</v>
      </c>
      <c r="N31" s="501">
        <f t="shared" si="3"/>
        <v>351101856</v>
      </c>
      <c r="O31" s="501">
        <f>O32</f>
        <v>335083396</v>
      </c>
      <c r="P31" s="501">
        <f>P32</f>
        <v>0</v>
      </c>
      <c r="Q31" s="501">
        <f t="shared" si="4"/>
        <v>335083396</v>
      </c>
    </row>
    <row r="32" spans="1:17" x14ac:dyDescent="0.25">
      <c r="A32" s="311" t="s">
        <v>311</v>
      </c>
      <c r="B32" s="312" t="s">
        <v>330</v>
      </c>
      <c r="C32" s="313">
        <f>SUM(C33:C34)</f>
        <v>348872890</v>
      </c>
      <c r="D32" s="313">
        <f>SUM(D33:D34)</f>
        <v>0</v>
      </c>
      <c r="E32" s="313">
        <f t="shared" si="0"/>
        <v>348872890</v>
      </c>
      <c r="F32" s="503">
        <f>SUM(F33:F34)</f>
        <v>361547290</v>
      </c>
      <c r="G32" s="503">
        <f>SUM(G33:G34)</f>
        <v>0</v>
      </c>
      <c r="H32" s="503">
        <f t="shared" si="1"/>
        <v>361547290</v>
      </c>
      <c r="I32" s="503">
        <f>SUM(I33:I34)</f>
        <v>351101856</v>
      </c>
      <c r="J32" s="503">
        <f>SUM(J33:J34)</f>
        <v>0</v>
      </c>
      <c r="K32" s="503">
        <f t="shared" si="2"/>
        <v>351101856</v>
      </c>
      <c r="L32" s="503">
        <f>SUM(L33:L34)</f>
        <v>351101856</v>
      </c>
      <c r="M32" s="503">
        <f>SUM(M33:M34)</f>
        <v>0</v>
      </c>
      <c r="N32" s="503">
        <f t="shared" si="3"/>
        <v>351101856</v>
      </c>
      <c r="O32" s="503">
        <f>SUM(O33:O34)</f>
        <v>335083396</v>
      </c>
      <c r="P32" s="503">
        <f>SUM(P33:P34)</f>
        <v>0</v>
      </c>
      <c r="Q32" s="503">
        <f t="shared" si="4"/>
        <v>335083396</v>
      </c>
    </row>
    <row r="33" spans="1:18" x14ac:dyDescent="0.25">
      <c r="A33" s="346"/>
      <c r="B33" s="316" t="s">
        <v>331</v>
      </c>
      <c r="C33" s="235">
        <v>0</v>
      </c>
      <c r="D33" s="235">
        <v>0</v>
      </c>
      <c r="E33" s="235">
        <f t="shared" si="0"/>
        <v>0</v>
      </c>
      <c r="F33" s="235">
        <v>12674400</v>
      </c>
      <c r="G33" s="235">
        <v>0</v>
      </c>
      <c r="H33" s="235">
        <f t="shared" si="1"/>
        <v>12674400</v>
      </c>
      <c r="I33" s="235">
        <v>12674400</v>
      </c>
      <c r="J33" s="235">
        <v>0</v>
      </c>
      <c r="K33" s="235">
        <f t="shared" si="2"/>
        <v>12674400</v>
      </c>
      <c r="L33" s="235">
        <v>12674400</v>
      </c>
      <c r="M33" s="235">
        <v>0</v>
      </c>
      <c r="N33" s="235">
        <f t="shared" si="3"/>
        <v>12674400</v>
      </c>
      <c r="O33" s="235">
        <v>12674400</v>
      </c>
      <c r="P33" s="235">
        <v>0</v>
      </c>
      <c r="Q33" s="235">
        <f t="shared" si="4"/>
        <v>12674400</v>
      </c>
    </row>
    <row r="34" spans="1:18" x14ac:dyDescent="0.25">
      <c r="A34" s="346"/>
      <c r="B34" s="316" t="s">
        <v>332</v>
      </c>
      <c r="C34" s="235">
        <f>C46-C30-C33</f>
        <v>348872890</v>
      </c>
      <c r="D34" s="235">
        <f>D46-D30-D33</f>
        <v>0</v>
      </c>
      <c r="E34" s="235">
        <f t="shared" si="0"/>
        <v>348872890</v>
      </c>
      <c r="F34" s="235">
        <f>F46-F30-F33</f>
        <v>348872890</v>
      </c>
      <c r="G34" s="235">
        <f>G46-G30-G33</f>
        <v>0</v>
      </c>
      <c r="H34" s="235">
        <f t="shared" si="1"/>
        <v>348872890</v>
      </c>
      <c r="I34" s="235">
        <f>I46-I30-I33</f>
        <v>338427456</v>
      </c>
      <c r="J34" s="235">
        <f>J46-J30-J33</f>
        <v>0</v>
      </c>
      <c r="K34" s="235">
        <f t="shared" si="2"/>
        <v>338427456</v>
      </c>
      <c r="L34" s="235">
        <f>L46-L30-L33</f>
        <v>338427456</v>
      </c>
      <c r="M34" s="235">
        <f>M46-M30-M33</f>
        <v>0</v>
      </c>
      <c r="N34" s="235">
        <f t="shared" si="3"/>
        <v>338427456</v>
      </c>
      <c r="O34" s="235">
        <v>322408996</v>
      </c>
      <c r="P34" s="235">
        <f>P46-P30-P33</f>
        <v>0</v>
      </c>
      <c r="Q34" s="235">
        <f t="shared" si="4"/>
        <v>322408996</v>
      </c>
    </row>
    <row r="35" spans="1:18" x14ac:dyDescent="0.25">
      <c r="A35" s="319"/>
      <c r="B35" s="320" t="s">
        <v>333</v>
      </c>
      <c r="C35" s="292">
        <f>C31+C22+C8</f>
        <v>359572890</v>
      </c>
      <c r="D35" s="292">
        <f>D31+D22+D8</f>
        <v>0</v>
      </c>
      <c r="E35" s="292">
        <f t="shared" si="0"/>
        <v>359572890</v>
      </c>
      <c r="F35" s="292">
        <f>F31+F22+F8</f>
        <v>372247290</v>
      </c>
      <c r="G35" s="292">
        <f>G31+G22+G8</f>
        <v>0</v>
      </c>
      <c r="H35" s="292">
        <f t="shared" si="1"/>
        <v>372247290</v>
      </c>
      <c r="I35" s="292">
        <f>I31+I22+I8</f>
        <v>361801856</v>
      </c>
      <c r="J35" s="292">
        <f>J31+J22+J8</f>
        <v>0</v>
      </c>
      <c r="K35" s="292">
        <f t="shared" si="2"/>
        <v>361801856</v>
      </c>
      <c r="L35" s="292">
        <f>L31+L22+L8</f>
        <v>361801856</v>
      </c>
      <c r="M35" s="292">
        <f>M31+M22+M8</f>
        <v>0</v>
      </c>
      <c r="N35" s="292">
        <f t="shared" si="3"/>
        <v>361801856</v>
      </c>
      <c r="O35" s="292">
        <f>O31+O22+O8</f>
        <v>343683653</v>
      </c>
      <c r="P35" s="292">
        <f>P31+P22+P8</f>
        <v>0</v>
      </c>
      <c r="Q35" s="292">
        <f t="shared" si="4"/>
        <v>343683653</v>
      </c>
    </row>
    <row r="36" spans="1:18" x14ac:dyDescent="0.25">
      <c r="A36" s="308" t="s">
        <v>309</v>
      </c>
      <c r="B36" s="309" t="s">
        <v>334</v>
      </c>
      <c r="C36" s="310">
        <f>SUM(C37:C41)</f>
        <v>358556890</v>
      </c>
      <c r="D36" s="310">
        <f>SUM(D37:D41)</f>
        <v>0</v>
      </c>
      <c r="E36" s="310">
        <f t="shared" si="0"/>
        <v>358556890</v>
      </c>
      <c r="F36" s="501">
        <f>SUM(F37:F41)</f>
        <v>371231290</v>
      </c>
      <c r="G36" s="501">
        <f>SUM(G37:G41)</f>
        <v>0</v>
      </c>
      <c r="H36" s="501">
        <f t="shared" si="1"/>
        <v>371231290</v>
      </c>
      <c r="I36" s="501">
        <f>SUM(I37:I41)</f>
        <v>359671042</v>
      </c>
      <c r="J36" s="501">
        <f>SUM(J37:J41)</f>
        <v>0</v>
      </c>
      <c r="K36" s="501">
        <f t="shared" si="2"/>
        <v>359671042</v>
      </c>
      <c r="L36" s="501">
        <f>SUM(L37:L41)</f>
        <v>359126528</v>
      </c>
      <c r="M36" s="501">
        <f>SUM(M37:M41)</f>
        <v>0</v>
      </c>
      <c r="N36" s="501">
        <f t="shared" si="3"/>
        <v>359126528</v>
      </c>
      <c r="O36" s="501">
        <f>SUM(O37:O41)</f>
        <v>338646699</v>
      </c>
      <c r="P36" s="501">
        <f>SUM(P37:P41)</f>
        <v>0</v>
      </c>
      <c r="Q36" s="501">
        <f t="shared" si="4"/>
        <v>338646699</v>
      </c>
    </row>
    <row r="37" spans="1:18" x14ac:dyDescent="0.25">
      <c r="A37" s="311" t="s">
        <v>311</v>
      </c>
      <c r="B37" s="312" t="s">
        <v>286</v>
      </c>
      <c r="C37" s="313">
        <f>'5 GSZNR fel'!E42+'5 GSZNR fel'!E48</f>
        <v>222046000</v>
      </c>
      <c r="D37" s="313">
        <f>'5 GSZNR fel'!D42+'5 GSZNR fel'!D48</f>
        <v>0</v>
      </c>
      <c r="E37" s="313">
        <f t="shared" si="0"/>
        <v>222046000</v>
      </c>
      <c r="F37" s="503">
        <f>'5 GSZNR fel'!H42+'5 GSZNR fel'!H48</f>
        <v>222046000</v>
      </c>
      <c r="G37" s="503">
        <f>'5 GSZNR fel'!G42+'5 GSZNR fel'!G48</f>
        <v>0</v>
      </c>
      <c r="H37" s="503">
        <f t="shared" si="1"/>
        <v>222046000</v>
      </c>
      <c r="I37" s="503">
        <f>'5 GSZNR fel'!K42+'5 GSZNR fel'!K48</f>
        <v>222046000</v>
      </c>
      <c r="J37" s="503">
        <f>'5 GSZNR fel'!J42+'5 GSZNR fel'!J48</f>
        <v>0</v>
      </c>
      <c r="K37" s="503">
        <f t="shared" si="2"/>
        <v>222046000</v>
      </c>
      <c r="L37" s="503">
        <f>'5 GSZNR fel'!N42+'5 GSZNR fel'!N48</f>
        <v>222046000</v>
      </c>
      <c r="M37" s="503">
        <f>'5 GSZNR fel'!M42+'5 GSZNR fel'!M48</f>
        <v>0</v>
      </c>
      <c r="N37" s="503">
        <f t="shared" si="3"/>
        <v>222046000</v>
      </c>
      <c r="O37" s="503">
        <f>'5 GSZNR fel'!Q42+'5 GSZNR fel'!Q48</f>
        <v>219156233</v>
      </c>
      <c r="P37" s="503">
        <f>'5 GSZNR fel'!P42+'5 GSZNR fel'!P48</f>
        <v>0</v>
      </c>
      <c r="Q37" s="503">
        <f t="shared" si="4"/>
        <v>219156233</v>
      </c>
    </row>
    <row r="38" spans="1:18" x14ac:dyDescent="0.25">
      <c r="A38" s="311" t="s">
        <v>322</v>
      </c>
      <c r="B38" s="312" t="s">
        <v>335</v>
      </c>
      <c r="C38" s="313">
        <f>'5 GSZNR fel'!E43+'5 GSZNR fel'!E49</f>
        <v>46170290</v>
      </c>
      <c r="D38" s="313">
        <f>'5 GSZNR fel'!D43+'5 GSZNR fel'!D49</f>
        <v>0</v>
      </c>
      <c r="E38" s="313">
        <f t="shared" si="0"/>
        <v>46170290</v>
      </c>
      <c r="F38" s="503">
        <f>'5 GSZNR fel'!H43+'5 GSZNR fel'!H49</f>
        <v>46170290</v>
      </c>
      <c r="G38" s="503">
        <f>'5 GSZNR fel'!G43+'5 GSZNR fel'!G49</f>
        <v>0</v>
      </c>
      <c r="H38" s="503">
        <f t="shared" si="1"/>
        <v>46170290</v>
      </c>
      <c r="I38" s="503">
        <f>'5 GSZNR fel'!K43+'5 GSZNR fel'!K49</f>
        <v>46170290</v>
      </c>
      <c r="J38" s="503">
        <f>'5 GSZNR fel'!J43+'5 GSZNR fel'!J49</f>
        <v>0</v>
      </c>
      <c r="K38" s="503">
        <f t="shared" si="2"/>
        <v>46170290</v>
      </c>
      <c r="L38" s="503">
        <f>'5 GSZNR fel'!N43+'5 GSZNR fel'!N49</f>
        <v>46170290</v>
      </c>
      <c r="M38" s="503">
        <f>'5 GSZNR fel'!M43+'5 GSZNR fel'!M49</f>
        <v>0</v>
      </c>
      <c r="N38" s="503">
        <f t="shared" si="3"/>
        <v>46170290</v>
      </c>
      <c r="O38" s="503">
        <f>'5 GSZNR fel'!Q43+'5 GSZNR fel'!Q49</f>
        <v>40815023</v>
      </c>
      <c r="P38" s="503">
        <f>'5 GSZNR fel'!P43+'5 GSZNR fel'!P49</f>
        <v>0</v>
      </c>
      <c r="Q38" s="503">
        <f t="shared" si="4"/>
        <v>40815023</v>
      </c>
    </row>
    <row r="39" spans="1:18" x14ac:dyDescent="0.25">
      <c r="A39" s="311" t="s">
        <v>315</v>
      </c>
      <c r="B39" s="312" t="s">
        <v>292</v>
      </c>
      <c r="C39" s="313">
        <f>'5 GSZNR fel'!E44+'5 GSZNR fel'!E50</f>
        <v>90340600</v>
      </c>
      <c r="D39" s="313">
        <f>'5 GSZNR fel'!D44+'5 GSZNR fel'!D50</f>
        <v>0</v>
      </c>
      <c r="E39" s="623">
        <f t="shared" si="0"/>
        <v>90340600</v>
      </c>
      <c r="F39" s="503">
        <f>'5 GSZNR fel'!H44+'5 GSZNR fel'!H50</f>
        <v>90660895</v>
      </c>
      <c r="G39" s="503">
        <f>'5 GSZNR fel'!G44+'5 GSZNR fel'!G50</f>
        <v>0</v>
      </c>
      <c r="H39" s="623">
        <f t="shared" si="1"/>
        <v>90660895</v>
      </c>
      <c r="I39" s="503">
        <f>'5 GSZNR fel'!K44+'5 GSZNR fel'!K50</f>
        <v>79100647</v>
      </c>
      <c r="J39" s="503">
        <f>'5 GSZNR fel'!J44+'5 GSZNR fel'!J50</f>
        <v>0</v>
      </c>
      <c r="K39" s="623">
        <f t="shared" si="2"/>
        <v>79100647</v>
      </c>
      <c r="L39" s="503">
        <f>'5 GSZNR fel'!N44+'5 GSZNR fel'!N50+'5 GSZNR fel'!N53</f>
        <v>78556133</v>
      </c>
      <c r="M39" s="503">
        <f>'5 GSZNR fel'!M44+'5 GSZNR fel'!M50</f>
        <v>0</v>
      </c>
      <c r="N39" s="623">
        <f t="shared" si="3"/>
        <v>78556133</v>
      </c>
      <c r="O39" s="503">
        <f>'5 GSZNR fel'!Q44+'5 GSZNR fel'!Q50+'5 GSZNR fel'!Q53</f>
        <v>66321338</v>
      </c>
      <c r="P39" s="503">
        <f>'5 GSZNR fel'!P44+'5 GSZNR fel'!P50</f>
        <v>0</v>
      </c>
      <c r="Q39" s="623">
        <f t="shared" si="4"/>
        <v>66321338</v>
      </c>
      <c r="R39" s="39">
        <f>+N39-K39</f>
        <v>-544514</v>
      </c>
    </row>
    <row r="40" spans="1:18" x14ac:dyDescent="0.25">
      <c r="A40" s="311" t="s">
        <v>336</v>
      </c>
      <c r="B40" s="312" t="s">
        <v>337</v>
      </c>
      <c r="C40" s="313">
        <v>0</v>
      </c>
      <c r="D40" s="313">
        <v>0</v>
      </c>
      <c r="E40" s="313">
        <f t="shared" si="0"/>
        <v>0</v>
      </c>
      <c r="F40" s="503">
        <v>0</v>
      </c>
      <c r="G40" s="503">
        <v>0</v>
      </c>
      <c r="H40" s="503">
        <f t="shared" si="1"/>
        <v>0</v>
      </c>
      <c r="I40" s="503">
        <v>0</v>
      </c>
      <c r="J40" s="503">
        <v>0</v>
      </c>
      <c r="K40" s="503">
        <f t="shared" si="2"/>
        <v>0</v>
      </c>
      <c r="L40" s="503">
        <v>0</v>
      </c>
      <c r="M40" s="503">
        <v>0</v>
      </c>
      <c r="N40" s="503">
        <f t="shared" si="3"/>
        <v>0</v>
      </c>
      <c r="O40" s="503">
        <v>0</v>
      </c>
      <c r="P40" s="503">
        <v>0</v>
      </c>
      <c r="Q40" s="503">
        <f t="shared" si="4"/>
        <v>0</v>
      </c>
    </row>
    <row r="41" spans="1:18" x14ac:dyDescent="0.25">
      <c r="A41" s="311" t="s">
        <v>338</v>
      </c>
      <c r="B41" s="312" t="s">
        <v>339</v>
      </c>
      <c r="C41" s="313">
        <f>+'5 GSZNR fel'!E45</f>
        <v>0</v>
      </c>
      <c r="D41" s="313">
        <f>+'5 GSZNR fel'!D45</f>
        <v>0</v>
      </c>
      <c r="E41" s="313">
        <f t="shared" si="0"/>
        <v>0</v>
      </c>
      <c r="F41" s="503">
        <f>+'5 GSZNR fel'!H45</f>
        <v>12354105</v>
      </c>
      <c r="G41" s="503">
        <f>+'5 GSZNR fel'!G45</f>
        <v>0</v>
      </c>
      <c r="H41" s="503">
        <f t="shared" si="1"/>
        <v>12354105</v>
      </c>
      <c r="I41" s="503">
        <f>+'5 GSZNR fel'!K45</f>
        <v>12354105</v>
      </c>
      <c r="J41" s="503">
        <f>+'5 GSZNR fel'!J45</f>
        <v>0</v>
      </c>
      <c r="K41" s="503">
        <f t="shared" si="2"/>
        <v>12354105</v>
      </c>
      <c r="L41" s="503">
        <f>+'5 GSZNR fel'!N45</f>
        <v>12354105</v>
      </c>
      <c r="M41" s="503">
        <f>+'5 GSZNR fel'!M45</f>
        <v>0</v>
      </c>
      <c r="N41" s="503">
        <f t="shared" si="3"/>
        <v>12354105</v>
      </c>
      <c r="O41" s="503">
        <f>+'5 GSZNR fel'!Q45</f>
        <v>12354105</v>
      </c>
      <c r="P41" s="503">
        <f>+'5 GSZNR fel'!P45</f>
        <v>0</v>
      </c>
      <c r="Q41" s="503">
        <f t="shared" si="4"/>
        <v>12354105</v>
      </c>
    </row>
    <row r="42" spans="1:18" x14ac:dyDescent="0.25">
      <c r="A42" s="308" t="s">
        <v>318</v>
      </c>
      <c r="B42" s="309" t="s">
        <v>340</v>
      </c>
      <c r="C42" s="310">
        <f>SUM(C43:C45)</f>
        <v>1016000</v>
      </c>
      <c r="D42" s="310">
        <f>SUM(D43:D45)</f>
        <v>0</v>
      </c>
      <c r="E42" s="310">
        <f t="shared" si="0"/>
        <v>1016000</v>
      </c>
      <c r="F42" s="501">
        <f>SUM(F43:F45)</f>
        <v>1016000</v>
      </c>
      <c r="G42" s="501">
        <f>SUM(G43:G45)</f>
        <v>0</v>
      </c>
      <c r="H42" s="501">
        <f t="shared" si="1"/>
        <v>1016000</v>
      </c>
      <c r="I42" s="501">
        <f>SUM(I43:I45)</f>
        <v>2130814</v>
      </c>
      <c r="J42" s="501">
        <f>SUM(J43:J45)</f>
        <v>0</v>
      </c>
      <c r="K42" s="501">
        <f t="shared" si="2"/>
        <v>2130814</v>
      </c>
      <c r="L42" s="501">
        <f>SUM(L43:L45)</f>
        <v>2675328</v>
      </c>
      <c r="M42" s="501">
        <f>SUM(M43:M45)</f>
        <v>0</v>
      </c>
      <c r="N42" s="501">
        <f t="shared" si="3"/>
        <v>2675328</v>
      </c>
      <c r="O42" s="501">
        <f>SUM(O43:O45)</f>
        <v>2673753</v>
      </c>
      <c r="P42" s="501">
        <f>SUM(P43:P45)</f>
        <v>0</v>
      </c>
      <c r="Q42" s="501">
        <f t="shared" si="4"/>
        <v>2673753</v>
      </c>
    </row>
    <row r="43" spans="1:18" x14ac:dyDescent="0.25">
      <c r="A43" s="311" t="s">
        <v>311</v>
      </c>
      <c r="B43" s="312" t="s">
        <v>341</v>
      </c>
      <c r="C43" s="313">
        <f>'5 GSZNR fel'!E46+'5 GSZNR fel'!E51</f>
        <v>1016000</v>
      </c>
      <c r="D43" s="313">
        <f>'5 GSZNR fel'!D46+'5 GSZNR fel'!D51</f>
        <v>0</v>
      </c>
      <c r="E43" s="313">
        <f t="shared" si="0"/>
        <v>1016000</v>
      </c>
      <c r="F43" s="503">
        <f>'5 GSZNR fel'!H46+'5 GSZNR fel'!H51</f>
        <v>1016000</v>
      </c>
      <c r="G43" s="503">
        <f>'5 GSZNR fel'!G46+'5 GSZNR fel'!G51</f>
        <v>0</v>
      </c>
      <c r="H43" s="503">
        <f t="shared" si="1"/>
        <v>1016000</v>
      </c>
      <c r="I43" s="503">
        <f>'5 GSZNR fel'!K46+'5 GSZNR fel'!K51</f>
        <v>2130814</v>
      </c>
      <c r="J43" s="503">
        <f>'5 GSZNR fel'!J46+'5 GSZNR fel'!J51</f>
        <v>0</v>
      </c>
      <c r="K43" s="503">
        <f t="shared" si="2"/>
        <v>2130814</v>
      </c>
      <c r="L43" s="503">
        <f>'5 GSZNR fel'!N46+'5 GSZNR fel'!N51+'5 GSZNR fel'!N54</f>
        <v>2675328</v>
      </c>
      <c r="M43" s="503">
        <f>'5 GSZNR fel'!M46+'5 GSZNR fel'!M51</f>
        <v>0</v>
      </c>
      <c r="N43" s="503">
        <f t="shared" si="3"/>
        <v>2675328</v>
      </c>
      <c r="O43" s="503">
        <f>'5 GSZNR fel'!Q46+'5 GSZNR fel'!Q51+'5 GSZNR fel'!Q54</f>
        <v>2673753</v>
      </c>
      <c r="P43" s="503">
        <f>'5 GSZNR fel'!P46+'5 GSZNR fel'!P51</f>
        <v>0</v>
      </c>
      <c r="Q43" s="503">
        <f t="shared" si="4"/>
        <v>2673753</v>
      </c>
    </row>
    <row r="44" spans="1:18" x14ac:dyDescent="0.25">
      <c r="A44" s="311" t="s">
        <v>322</v>
      </c>
      <c r="B44" s="312" t="s">
        <v>342</v>
      </c>
      <c r="C44" s="313">
        <v>0</v>
      </c>
      <c r="D44" s="313">
        <v>0</v>
      </c>
      <c r="E44" s="313">
        <f t="shared" si="0"/>
        <v>0</v>
      </c>
      <c r="F44" s="503">
        <v>0</v>
      </c>
      <c r="G44" s="503">
        <v>0</v>
      </c>
      <c r="H44" s="503">
        <f t="shared" si="1"/>
        <v>0</v>
      </c>
      <c r="I44" s="503">
        <v>0</v>
      </c>
      <c r="J44" s="503">
        <v>0</v>
      </c>
      <c r="K44" s="503">
        <f t="shared" si="2"/>
        <v>0</v>
      </c>
      <c r="L44" s="503">
        <v>0</v>
      </c>
      <c r="M44" s="503">
        <v>0</v>
      </c>
      <c r="N44" s="503">
        <f t="shared" si="3"/>
        <v>0</v>
      </c>
      <c r="O44" s="503">
        <v>0</v>
      </c>
      <c r="P44" s="503">
        <v>0</v>
      </c>
      <c r="Q44" s="503">
        <f t="shared" si="4"/>
        <v>0</v>
      </c>
    </row>
    <row r="45" spans="1:18" x14ac:dyDescent="0.25">
      <c r="A45" s="311" t="s">
        <v>315</v>
      </c>
      <c r="B45" s="312" t="s">
        <v>343</v>
      </c>
      <c r="C45" s="313">
        <v>0</v>
      </c>
      <c r="D45" s="313">
        <v>0</v>
      </c>
      <c r="E45" s="313">
        <f t="shared" si="0"/>
        <v>0</v>
      </c>
      <c r="F45" s="503">
        <v>0</v>
      </c>
      <c r="G45" s="503">
        <v>0</v>
      </c>
      <c r="H45" s="503">
        <f t="shared" si="1"/>
        <v>0</v>
      </c>
      <c r="I45" s="503">
        <v>0</v>
      </c>
      <c r="J45" s="503">
        <v>0</v>
      </c>
      <c r="K45" s="503">
        <f t="shared" si="2"/>
        <v>0</v>
      </c>
      <c r="L45" s="503">
        <v>0</v>
      </c>
      <c r="M45" s="503">
        <v>0</v>
      </c>
      <c r="N45" s="503">
        <f t="shared" si="3"/>
        <v>0</v>
      </c>
      <c r="O45" s="503">
        <v>0</v>
      </c>
      <c r="P45" s="503">
        <v>0</v>
      </c>
      <c r="Q45" s="503">
        <f t="shared" si="4"/>
        <v>0</v>
      </c>
    </row>
    <row r="46" spans="1:18" x14ac:dyDescent="0.25">
      <c r="A46" s="319"/>
      <c r="B46" s="320" t="s">
        <v>344</v>
      </c>
      <c r="C46" s="292">
        <f>C36+C42</f>
        <v>359572890</v>
      </c>
      <c r="D46" s="292">
        <f>D36+D42</f>
        <v>0</v>
      </c>
      <c r="E46" s="292">
        <f t="shared" si="0"/>
        <v>359572890</v>
      </c>
      <c r="F46" s="292">
        <f>F36+F42</f>
        <v>372247290</v>
      </c>
      <c r="G46" s="292">
        <f>G36+G42</f>
        <v>0</v>
      </c>
      <c r="H46" s="292">
        <f t="shared" si="1"/>
        <v>372247290</v>
      </c>
      <c r="I46" s="292">
        <f>I36+I42</f>
        <v>361801856</v>
      </c>
      <c r="J46" s="292">
        <f>J36+J42</f>
        <v>0</v>
      </c>
      <c r="K46" s="292">
        <f t="shared" si="2"/>
        <v>361801856</v>
      </c>
      <c r="L46" s="292">
        <f>L36+L42</f>
        <v>361801856</v>
      </c>
      <c r="M46" s="292">
        <f>M36+M42</f>
        <v>0</v>
      </c>
      <c r="N46" s="292">
        <f t="shared" si="3"/>
        <v>361801856</v>
      </c>
      <c r="O46" s="292">
        <f>O36+O42</f>
        <v>341320452</v>
      </c>
      <c r="P46" s="292">
        <f>P36+P42</f>
        <v>0</v>
      </c>
      <c r="Q46" s="292">
        <f t="shared" si="4"/>
        <v>341320452</v>
      </c>
    </row>
    <row r="47" spans="1:18" x14ac:dyDescent="0.25">
      <c r="E47" s="762"/>
      <c r="H47" s="39">
        <f>+H46-E46</f>
        <v>12674400</v>
      </c>
      <c r="K47" s="39">
        <f>+K46-H46</f>
        <v>-10445434</v>
      </c>
      <c r="N47" s="39">
        <f>+N46-K46</f>
        <v>0</v>
      </c>
      <c r="Q47" s="39">
        <f>+Q46-N46</f>
        <v>-20481404</v>
      </c>
    </row>
  </sheetData>
  <mergeCells count="5">
    <mergeCell ref="O4:Q4"/>
    <mergeCell ref="C4:E4"/>
    <mergeCell ref="F4:H4"/>
    <mergeCell ref="I4:K4"/>
    <mergeCell ref="L4:N4"/>
  </mergeCells>
  <printOptions horizontalCentered="1"/>
  <pageMargins left="0.19685039370078741" right="0.19685039370078741" top="0.9055118110236221" bottom="0.19685039370078741" header="0.31496062992125984" footer="0.31496062992125984"/>
  <pageSetup paperSize="9" scale="75" fitToWidth="0" fitToHeight="0" orientation="landscape" copies="2" r:id="rId1"/>
  <headerFooter>
    <oddHeader>&amp;L4/C.  melléklet a ......./2021. (.................) önkormányzati rendelethez&amp;C&amp;"-,Félkövér"&amp;16
A Törökbálinti Bóbita Óvoda 2020. évi bevételei és kiadásai jogcímenként és feladatonként</oddHeader>
    <oddFooter>&amp;C&amp;P&amp;R&amp;D, &amp;T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S49"/>
  <sheetViews>
    <sheetView view="pageBreakPreview" topLeftCell="A19" zoomScale="91" zoomScaleNormal="100" zoomScaleSheetLayoutView="91" workbookViewId="0">
      <selection activeCell="R37" activeCellId="1" sqref="S42 R37"/>
    </sheetView>
  </sheetViews>
  <sheetFormatPr defaultRowHeight="15" x14ac:dyDescent="0.25"/>
  <cols>
    <col min="1" max="1" width="7.140625" style="30" customWidth="1"/>
    <col min="2" max="2" width="46.7109375" customWidth="1"/>
    <col min="3" max="3" width="12" hidden="1" customWidth="1"/>
    <col min="4" max="4" width="0" hidden="1" customWidth="1"/>
    <col min="5" max="5" width="13.42578125" hidden="1" customWidth="1"/>
    <col min="6" max="6" width="12" hidden="1" customWidth="1"/>
    <col min="7" max="7" width="0" hidden="1" customWidth="1"/>
    <col min="8" max="8" width="13.42578125" hidden="1" customWidth="1"/>
    <col min="9" max="9" width="12" customWidth="1"/>
    <col min="11" max="11" width="13.42578125" customWidth="1"/>
    <col min="12" max="12" width="12" customWidth="1"/>
    <col min="14" max="14" width="13.42578125" customWidth="1"/>
    <col min="15" max="15" width="12" hidden="1" customWidth="1"/>
    <col min="16" max="16" width="0" hidden="1" customWidth="1"/>
    <col min="17" max="17" width="13.42578125" hidden="1" customWidth="1"/>
    <col min="18" max="18" width="11.140625" customWidth="1"/>
    <col min="19" max="19" width="10.85546875" bestFit="1" customWidth="1"/>
  </cols>
  <sheetData>
    <row r="1" spans="1:18" x14ac:dyDescent="0.25">
      <c r="E1" s="31"/>
      <c r="H1" s="31"/>
      <c r="K1" s="31"/>
      <c r="N1" s="31" t="s">
        <v>1662</v>
      </c>
    </row>
    <row r="2" spans="1:18" ht="30" x14ac:dyDescent="0.25">
      <c r="A2" s="304" t="s">
        <v>303</v>
      </c>
      <c r="B2" s="304" t="s">
        <v>1423</v>
      </c>
      <c r="C2" s="518"/>
      <c r="D2" s="518"/>
      <c r="E2" s="518"/>
      <c r="F2" s="518"/>
      <c r="G2" s="518"/>
      <c r="H2" s="518"/>
      <c r="I2" s="518"/>
      <c r="J2" s="518"/>
      <c r="K2" s="518"/>
      <c r="L2" s="518"/>
      <c r="M2" s="518"/>
      <c r="N2" s="518"/>
      <c r="O2" s="518"/>
      <c r="P2" s="518"/>
      <c r="Q2" s="518"/>
    </row>
    <row r="3" spans="1:18" x14ac:dyDescent="0.25">
      <c r="A3" s="304" t="s">
        <v>304</v>
      </c>
      <c r="B3" s="304" t="s">
        <v>1479</v>
      </c>
      <c r="C3" s="518"/>
      <c r="D3" s="518"/>
      <c r="E3" s="518"/>
      <c r="F3" s="518"/>
      <c r="G3" s="518"/>
      <c r="H3" s="518"/>
      <c r="I3" s="518"/>
      <c r="J3" s="518"/>
      <c r="K3" s="518"/>
      <c r="L3" s="518"/>
      <c r="M3" s="518"/>
      <c r="N3" s="518"/>
      <c r="O3" s="518"/>
      <c r="P3" s="518"/>
      <c r="Q3" s="518"/>
    </row>
    <row r="4" spans="1:18" ht="37.5" customHeight="1" x14ac:dyDescent="0.25">
      <c r="A4" s="938" t="s">
        <v>305</v>
      </c>
      <c r="B4" s="965" t="s">
        <v>306</v>
      </c>
      <c r="C4" s="939" t="s">
        <v>1654</v>
      </c>
      <c r="D4" s="936"/>
      <c r="E4" s="940"/>
      <c r="F4" s="939" t="s">
        <v>1760</v>
      </c>
      <c r="G4" s="936"/>
      <c r="H4" s="940"/>
      <c r="I4" s="939" t="s">
        <v>1795</v>
      </c>
      <c r="J4" s="936"/>
      <c r="K4" s="940"/>
      <c r="L4" s="939" t="s">
        <v>1803</v>
      </c>
      <c r="M4" s="936"/>
      <c r="N4" s="940"/>
      <c r="O4" s="962" t="s">
        <v>1806</v>
      </c>
      <c r="P4" s="936"/>
      <c r="Q4" s="940"/>
    </row>
    <row r="5" spans="1:18" ht="60" x14ac:dyDescent="0.25">
      <c r="A5" s="938"/>
      <c r="B5" s="965"/>
      <c r="C5" s="516" t="s">
        <v>1300</v>
      </c>
      <c r="D5" s="516" t="s">
        <v>1301</v>
      </c>
      <c r="E5" s="516" t="s">
        <v>550</v>
      </c>
      <c r="F5" s="690" t="s">
        <v>1300</v>
      </c>
      <c r="G5" s="690" t="s">
        <v>1301</v>
      </c>
      <c r="H5" s="690" t="s">
        <v>550</v>
      </c>
      <c r="I5" s="690" t="s">
        <v>1300</v>
      </c>
      <c r="J5" s="690" t="s">
        <v>1301</v>
      </c>
      <c r="K5" s="690" t="s">
        <v>550</v>
      </c>
      <c r="L5" s="690" t="s">
        <v>1300</v>
      </c>
      <c r="M5" s="690" t="s">
        <v>1301</v>
      </c>
      <c r="N5" s="690" t="s">
        <v>550</v>
      </c>
      <c r="O5" s="690" t="s">
        <v>1300</v>
      </c>
      <c r="P5" s="690" t="s">
        <v>1301</v>
      </c>
      <c r="Q5" s="690" t="s">
        <v>550</v>
      </c>
    </row>
    <row r="6" spans="1:18" x14ac:dyDescent="0.25">
      <c r="A6" s="305"/>
      <c r="B6" s="306" t="s">
        <v>307</v>
      </c>
      <c r="C6" s="307">
        <f>15+2</f>
        <v>17</v>
      </c>
      <c r="D6" s="307">
        <v>0</v>
      </c>
      <c r="E6" s="307">
        <f t="shared" ref="E6:E46" si="0">SUM(C6:D6)</f>
        <v>17</v>
      </c>
      <c r="F6" s="307">
        <f>15+2</f>
        <v>17</v>
      </c>
      <c r="G6" s="307">
        <v>0</v>
      </c>
      <c r="H6" s="307">
        <f t="shared" ref="H6:H46" si="1">SUM(F6:G6)</f>
        <v>17</v>
      </c>
      <c r="I6" s="307">
        <f>15+2</f>
        <v>17</v>
      </c>
      <c r="J6" s="307">
        <v>0</v>
      </c>
      <c r="K6" s="307">
        <f t="shared" ref="K6:K46" si="2">SUM(I6:J6)</f>
        <v>17</v>
      </c>
      <c r="L6" s="307">
        <f>15+2</f>
        <v>17</v>
      </c>
      <c r="M6" s="307">
        <v>0</v>
      </c>
      <c r="N6" s="307">
        <f t="shared" ref="N6:N46" si="3">SUM(L6:M6)</f>
        <v>17</v>
      </c>
      <c r="O6" s="307">
        <f>15+2</f>
        <v>17</v>
      </c>
      <c r="P6" s="307">
        <v>0</v>
      </c>
      <c r="Q6" s="307">
        <f t="shared" ref="Q6:Q46" si="4">SUM(O6:P6)</f>
        <v>17</v>
      </c>
    </row>
    <row r="7" spans="1:18" x14ac:dyDescent="0.25">
      <c r="A7" s="305"/>
      <c r="B7" s="306" t="s">
        <v>308</v>
      </c>
      <c r="C7" s="307">
        <v>0</v>
      </c>
      <c r="D7" s="307">
        <v>0</v>
      </c>
      <c r="E7" s="307">
        <f t="shared" si="0"/>
        <v>0</v>
      </c>
      <c r="F7" s="307">
        <v>0</v>
      </c>
      <c r="G7" s="307">
        <v>0</v>
      </c>
      <c r="H7" s="307">
        <f t="shared" si="1"/>
        <v>0</v>
      </c>
      <c r="I7" s="307">
        <v>0</v>
      </c>
      <c r="J7" s="307">
        <v>0</v>
      </c>
      <c r="K7" s="307">
        <f t="shared" si="2"/>
        <v>0</v>
      </c>
      <c r="L7" s="307">
        <v>0</v>
      </c>
      <c r="M7" s="307">
        <v>0</v>
      </c>
      <c r="N7" s="307">
        <f t="shared" si="3"/>
        <v>0</v>
      </c>
      <c r="O7" s="307">
        <v>0</v>
      </c>
      <c r="P7" s="307">
        <v>0</v>
      </c>
      <c r="Q7" s="307">
        <f t="shared" si="4"/>
        <v>0</v>
      </c>
    </row>
    <row r="8" spans="1:18" x14ac:dyDescent="0.25">
      <c r="A8" s="308" t="s">
        <v>309</v>
      </c>
      <c r="B8" s="309" t="s">
        <v>310</v>
      </c>
      <c r="C8" s="310">
        <f>C9+C11+C20</f>
        <v>35000000</v>
      </c>
      <c r="D8" s="310">
        <f>D9+D11+D20</f>
        <v>0</v>
      </c>
      <c r="E8" s="310">
        <f t="shared" si="0"/>
        <v>35000000</v>
      </c>
      <c r="F8" s="501">
        <f>F9+F11+F20</f>
        <v>35000000</v>
      </c>
      <c r="G8" s="501">
        <f>G9+G11+G20</f>
        <v>0</v>
      </c>
      <c r="H8" s="501">
        <f t="shared" si="1"/>
        <v>35000000</v>
      </c>
      <c r="I8" s="501">
        <f>I9+I11+I20</f>
        <v>35000000</v>
      </c>
      <c r="J8" s="501">
        <f>J9+J11+J20</f>
        <v>0</v>
      </c>
      <c r="K8" s="501">
        <f t="shared" si="2"/>
        <v>35000000</v>
      </c>
      <c r="L8" s="501">
        <f>L9+L11+L20</f>
        <v>37850000</v>
      </c>
      <c r="M8" s="501">
        <f>M9+M11+M20</f>
        <v>0</v>
      </c>
      <c r="N8" s="501">
        <f t="shared" si="3"/>
        <v>37850000</v>
      </c>
      <c r="O8" s="501">
        <f>O9+O11+O20</f>
        <v>23443505</v>
      </c>
      <c r="P8" s="501">
        <f>P9+P11+P20</f>
        <v>0</v>
      </c>
      <c r="Q8" s="501">
        <f t="shared" si="4"/>
        <v>23443505</v>
      </c>
      <c r="R8" s="39">
        <f>+N8-K8</f>
        <v>2850000</v>
      </c>
    </row>
    <row r="9" spans="1:18" x14ac:dyDescent="0.25">
      <c r="A9" s="311" t="s">
        <v>311</v>
      </c>
      <c r="B9" s="312" t="s">
        <v>312</v>
      </c>
      <c r="C9" s="313">
        <f>C10</f>
        <v>0</v>
      </c>
      <c r="D9" s="313">
        <f>D10</f>
        <v>0</v>
      </c>
      <c r="E9" s="313">
        <f t="shared" si="0"/>
        <v>0</v>
      </c>
      <c r="F9" s="503">
        <f>F10</f>
        <v>0</v>
      </c>
      <c r="G9" s="503">
        <f>G10</f>
        <v>0</v>
      </c>
      <c r="H9" s="503">
        <f t="shared" si="1"/>
        <v>0</v>
      </c>
      <c r="I9" s="503">
        <f>I10</f>
        <v>0</v>
      </c>
      <c r="J9" s="503">
        <f>J10</f>
        <v>0</v>
      </c>
      <c r="K9" s="503">
        <f t="shared" si="2"/>
        <v>0</v>
      </c>
      <c r="L9" s="503">
        <f>L10</f>
        <v>2850000</v>
      </c>
      <c r="M9" s="503">
        <f>M10</f>
        <v>0</v>
      </c>
      <c r="N9" s="503">
        <f t="shared" si="3"/>
        <v>2850000</v>
      </c>
      <c r="O9" s="503">
        <f>O10</f>
        <v>2850000</v>
      </c>
      <c r="P9" s="503">
        <f>P10</f>
        <v>0</v>
      </c>
      <c r="Q9" s="503">
        <f t="shared" si="4"/>
        <v>2850000</v>
      </c>
    </row>
    <row r="10" spans="1:18" ht="30" customHeight="1" x14ac:dyDescent="0.25">
      <c r="A10" s="346"/>
      <c r="B10" s="314" t="s">
        <v>313</v>
      </c>
      <c r="C10" s="235">
        <v>0</v>
      </c>
      <c r="D10" s="235">
        <v>0</v>
      </c>
      <c r="E10" s="235">
        <f t="shared" si="0"/>
        <v>0</v>
      </c>
      <c r="F10" s="235">
        <v>0</v>
      </c>
      <c r="G10" s="235">
        <v>0</v>
      </c>
      <c r="H10" s="235">
        <f t="shared" si="1"/>
        <v>0</v>
      </c>
      <c r="I10" s="235">
        <v>0</v>
      </c>
      <c r="J10" s="235">
        <v>0</v>
      </c>
      <c r="K10" s="235">
        <f t="shared" si="2"/>
        <v>0</v>
      </c>
      <c r="L10" s="235">
        <v>2850000</v>
      </c>
      <c r="M10" s="235">
        <v>0</v>
      </c>
      <c r="N10" s="235">
        <f t="shared" si="3"/>
        <v>2850000</v>
      </c>
      <c r="O10" s="235">
        <v>2850000</v>
      </c>
      <c r="P10" s="235">
        <v>0</v>
      </c>
      <c r="Q10" s="235">
        <f t="shared" si="4"/>
        <v>2850000</v>
      </c>
    </row>
    <row r="11" spans="1:18" x14ac:dyDescent="0.25">
      <c r="A11" s="311" t="s">
        <v>322</v>
      </c>
      <c r="B11" s="312" t="s">
        <v>314</v>
      </c>
      <c r="C11" s="313">
        <f>C12+C13+C14+C15+C16+C17+C18+C19</f>
        <v>35000000</v>
      </c>
      <c r="D11" s="313">
        <f>D12+D13+D14+D15+D16+D17+D18+D19</f>
        <v>0</v>
      </c>
      <c r="E11" s="313">
        <f t="shared" si="0"/>
        <v>35000000</v>
      </c>
      <c r="F11" s="503">
        <f>F12+F13+F14+F15+F16+F17+F18+F19</f>
        <v>35000000</v>
      </c>
      <c r="G11" s="503">
        <f>G12+G13+G14+G15+G16+G17+G18+G19</f>
        <v>0</v>
      </c>
      <c r="H11" s="503">
        <f t="shared" si="1"/>
        <v>35000000</v>
      </c>
      <c r="I11" s="503">
        <f>I12+I13+I14+I15+I16+I17+I18+I19</f>
        <v>35000000</v>
      </c>
      <c r="J11" s="503">
        <f>J12+J13+J14+J15+J16+J17+J18+J19</f>
        <v>0</v>
      </c>
      <c r="K11" s="503">
        <f t="shared" si="2"/>
        <v>35000000</v>
      </c>
      <c r="L11" s="503">
        <f>L12+L13+L14+L15+L16+L17+L18+L19</f>
        <v>35000000</v>
      </c>
      <c r="M11" s="503">
        <f>M12+M13+M14+M15+M16+M17+M18+M19</f>
        <v>0</v>
      </c>
      <c r="N11" s="503">
        <f t="shared" si="3"/>
        <v>35000000</v>
      </c>
      <c r="O11" s="503">
        <f>O12+O13+O14+O15+O16+O17+O18+O19</f>
        <v>20593505</v>
      </c>
      <c r="P11" s="503">
        <f>P12+P13+P14+P15+P16+P17+P18+P19</f>
        <v>0</v>
      </c>
      <c r="Q11" s="503">
        <f t="shared" si="4"/>
        <v>20593505</v>
      </c>
    </row>
    <row r="12" spans="1:18" x14ac:dyDescent="0.25">
      <c r="A12" s="346"/>
      <c r="B12" s="314" t="s">
        <v>651</v>
      </c>
      <c r="C12" s="235">
        <v>0</v>
      </c>
      <c r="D12" s="235">
        <v>0</v>
      </c>
      <c r="E12" s="235">
        <f t="shared" si="0"/>
        <v>0</v>
      </c>
      <c r="F12" s="235">
        <v>0</v>
      </c>
      <c r="G12" s="235">
        <v>0</v>
      </c>
      <c r="H12" s="235">
        <f t="shared" si="1"/>
        <v>0</v>
      </c>
      <c r="I12" s="235">
        <v>0</v>
      </c>
      <c r="J12" s="235">
        <v>0</v>
      </c>
      <c r="K12" s="235">
        <f t="shared" si="2"/>
        <v>0</v>
      </c>
      <c r="L12" s="235">
        <v>0</v>
      </c>
      <c r="M12" s="235">
        <v>0</v>
      </c>
      <c r="N12" s="235">
        <f t="shared" si="3"/>
        <v>0</v>
      </c>
      <c r="O12" s="235">
        <v>0</v>
      </c>
      <c r="P12" s="235">
        <v>0</v>
      </c>
      <c r="Q12" s="235">
        <f t="shared" si="4"/>
        <v>0</v>
      </c>
    </row>
    <row r="13" spans="1:18" x14ac:dyDescent="0.25">
      <c r="A13" s="346"/>
      <c r="B13" s="314" t="s">
        <v>652</v>
      </c>
      <c r="C13" s="315">
        <v>27000000</v>
      </c>
      <c r="D13" s="315">
        <v>0</v>
      </c>
      <c r="E13" s="315">
        <f t="shared" si="0"/>
        <v>27000000</v>
      </c>
      <c r="F13" s="315">
        <v>27000000</v>
      </c>
      <c r="G13" s="315">
        <v>0</v>
      </c>
      <c r="H13" s="315">
        <f t="shared" si="1"/>
        <v>27000000</v>
      </c>
      <c r="I13" s="315">
        <v>27000000</v>
      </c>
      <c r="J13" s="315">
        <v>0</v>
      </c>
      <c r="K13" s="315">
        <f t="shared" si="2"/>
        <v>27000000</v>
      </c>
      <c r="L13" s="315">
        <v>27000000</v>
      </c>
      <c r="M13" s="315">
        <v>0</v>
      </c>
      <c r="N13" s="315">
        <f t="shared" si="3"/>
        <v>27000000</v>
      </c>
      <c r="O13" s="315">
        <f>14913086+940095+367620</f>
        <v>16220801</v>
      </c>
      <c r="P13" s="315">
        <v>0</v>
      </c>
      <c r="Q13" s="315">
        <f t="shared" si="4"/>
        <v>16220801</v>
      </c>
    </row>
    <row r="14" spans="1:18" x14ac:dyDescent="0.25">
      <c r="A14" s="346"/>
      <c r="B14" s="314" t="s">
        <v>659</v>
      </c>
      <c r="C14" s="315"/>
      <c r="D14" s="315">
        <v>0</v>
      </c>
      <c r="E14" s="315">
        <f t="shared" si="0"/>
        <v>0</v>
      </c>
      <c r="F14" s="315"/>
      <c r="G14" s="315">
        <v>0</v>
      </c>
      <c r="H14" s="315">
        <f t="shared" si="1"/>
        <v>0</v>
      </c>
      <c r="I14" s="315"/>
      <c r="J14" s="315">
        <v>0</v>
      </c>
      <c r="K14" s="315">
        <f t="shared" si="2"/>
        <v>0</v>
      </c>
      <c r="L14" s="315"/>
      <c r="M14" s="315">
        <v>0</v>
      </c>
      <c r="N14" s="315">
        <f t="shared" si="3"/>
        <v>0</v>
      </c>
      <c r="O14" s="315"/>
      <c r="P14" s="315">
        <v>0</v>
      </c>
      <c r="Q14" s="315">
        <f t="shared" si="4"/>
        <v>0</v>
      </c>
    </row>
    <row r="15" spans="1:18" x14ac:dyDescent="0.25">
      <c r="A15" s="346"/>
      <c r="B15" s="314" t="s">
        <v>660</v>
      </c>
      <c r="C15" s="235"/>
      <c r="D15" s="235">
        <v>0</v>
      </c>
      <c r="E15" s="235">
        <f t="shared" si="0"/>
        <v>0</v>
      </c>
      <c r="F15" s="235"/>
      <c r="G15" s="235">
        <v>0</v>
      </c>
      <c r="H15" s="235">
        <f t="shared" si="1"/>
        <v>0</v>
      </c>
      <c r="I15" s="235"/>
      <c r="J15" s="235">
        <v>0</v>
      </c>
      <c r="K15" s="235">
        <f t="shared" si="2"/>
        <v>0</v>
      </c>
      <c r="L15" s="235"/>
      <c r="M15" s="235">
        <v>0</v>
      </c>
      <c r="N15" s="235">
        <f t="shared" si="3"/>
        <v>0</v>
      </c>
      <c r="O15" s="235"/>
      <c r="P15" s="235">
        <v>0</v>
      </c>
      <c r="Q15" s="235">
        <f t="shared" si="4"/>
        <v>0</v>
      </c>
    </row>
    <row r="16" spans="1:18" x14ac:dyDescent="0.25">
      <c r="A16" s="346"/>
      <c r="B16" s="314" t="s">
        <v>661</v>
      </c>
      <c r="C16" s="235">
        <v>7000000</v>
      </c>
      <c r="D16" s="235">
        <v>0</v>
      </c>
      <c r="E16" s="235">
        <f t="shared" si="0"/>
        <v>7000000</v>
      </c>
      <c r="F16" s="235">
        <v>7000000</v>
      </c>
      <c r="G16" s="235">
        <v>0</v>
      </c>
      <c r="H16" s="235">
        <f t="shared" si="1"/>
        <v>7000000</v>
      </c>
      <c r="I16" s="235">
        <v>7000000</v>
      </c>
      <c r="J16" s="235">
        <v>0</v>
      </c>
      <c r="K16" s="235">
        <f t="shared" si="2"/>
        <v>7000000</v>
      </c>
      <c r="L16" s="235">
        <v>7000000</v>
      </c>
      <c r="M16" s="235">
        <v>0</v>
      </c>
      <c r="N16" s="235">
        <f t="shared" si="3"/>
        <v>7000000</v>
      </c>
      <c r="O16" s="235">
        <v>4356023</v>
      </c>
      <c r="P16" s="235">
        <v>0</v>
      </c>
      <c r="Q16" s="235">
        <f t="shared" si="4"/>
        <v>4356023</v>
      </c>
    </row>
    <row r="17" spans="1:17" x14ac:dyDescent="0.25">
      <c r="A17" s="346"/>
      <c r="B17" s="314" t="s">
        <v>662</v>
      </c>
      <c r="C17" s="235"/>
      <c r="D17" s="235">
        <v>0</v>
      </c>
      <c r="E17" s="235">
        <f t="shared" si="0"/>
        <v>0</v>
      </c>
      <c r="F17" s="235"/>
      <c r="G17" s="235">
        <v>0</v>
      </c>
      <c r="H17" s="235">
        <f t="shared" si="1"/>
        <v>0</v>
      </c>
      <c r="I17" s="235"/>
      <c r="J17" s="235">
        <v>0</v>
      </c>
      <c r="K17" s="235">
        <f t="shared" si="2"/>
        <v>0</v>
      </c>
      <c r="L17" s="235"/>
      <c r="M17" s="235">
        <v>0</v>
      </c>
      <c r="N17" s="235">
        <f t="shared" si="3"/>
        <v>0</v>
      </c>
      <c r="O17" s="235"/>
      <c r="P17" s="235">
        <v>0</v>
      </c>
      <c r="Q17" s="235">
        <f t="shared" si="4"/>
        <v>0</v>
      </c>
    </row>
    <row r="18" spans="1:17" x14ac:dyDescent="0.25">
      <c r="A18" s="346"/>
      <c r="B18" s="314" t="s">
        <v>663</v>
      </c>
      <c r="C18" s="235"/>
      <c r="D18" s="235">
        <v>0</v>
      </c>
      <c r="E18" s="235">
        <f t="shared" si="0"/>
        <v>0</v>
      </c>
      <c r="F18" s="235"/>
      <c r="G18" s="235">
        <v>0</v>
      </c>
      <c r="H18" s="235">
        <f t="shared" si="1"/>
        <v>0</v>
      </c>
      <c r="I18" s="235"/>
      <c r="J18" s="235">
        <v>0</v>
      </c>
      <c r="K18" s="235">
        <f t="shared" si="2"/>
        <v>0</v>
      </c>
      <c r="L18" s="235"/>
      <c r="M18" s="235">
        <v>0</v>
      </c>
      <c r="N18" s="235">
        <f t="shared" si="3"/>
        <v>0</v>
      </c>
      <c r="O18" s="235"/>
      <c r="P18" s="235">
        <v>0</v>
      </c>
      <c r="Q18" s="235">
        <f t="shared" si="4"/>
        <v>0</v>
      </c>
    </row>
    <row r="19" spans="1:17" x14ac:dyDescent="0.25">
      <c r="A19" s="346"/>
      <c r="B19" s="314" t="s">
        <v>664</v>
      </c>
      <c r="C19" s="235">
        <v>1000000</v>
      </c>
      <c r="D19" s="235">
        <v>0</v>
      </c>
      <c r="E19" s="235">
        <f t="shared" si="0"/>
        <v>1000000</v>
      </c>
      <c r="F19" s="235">
        <v>1000000</v>
      </c>
      <c r="G19" s="235">
        <v>0</v>
      </c>
      <c r="H19" s="235">
        <f t="shared" si="1"/>
        <v>1000000</v>
      </c>
      <c r="I19" s="235">
        <v>1000000</v>
      </c>
      <c r="J19" s="235">
        <v>0</v>
      </c>
      <c r="K19" s="235">
        <f t="shared" si="2"/>
        <v>1000000</v>
      </c>
      <c r="L19" s="235">
        <v>1000000</v>
      </c>
      <c r="M19" s="235">
        <v>0</v>
      </c>
      <c r="N19" s="235">
        <f t="shared" si="3"/>
        <v>1000000</v>
      </c>
      <c r="O19" s="235">
        <v>16681</v>
      </c>
      <c r="P19" s="235">
        <v>0</v>
      </c>
      <c r="Q19" s="235">
        <f t="shared" si="4"/>
        <v>16681</v>
      </c>
    </row>
    <row r="20" spans="1:17" x14ac:dyDescent="0.25">
      <c r="A20" s="311" t="s">
        <v>315</v>
      </c>
      <c r="B20" s="312" t="s">
        <v>316</v>
      </c>
      <c r="C20" s="313">
        <f>SUM(C21:C21)</f>
        <v>0</v>
      </c>
      <c r="D20" s="313">
        <f>SUM(D21:D21)</f>
        <v>0</v>
      </c>
      <c r="E20" s="313">
        <f t="shared" si="0"/>
        <v>0</v>
      </c>
      <c r="F20" s="503">
        <f>SUM(F21:F21)</f>
        <v>0</v>
      </c>
      <c r="G20" s="503">
        <f>SUM(G21:G21)</f>
        <v>0</v>
      </c>
      <c r="H20" s="503">
        <f t="shared" si="1"/>
        <v>0</v>
      </c>
      <c r="I20" s="503">
        <f>SUM(I21:I21)</f>
        <v>0</v>
      </c>
      <c r="J20" s="503">
        <f>SUM(J21:J21)</f>
        <v>0</v>
      </c>
      <c r="K20" s="503">
        <f t="shared" si="2"/>
        <v>0</v>
      </c>
      <c r="L20" s="503">
        <f>SUM(L21:L21)</f>
        <v>0</v>
      </c>
      <c r="M20" s="503">
        <f>SUM(M21:M21)</f>
        <v>0</v>
      </c>
      <c r="N20" s="503">
        <f t="shared" si="3"/>
        <v>0</v>
      </c>
      <c r="O20" s="503">
        <f>SUM(O21:O21)</f>
        <v>0</v>
      </c>
      <c r="P20" s="503">
        <f>SUM(P21:P21)</f>
        <v>0</v>
      </c>
      <c r="Q20" s="503">
        <f t="shared" si="4"/>
        <v>0</v>
      </c>
    </row>
    <row r="21" spans="1:17" ht="15" hidden="1" customHeight="1" x14ac:dyDescent="0.25">
      <c r="A21" s="346"/>
      <c r="B21" s="314" t="s">
        <v>317</v>
      </c>
      <c r="C21" s="235">
        <v>0</v>
      </c>
      <c r="D21" s="235">
        <v>0</v>
      </c>
      <c r="E21" s="235">
        <f t="shared" si="0"/>
        <v>0</v>
      </c>
      <c r="F21" s="235">
        <v>0</v>
      </c>
      <c r="G21" s="235">
        <v>0</v>
      </c>
      <c r="H21" s="235">
        <f t="shared" si="1"/>
        <v>0</v>
      </c>
      <c r="I21" s="235">
        <v>0</v>
      </c>
      <c r="J21" s="235">
        <v>0</v>
      </c>
      <c r="K21" s="235">
        <f t="shared" si="2"/>
        <v>0</v>
      </c>
      <c r="L21" s="235">
        <v>0</v>
      </c>
      <c r="M21" s="235">
        <v>0</v>
      </c>
      <c r="N21" s="235">
        <f t="shared" si="3"/>
        <v>0</v>
      </c>
      <c r="O21" s="235">
        <v>0</v>
      </c>
      <c r="P21" s="235">
        <v>0</v>
      </c>
      <c r="Q21" s="235">
        <f t="shared" si="4"/>
        <v>0</v>
      </c>
    </row>
    <row r="22" spans="1:17" x14ac:dyDescent="0.25">
      <c r="A22" s="308" t="s">
        <v>318</v>
      </c>
      <c r="B22" s="309" t="s">
        <v>319</v>
      </c>
      <c r="C22" s="310">
        <f>C23+C25+C28</f>
        <v>0</v>
      </c>
      <c r="D22" s="310">
        <f>D23+D25+D28</f>
        <v>0</v>
      </c>
      <c r="E22" s="310">
        <f t="shared" si="0"/>
        <v>0</v>
      </c>
      <c r="F22" s="501">
        <f>F23+F25+F28</f>
        <v>0</v>
      </c>
      <c r="G22" s="501">
        <f>G23+G25+G28</f>
        <v>0</v>
      </c>
      <c r="H22" s="501">
        <f t="shared" si="1"/>
        <v>0</v>
      </c>
      <c r="I22" s="501">
        <f>I23+I25+I28</f>
        <v>0</v>
      </c>
      <c r="J22" s="501">
        <f>J23+J25+J28</f>
        <v>0</v>
      </c>
      <c r="K22" s="501">
        <f t="shared" si="2"/>
        <v>0</v>
      </c>
      <c r="L22" s="501">
        <f>L23+L25+L28</f>
        <v>0</v>
      </c>
      <c r="M22" s="501">
        <f>M23+M25+M28</f>
        <v>0</v>
      </c>
      <c r="N22" s="501">
        <f t="shared" si="3"/>
        <v>0</v>
      </c>
      <c r="O22" s="501">
        <f>O23+O25+O28</f>
        <v>0</v>
      </c>
      <c r="P22" s="501">
        <f>P23+P25+P28</f>
        <v>0</v>
      </c>
      <c r="Q22" s="501">
        <f t="shared" si="4"/>
        <v>0</v>
      </c>
    </row>
    <row r="23" spans="1:17" ht="15" hidden="1" customHeight="1" x14ac:dyDescent="0.25">
      <c r="A23" s="311" t="s">
        <v>311</v>
      </c>
      <c r="B23" s="312" t="s">
        <v>320</v>
      </c>
      <c r="C23" s="313">
        <f>SUM(C24:C24)</f>
        <v>0</v>
      </c>
      <c r="D23" s="313">
        <f>SUM(D24:D24)</f>
        <v>0</v>
      </c>
      <c r="E23" s="313">
        <f t="shared" si="0"/>
        <v>0</v>
      </c>
      <c r="F23" s="503">
        <f>SUM(F24:F24)</f>
        <v>0</v>
      </c>
      <c r="G23" s="503">
        <f>SUM(G24:G24)</f>
        <v>0</v>
      </c>
      <c r="H23" s="503">
        <f t="shared" si="1"/>
        <v>0</v>
      </c>
      <c r="I23" s="503">
        <f>SUM(I24:I24)</f>
        <v>0</v>
      </c>
      <c r="J23" s="503">
        <f>SUM(J24:J24)</f>
        <v>0</v>
      </c>
      <c r="K23" s="503">
        <f t="shared" si="2"/>
        <v>0</v>
      </c>
      <c r="L23" s="503">
        <f>SUM(L24:L24)</f>
        <v>0</v>
      </c>
      <c r="M23" s="503">
        <f>SUM(M24:M24)</f>
        <v>0</v>
      </c>
      <c r="N23" s="503">
        <f t="shared" si="3"/>
        <v>0</v>
      </c>
      <c r="O23" s="503">
        <f>SUM(O24:O24)</f>
        <v>0</v>
      </c>
      <c r="P23" s="503">
        <f>SUM(P24:P24)</f>
        <v>0</v>
      </c>
      <c r="Q23" s="503">
        <f t="shared" si="4"/>
        <v>0</v>
      </c>
    </row>
    <row r="24" spans="1:17" ht="30" hidden="1" customHeight="1" x14ac:dyDescent="0.25">
      <c r="A24" s="346"/>
      <c r="B24" s="234" t="s">
        <v>321</v>
      </c>
      <c r="C24" s="235">
        <v>0</v>
      </c>
      <c r="D24" s="235">
        <v>0</v>
      </c>
      <c r="E24" s="235">
        <f t="shared" si="0"/>
        <v>0</v>
      </c>
      <c r="F24" s="235">
        <v>0</v>
      </c>
      <c r="G24" s="235">
        <v>0</v>
      </c>
      <c r="H24" s="235">
        <f t="shared" si="1"/>
        <v>0</v>
      </c>
      <c r="I24" s="235">
        <v>0</v>
      </c>
      <c r="J24" s="235">
        <v>0</v>
      </c>
      <c r="K24" s="235">
        <f t="shared" si="2"/>
        <v>0</v>
      </c>
      <c r="L24" s="235">
        <v>0</v>
      </c>
      <c r="M24" s="235">
        <v>0</v>
      </c>
      <c r="N24" s="235">
        <f t="shared" si="3"/>
        <v>0</v>
      </c>
      <c r="O24" s="235">
        <v>0</v>
      </c>
      <c r="P24" s="235">
        <v>0</v>
      </c>
      <c r="Q24" s="235">
        <f t="shared" si="4"/>
        <v>0</v>
      </c>
    </row>
    <row r="25" spans="1:17" ht="15" hidden="1" customHeight="1" x14ac:dyDescent="0.25">
      <c r="A25" s="311" t="s">
        <v>322</v>
      </c>
      <c r="B25" s="312" t="s">
        <v>257</v>
      </c>
      <c r="C25" s="313">
        <f>SUM(C26:C27)</f>
        <v>0</v>
      </c>
      <c r="D25" s="313">
        <f>SUM(D26:D27)</f>
        <v>0</v>
      </c>
      <c r="E25" s="313">
        <f t="shared" si="0"/>
        <v>0</v>
      </c>
      <c r="F25" s="503">
        <f>SUM(F26:F27)</f>
        <v>0</v>
      </c>
      <c r="G25" s="503">
        <f>SUM(G26:G27)</f>
        <v>0</v>
      </c>
      <c r="H25" s="503">
        <f t="shared" si="1"/>
        <v>0</v>
      </c>
      <c r="I25" s="503">
        <f>SUM(I26:I27)</f>
        <v>0</v>
      </c>
      <c r="J25" s="503">
        <f>SUM(J26:J27)</f>
        <v>0</v>
      </c>
      <c r="K25" s="503">
        <f t="shared" si="2"/>
        <v>0</v>
      </c>
      <c r="L25" s="503">
        <f>SUM(L26:L27)</f>
        <v>0</v>
      </c>
      <c r="M25" s="503">
        <f>SUM(M26:M27)</f>
        <v>0</v>
      </c>
      <c r="N25" s="503">
        <f t="shared" si="3"/>
        <v>0</v>
      </c>
      <c r="O25" s="503">
        <f>SUM(O26:O27)</f>
        <v>0</v>
      </c>
      <c r="P25" s="503">
        <f>SUM(P26:P27)</f>
        <v>0</v>
      </c>
      <c r="Q25" s="503">
        <f t="shared" si="4"/>
        <v>0</v>
      </c>
    </row>
    <row r="26" spans="1:17" ht="15" hidden="1" customHeight="1" x14ac:dyDescent="0.25">
      <c r="A26" s="346"/>
      <c r="B26" s="316" t="s">
        <v>323</v>
      </c>
      <c r="C26" s="235">
        <v>0</v>
      </c>
      <c r="D26" s="235">
        <v>0</v>
      </c>
      <c r="E26" s="235">
        <f t="shared" si="0"/>
        <v>0</v>
      </c>
      <c r="F26" s="235">
        <v>0</v>
      </c>
      <c r="G26" s="235">
        <v>0</v>
      </c>
      <c r="H26" s="235">
        <f t="shared" si="1"/>
        <v>0</v>
      </c>
      <c r="I26" s="235">
        <v>0</v>
      </c>
      <c r="J26" s="235">
        <v>0</v>
      </c>
      <c r="K26" s="235">
        <f t="shared" si="2"/>
        <v>0</v>
      </c>
      <c r="L26" s="235">
        <v>0</v>
      </c>
      <c r="M26" s="235">
        <v>0</v>
      </c>
      <c r="N26" s="235">
        <f t="shared" si="3"/>
        <v>0</v>
      </c>
      <c r="O26" s="235">
        <v>0</v>
      </c>
      <c r="P26" s="235">
        <v>0</v>
      </c>
      <c r="Q26" s="235">
        <f t="shared" si="4"/>
        <v>0</v>
      </c>
    </row>
    <row r="27" spans="1:17" ht="15" hidden="1" customHeight="1" x14ac:dyDescent="0.25">
      <c r="A27" s="346"/>
      <c r="B27" s="316" t="s">
        <v>324</v>
      </c>
      <c r="C27" s="235">
        <v>0</v>
      </c>
      <c r="D27" s="235">
        <v>0</v>
      </c>
      <c r="E27" s="235">
        <f t="shared" si="0"/>
        <v>0</v>
      </c>
      <c r="F27" s="235">
        <v>0</v>
      </c>
      <c r="G27" s="235">
        <v>0</v>
      </c>
      <c r="H27" s="235">
        <f t="shared" si="1"/>
        <v>0</v>
      </c>
      <c r="I27" s="235">
        <v>0</v>
      </c>
      <c r="J27" s="235">
        <v>0</v>
      </c>
      <c r="K27" s="235">
        <f t="shared" si="2"/>
        <v>0</v>
      </c>
      <c r="L27" s="235">
        <v>0</v>
      </c>
      <c r="M27" s="235">
        <v>0</v>
      </c>
      <c r="N27" s="235">
        <f t="shared" si="3"/>
        <v>0</v>
      </c>
      <c r="O27" s="235">
        <v>0</v>
      </c>
      <c r="P27" s="235">
        <v>0</v>
      </c>
      <c r="Q27" s="235">
        <f t="shared" si="4"/>
        <v>0</v>
      </c>
    </row>
    <row r="28" spans="1:17" ht="15" hidden="1" customHeight="1" x14ac:dyDescent="0.25">
      <c r="A28" s="311" t="s">
        <v>315</v>
      </c>
      <c r="B28" s="312" t="s">
        <v>325</v>
      </c>
      <c r="C28" s="313">
        <f>SUM(C29:C29)</f>
        <v>0</v>
      </c>
      <c r="D28" s="313">
        <f>SUM(D29:D29)</f>
        <v>0</v>
      </c>
      <c r="E28" s="313">
        <f t="shared" si="0"/>
        <v>0</v>
      </c>
      <c r="F28" s="503">
        <f>SUM(F29:F29)</f>
        <v>0</v>
      </c>
      <c r="G28" s="503">
        <f>SUM(G29:G29)</f>
        <v>0</v>
      </c>
      <c r="H28" s="503">
        <f t="shared" si="1"/>
        <v>0</v>
      </c>
      <c r="I28" s="503">
        <f>SUM(I29:I29)</f>
        <v>0</v>
      </c>
      <c r="J28" s="503">
        <f>SUM(J29:J29)</f>
        <v>0</v>
      </c>
      <c r="K28" s="503">
        <f t="shared" si="2"/>
        <v>0</v>
      </c>
      <c r="L28" s="503">
        <f>SUM(L29:L29)</f>
        <v>0</v>
      </c>
      <c r="M28" s="503">
        <f>SUM(M29:M29)</f>
        <v>0</v>
      </c>
      <c r="N28" s="503">
        <f t="shared" si="3"/>
        <v>0</v>
      </c>
      <c r="O28" s="503">
        <f>SUM(O29:O29)</f>
        <v>0</v>
      </c>
      <c r="P28" s="503">
        <f>SUM(P29:P29)</f>
        <v>0</v>
      </c>
      <c r="Q28" s="503">
        <f t="shared" si="4"/>
        <v>0</v>
      </c>
    </row>
    <row r="29" spans="1:17" ht="15" hidden="1" customHeight="1" x14ac:dyDescent="0.25">
      <c r="A29" s="346"/>
      <c r="B29" s="316" t="s">
        <v>326</v>
      </c>
      <c r="C29" s="235">
        <v>0</v>
      </c>
      <c r="D29" s="235">
        <v>0</v>
      </c>
      <c r="E29" s="235">
        <f t="shared" si="0"/>
        <v>0</v>
      </c>
      <c r="F29" s="235">
        <v>0</v>
      </c>
      <c r="G29" s="235">
        <v>0</v>
      </c>
      <c r="H29" s="235">
        <f t="shared" si="1"/>
        <v>0</v>
      </c>
      <c r="I29" s="235">
        <v>0</v>
      </c>
      <c r="J29" s="235">
        <v>0</v>
      </c>
      <c r="K29" s="235">
        <f t="shared" si="2"/>
        <v>0</v>
      </c>
      <c r="L29" s="235">
        <v>0</v>
      </c>
      <c r="M29" s="235">
        <v>0</v>
      </c>
      <c r="N29" s="235">
        <f t="shared" si="3"/>
        <v>0</v>
      </c>
      <c r="O29" s="235">
        <v>0</v>
      </c>
      <c r="P29" s="235">
        <v>0</v>
      </c>
      <c r="Q29" s="235">
        <f t="shared" si="4"/>
        <v>0</v>
      </c>
    </row>
    <row r="30" spans="1:17" x14ac:dyDescent="0.25">
      <c r="A30" s="344"/>
      <c r="B30" s="317" t="s">
        <v>327</v>
      </c>
      <c r="C30" s="318">
        <f>C22+C8</f>
        <v>35000000</v>
      </c>
      <c r="D30" s="318">
        <f>D22+D8</f>
        <v>0</v>
      </c>
      <c r="E30" s="318">
        <f t="shared" si="0"/>
        <v>35000000</v>
      </c>
      <c r="F30" s="511">
        <f>F22+F8</f>
        <v>35000000</v>
      </c>
      <c r="G30" s="511">
        <f>G22+G8</f>
        <v>0</v>
      </c>
      <c r="H30" s="511">
        <f t="shared" si="1"/>
        <v>35000000</v>
      </c>
      <c r="I30" s="511">
        <f>I22+I8</f>
        <v>35000000</v>
      </c>
      <c r="J30" s="511">
        <f>J22+J8</f>
        <v>0</v>
      </c>
      <c r="K30" s="511">
        <f t="shared" si="2"/>
        <v>35000000</v>
      </c>
      <c r="L30" s="511">
        <f>L22+L8</f>
        <v>37850000</v>
      </c>
      <c r="M30" s="511">
        <f>M22+M8</f>
        <v>0</v>
      </c>
      <c r="N30" s="511">
        <f t="shared" si="3"/>
        <v>37850000</v>
      </c>
      <c r="O30" s="511">
        <f>O22+O8</f>
        <v>23443505</v>
      </c>
      <c r="P30" s="511">
        <f>P22+P8</f>
        <v>0</v>
      </c>
      <c r="Q30" s="511">
        <f t="shared" si="4"/>
        <v>23443505</v>
      </c>
    </row>
    <row r="31" spans="1:17" x14ac:dyDescent="0.25">
      <c r="A31" s="308" t="s">
        <v>328</v>
      </c>
      <c r="B31" s="309" t="s">
        <v>329</v>
      </c>
      <c r="C31" s="310">
        <f>C32</f>
        <v>222914160</v>
      </c>
      <c r="D31" s="310">
        <f>D32</f>
        <v>0</v>
      </c>
      <c r="E31" s="310">
        <f t="shared" si="0"/>
        <v>222914160</v>
      </c>
      <c r="F31" s="501">
        <f>F32</f>
        <v>228149175</v>
      </c>
      <c r="G31" s="501">
        <f>G32</f>
        <v>0</v>
      </c>
      <c r="H31" s="501">
        <f t="shared" si="1"/>
        <v>228149175</v>
      </c>
      <c r="I31" s="501">
        <f>I32</f>
        <v>228333975</v>
      </c>
      <c r="J31" s="501">
        <f>J32</f>
        <v>0</v>
      </c>
      <c r="K31" s="501">
        <f t="shared" si="2"/>
        <v>228333975</v>
      </c>
      <c r="L31" s="501">
        <f>L32</f>
        <v>228333975</v>
      </c>
      <c r="M31" s="501">
        <f>M32</f>
        <v>0</v>
      </c>
      <c r="N31" s="501">
        <f t="shared" si="3"/>
        <v>228333975</v>
      </c>
      <c r="O31" s="501">
        <f>O32</f>
        <v>227683374</v>
      </c>
      <c r="P31" s="501">
        <f>P32</f>
        <v>0</v>
      </c>
      <c r="Q31" s="501">
        <f t="shared" si="4"/>
        <v>227683374</v>
      </c>
    </row>
    <row r="32" spans="1:17" x14ac:dyDescent="0.25">
      <c r="A32" s="311" t="s">
        <v>311</v>
      </c>
      <c r="B32" s="312" t="s">
        <v>330</v>
      </c>
      <c r="C32" s="313">
        <f>SUM(C33:C34)</f>
        <v>222914160</v>
      </c>
      <c r="D32" s="313">
        <f>SUM(D33:D34)</f>
        <v>0</v>
      </c>
      <c r="E32" s="313">
        <f t="shared" si="0"/>
        <v>222914160</v>
      </c>
      <c r="F32" s="503">
        <f>SUM(F33:F34)</f>
        <v>228149175</v>
      </c>
      <c r="G32" s="503">
        <f>SUM(G33:G34)</f>
        <v>0</v>
      </c>
      <c r="H32" s="503">
        <f t="shared" si="1"/>
        <v>228149175</v>
      </c>
      <c r="I32" s="503">
        <f>SUM(I33:I34)</f>
        <v>228333975</v>
      </c>
      <c r="J32" s="503">
        <f>SUM(J33:J34)</f>
        <v>0</v>
      </c>
      <c r="K32" s="503">
        <f t="shared" si="2"/>
        <v>228333975</v>
      </c>
      <c r="L32" s="503">
        <f>SUM(L33:L34)</f>
        <v>228333975</v>
      </c>
      <c r="M32" s="503">
        <f>SUM(M33:M34)</f>
        <v>0</v>
      </c>
      <c r="N32" s="503">
        <f t="shared" si="3"/>
        <v>228333975</v>
      </c>
      <c r="O32" s="503">
        <f>SUM(O33:O34)</f>
        <v>227683374</v>
      </c>
      <c r="P32" s="503">
        <f>SUM(P33:P34)</f>
        <v>0</v>
      </c>
      <c r="Q32" s="503">
        <f t="shared" si="4"/>
        <v>227683374</v>
      </c>
    </row>
    <row r="33" spans="1:19" x14ac:dyDescent="0.25">
      <c r="A33" s="346"/>
      <c r="B33" s="316" t="s">
        <v>331</v>
      </c>
      <c r="C33" s="235">
        <v>0</v>
      </c>
      <c r="D33" s="235">
        <v>0</v>
      </c>
      <c r="E33" s="235">
        <f t="shared" si="0"/>
        <v>0</v>
      </c>
      <c r="F33" s="235">
        <v>5139815</v>
      </c>
      <c r="G33" s="235">
        <v>0</v>
      </c>
      <c r="H33" s="235">
        <f t="shared" si="1"/>
        <v>5139815</v>
      </c>
      <c r="I33" s="235">
        <v>5139815</v>
      </c>
      <c r="J33" s="235">
        <v>0</v>
      </c>
      <c r="K33" s="235">
        <f t="shared" si="2"/>
        <v>5139815</v>
      </c>
      <c r="L33" s="235">
        <v>5139815</v>
      </c>
      <c r="M33" s="235">
        <v>0</v>
      </c>
      <c r="N33" s="235">
        <f t="shared" si="3"/>
        <v>5139815</v>
      </c>
      <c r="O33" s="235">
        <v>5139815</v>
      </c>
      <c r="P33" s="235">
        <v>0</v>
      </c>
      <c r="Q33" s="235">
        <f t="shared" si="4"/>
        <v>5139815</v>
      </c>
    </row>
    <row r="34" spans="1:19" x14ac:dyDescent="0.25">
      <c r="A34" s="346"/>
      <c r="B34" s="316" t="s">
        <v>332</v>
      </c>
      <c r="C34" s="235">
        <f>C36+C42-C8-C22-C33</f>
        <v>222914160</v>
      </c>
      <c r="D34" s="235">
        <f>D36+D42-D8-D22-D33</f>
        <v>0</v>
      </c>
      <c r="E34" s="235">
        <f t="shared" si="0"/>
        <v>222914160</v>
      </c>
      <c r="F34" s="235">
        <f>F36+F42-F8-F22-F33</f>
        <v>223009360</v>
      </c>
      <c r="G34" s="235">
        <f>G36+G42-G8-G22-G33</f>
        <v>0</v>
      </c>
      <c r="H34" s="235">
        <f t="shared" si="1"/>
        <v>223009360</v>
      </c>
      <c r="I34" s="235">
        <f>I36+I42-I8-I22-I33</f>
        <v>223194160</v>
      </c>
      <c r="J34" s="235">
        <f>J36+J42-J8-J22-J33</f>
        <v>0</v>
      </c>
      <c r="K34" s="235">
        <f t="shared" si="2"/>
        <v>223194160</v>
      </c>
      <c r="L34" s="235">
        <f>L36+L42-L8-L22-L33</f>
        <v>223194160</v>
      </c>
      <c r="M34" s="235">
        <f>M36+M42-M8-M22-M33</f>
        <v>0</v>
      </c>
      <c r="N34" s="235">
        <f t="shared" si="3"/>
        <v>223194160</v>
      </c>
      <c r="O34" s="235">
        <v>222543559</v>
      </c>
      <c r="P34" s="235">
        <f>P36+P42-P8-P22-P33</f>
        <v>0</v>
      </c>
      <c r="Q34" s="235">
        <f t="shared" si="4"/>
        <v>222543559</v>
      </c>
    </row>
    <row r="35" spans="1:19" x14ac:dyDescent="0.25">
      <c r="A35" s="319"/>
      <c r="B35" s="320" t="s">
        <v>333</v>
      </c>
      <c r="C35" s="292">
        <f>C31+C22+C8</f>
        <v>257914160</v>
      </c>
      <c r="D35" s="292">
        <f>D31+D22+D8</f>
        <v>0</v>
      </c>
      <c r="E35" s="292">
        <f t="shared" si="0"/>
        <v>257914160</v>
      </c>
      <c r="F35" s="292">
        <f>F31+F22+F8</f>
        <v>263149175</v>
      </c>
      <c r="G35" s="292">
        <f>G31+G22+G8</f>
        <v>0</v>
      </c>
      <c r="H35" s="292">
        <f t="shared" si="1"/>
        <v>263149175</v>
      </c>
      <c r="I35" s="292">
        <f>I31+I22+I8</f>
        <v>263333975</v>
      </c>
      <c r="J35" s="292">
        <f>J31+J22+J8</f>
        <v>0</v>
      </c>
      <c r="K35" s="292">
        <f t="shared" si="2"/>
        <v>263333975</v>
      </c>
      <c r="L35" s="292">
        <f>L31+L22+L8</f>
        <v>266183975</v>
      </c>
      <c r="M35" s="292">
        <f>M31+M22+M8</f>
        <v>0</v>
      </c>
      <c r="N35" s="292">
        <f t="shared" si="3"/>
        <v>266183975</v>
      </c>
      <c r="O35" s="292">
        <f>O31+O22+O8</f>
        <v>251126879</v>
      </c>
      <c r="P35" s="292">
        <f>P31+P22+P8</f>
        <v>0</v>
      </c>
      <c r="Q35" s="292">
        <f t="shared" si="4"/>
        <v>251126879</v>
      </c>
    </row>
    <row r="36" spans="1:19" x14ac:dyDescent="0.25">
      <c r="A36" s="308" t="s">
        <v>309</v>
      </c>
      <c r="B36" s="309" t="s">
        <v>334</v>
      </c>
      <c r="C36" s="310">
        <f>SUM(C37:C41)</f>
        <v>256644160</v>
      </c>
      <c r="D36" s="310">
        <f>SUM(D37:D41)</f>
        <v>0</v>
      </c>
      <c r="E36" s="310">
        <f t="shared" si="0"/>
        <v>256644160</v>
      </c>
      <c r="F36" s="501">
        <f>SUM(F37:F41)</f>
        <v>261879175</v>
      </c>
      <c r="G36" s="501">
        <f>SUM(G37:G41)</f>
        <v>0</v>
      </c>
      <c r="H36" s="501">
        <f t="shared" si="1"/>
        <v>261879175</v>
      </c>
      <c r="I36" s="501">
        <f>SUM(I37:I41)</f>
        <v>262063975</v>
      </c>
      <c r="J36" s="501">
        <f>SUM(J37:J41)</f>
        <v>0</v>
      </c>
      <c r="K36" s="501">
        <f t="shared" si="2"/>
        <v>262063975</v>
      </c>
      <c r="L36" s="501">
        <f>SUM(L37:L41)</f>
        <v>248060084</v>
      </c>
      <c r="M36" s="501">
        <f>SUM(M37:M41)</f>
        <v>0</v>
      </c>
      <c r="N36" s="501">
        <f t="shared" si="3"/>
        <v>248060084</v>
      </c>
      <c r="O36" s="501">
        <f>SUM(O37:O41)</f>
        <v>218883508</v>
      </c>
      <c r="P36" s="501">
        <f>SUM(P37:P41)</f>
        <v>0</v>
      </c>
      <c r="Q36" s="501">
        <f t="shared" si="4"/>
        <v>218883508</v>
      </c>
      <c r="R36" s="39">
        <f>+N36-K36</f>
        <v>-14003891</v>
      </c>
    </row>
    <row r="37" spans="1:19" x14ac:dyDescent="0.25">
      <c r="A37" s="311" t="s">
        <v>311</v>
      </c>
      <c r="B37" s="312" t="s">
        <v>286</v>
      </c>
      <c r="C37" s="313">
        <f>'5 GSZNR fel'!E59+'5 GSZNR fel'!E66+'5 GSZNR fel'!E73</f>
        <v>83854000</v>
      </c>
      <c r="D37" s="313">
        <f>'5 GSZNR fel'!D59+'5 GSZNR fel'!D66+'5 GSZNR fel'!D73+'5 GSZNR fel'!E82</f>
        <v>0</v>
      </c>
      <c r="E37" s="313">
        <f t="shared" si="0"/>
        <v>83854000</v>
      </c>
      <c r="F37" s="503">
        <f>'5 GSZNR fel'!H59+'5 GSZNR fel'!H66+'5 GSZNR fel'!H73</f>
        <v>83854000</v>
      </c>
      <c r="G37" s="503">
        <f>'5 GSZNR fel'!G59+'5 GSZNR fel'!G66+'5 GSZNR fel'!G73+'5 GSZNR fel'!H82</f>
        <v>0</v>
      </c>
      <c r="H37" s="503">
        <f t="shared" si="1"/>
        <v>83854000</v>
      </c>
      <c r="I37" s="503">
        <f>'5 GSZNR fel'!K59+'5 GSZNR fel'!K66+'5 GSZNR fel'!K73</f>
        <v>83854000</v>
      </c>
      <c r="J37" s="503">
        <f>'5 GSZNR fel'!J59+'5 GSZNR fel'!J66+'5 GSZNR fel'!J73+'5 GSZNR fel'!K82</f>
        <v>0</v>
      </c>
      <c r="K37" s="503">
        <f t="shared" si="2"/>
        <v>83854000</v>
      </c>
      <c r="L37" s="503">
        <f>'5 GSZNR fel'!N59+'5 GSZNR fel'!N66+'5 GSZNR fel'!N73</f>
        <v>84264000</v>
      </c>
      <c r="M37" s="503">
        <f>'5 GSZNR fel'!M59+'5 GSZNR fel'!M66+'5 GSZNR fel'!M73+'5 GSZNR fel'!N83</f>
        <v>0</v>
      </c>
      <c r="N37" s="503">
        <f t="shared" si="3"/>
        <v>84264000</v>
      </c>
      <c r="O37" s="503">
        <f>'5 GSZNR fel'!Q59+'5 GSZNR fel'!Q66+'5 GSZNR fel'!Q73</f>
        <v>82259356</v>
      </c>
      <c r="P37" s="503">
        <f>'5 GSZNR fel'!P59+'5 GSZNR fel'!P66+'5 GSZNR fel'!P73+'5 GSZNR fel'!Q82</f>
        <v>0</v>
      </c>
      <c r="Q37" s="503">
        <f t="shared" si="4"/>
        <v>82259356</v>
      </c>
      <c r="R37" s="39">
        <f>+N37-K37</f>
        <v>410000</v>
      </c>
    </row>
    <row r="38" spans="1:19" x14ac:dyDescent="0.25">
      <c r="A38" s="311" t="s">
        <v>322</v>
      </c>
      <c r="B38" s="312" t="s">
        <v>335</v>
      </c>
      <c r="C38" s="313">
        <f>'5 GSZNR fel'!E60+'5 GSZNR fel'!E67+'5 GSZNR fel'!E74</f>
        <v>16333160</v>
      </c>
      <c r="D38" s="313">
        <f>'5 GSZNR fel'!D60+'5 GSZNR fel'!D67+'5 GSZNR fel'!D74+'5 GSZNR fel'!E83</f>
        <v>0</v>
      </c>
      <c r="E38" s="313">
        <f t="shared" si="0"/>
        <v>16333160</v>
      </c>
      <c r="F38" s="503">
        <f>'5 GSZNR fel'!H60+'5 GSZNR fel'!H67+'5 GSZNR fel'!H74</f>
        <v>16333160</v>
      </c>
      <c r="G38" s="503">
        <f>'5 GSZNR fel'!G60+'5 GSZNR fel'!G67+'5 GSZNR fel'!G74+'5 GSZNR fel'!H83</f>
        <v>0</v>
      </c>
      <c r="H38" s="503">
        <f t="shared" si="1"/>
        <v>16333160</v>
      </c>
      <c r="I38" s="503">
        <f>'5 GSZNR fel'!K60+'5 GSZNR fel'!K67+'5 GSZNR fel'!K74</f>
        <v>16333160</v>
      </c>
      <c r="J38" s="503">
        <f>'5 GSZNR fel'!J60+'5 GSZNR fel'!J67+'5 GSZNR fel'!J74+'5 GSZNR fel'!K83</f>
        <v>0</v>
      </c>
      <c r="K38" s="503">
        <f t="shared" si="2"/>
        <v>16333160</v>
      </c>
      <c r="L38" s="503">
        <f>'5 GSZNR fel'!N60+'5 GSZNR fel'!N67+'5 GSZNR fel'!N74</f>
        <v>16333160</v>
      </c>
      <c r="M38" s="503">
        <f>'5 GSZNR fel'!M60+'5 GSZNR fel'!M67+'5 GSZNR fel'!M74+'5 GSZNR fel'!N84</f>
        <v>0</v>
      </c>
      <c r="N38" s="503">
        <f t="shared" si="3"/>
        <v>16333160</v>
      </c>
      <c r="O38" s="503">
        <f>'5 GSZNR fel'!Q60+'5 GSZNR fel'!Q67+'5 GSZNR fel'!Q74</f>
        <v>11783314</v>
      </c>
      <c r="P38" s="503">
        <f>'5 GSZNR fel'!P60+'5 GSZNR fel'!P67+'5 GSZNR fel'!P74+'5 GSZNR fel'!Q83</f>
        <v>0</v>
      </c>
      <c r="Q38" s="503">
        <f t="shared" si="4"/>
        <v>11783314</v>
      </c>
      <c r="R38" s="39">
        <f t="shared" ref="R38:R39" si="5">+N38-K38</f>
        <v>0</v>
      </c>
    </row>
    <row r="39" spans="1:19" x14ac:dyDescent="0.25">
      <c r="A39" s="311" t="s">
        <v>315</v>
      </c>
      <c r="B39" s="312" t="s">
        <v>292</v>
      </c>
      <c r="C39" s="313">
        <f>'5 GSZNR fel'!E61+'5 GSZNR fel'!E68+'5 GSZNR fel'!E75</f>
        <v>156457000</v>
      </c>
      <c r="D39" s="313">
        <f>'5 GSZNR fel'!D61+'5 GSZNR fel'!D68+'5 GSZNR fel'!D75+'5 GSZNR fel'!E84</f>
        <v>0</v>
      </c>
      <c r="E39" s="623">
        <f t="shared" si="0"/>
        <v>156457000</v>
      </c>
      <c r="F39" s="503">
        <f>'5 GSZNR fel'!H61+'5 GSZNR fel'!H68+'5 GSZNR fel'!H75</f>
        <v>158878518</v>
      </c>
      <c r="G39" s="503">
        <f>'5 GSZNR fel'!G61+'5 GSZNR fel'!G68+'5 GSZNR fel'!G75+'5 GSZNR fel'!H84</f>
        <v>0</v>
      </c>
      <c r="H39" s="623">
        <f t="shared" si="1"/>
        <v>158878518</v>
      </c>
      <c r="I39" s="503">
        <f>'5 GSZNR fel'!K61+'5 GSZNR fel'!K68+'5 GSZNR fel'!K75</f>
        <v>159063318</v>
      </c>
      <c r="J39" s="503">
        <f>'5 GSZNR fel'!J61+'5 GSZNR fel'!J68+'5 GSZNR fel'!J75+'5 GSZNR fel'!K84</f>
        <v>0</v>
      </c>
      <c r="K39" s="623">
        <f t="shared" si="2"/>
        <v>159063318</v>
      </c>
      <c r="L39" s="503">
        <f>'5 GSZNR fel'!N61+'5 GSZNR fel'!N68+'5 GSZNR fel'!N75+'5 GSZNR fel'!N78</f>
        <v>144649427</v>
      </c>
      <c r="M39" s="503">
        <f>'5 GSZNR fel'!M61+'5 GSZNR fel'!M68+'5 GSZNR fel'!M75+'5 GSZNR fel'!N85</f>
        <v>0</v>
      </c>
      <c r="N39" s="623">
        <f t="shared" si="3"/>
        <v>144649427</v>
      </c>
      <c r="O39" s="503">
        <f>'5 GSZNR fel'!Q61+'5 GSZNR fel'!Q68+'5 GSZNR fel'!Q75+'5 GSZNR fel'!Q78</f>
        <v>122027341</v>
      </c>
      <c r="P39" s="503">
        <f>'5 GSZNR fel'!P61+'5 GSZNR fel'!P68+'5 GSZNR fel'!P75+'5 GSZNR fel'!Q85</f>
        <v>0</v>
      </c>
      <c r="Q39" s="623">
        <f t="shared" si="4"/>
        <v>122027341</v>
      </c>
      <c r="R39" s="39">
        <f t="shared" si="5"/>
        <v>-14413891</v>
      </c>
    </row>
    <row r="40" spans="1:19" x14ac:dyDescent="0.25">
      <c r="A40" s="311" t="s">
        <v>336</v>
      </c>
      <c r="B40" s="312" t="s">
        <v>337</v>
      </c>
      <c r="C40" s="313">
        <v>0</v>
      </c>
      <c r="D40" s="313">
        <v>0</v>
      </c>
      <c r="E40" s="313">
        <f t="shared" si="0"/>
        <v>0</v>
      </c>
      <c r="F40" s="503">
        <v>0</v>
      </c>
      <c r="G40" s="503">
        <v>0</v>
      </c>
      <c r="H40" s="503">
        <f t="shared" si="1"/>
        <v>0</v>
      </c>
      <c r="I40" s="503">
        <v>0</v>
      </c>
      <c r="J40" s="503">
        <v>0</v>
      </c>
      <c r="K40" s="503">
        <f t="shared" si="2"/>
        <v>0</v>
      </c>
      <c r="L40" s="503">
        <v>0</v>
      </c>
      <c r="M40" s="503">
        <v>0</v>
      </c>
      <c r="N40" s="503">
        <f t="shared" si="3"/>
        <v>0</v>
      </c>
      <c r="O40" s="503">
        <v>0</v>
      </c>
      <c r="P40" s="503">
        <v>0</v>
      </c>
      <c r="Q40" s="503">
        <f t="shared" si="4"/>
        <v>0</v>
      </c>
    </row>
    <row r="41" spans="1:19" x14ac:dyDescent="0.25">
      <c r="A41" s="311" t="s">
        <v>338</v>
      </c>
      <c r="B41" s="312" t="s">
        <v>339</v>
      </c>
      <c r="C41" s="313">
        <f>+'5 GSZNR fel'!E62</f>
        <v>0</v>
      </c>
      <c r="D41" s="313">
        <v>0</v>
      </c>
      <c r="E41" s="313">
        <f t="shared" si="0"/>
        <v>0</v>
      </c>
      <c r="F41" s="503">
        <f>+'5 GSZNR fel'!H62</f>
        <v>2813497</v>
      </c>
      <c r="G41" s="503">
        <v>0</v>
      </c>
      <c r="H41" s="503">
        <f t="shared" si="1"/>
        <v>2813497</v>
      </c>
      <c r="I41" s="503">
        <f>+'5 GSZNR fel'!K62</f>
        <v>2813497</v>
      </c>
      <c r="J41" s="503">
        <v>0</v>
      </c>
      <c r="K41" s="503">
        <f t="shared" si="2"/>
        <v>2813497</v>
      </c>
      <c r="L41" s="503">
        <f>+'5 GSZNR fel'!N62+'5 GSZNR fel'!N69</f>
        <v>2813497</v>
      </c>
      <c r="M41" s="503">
        <v>0</v>
      </c>
      <c r="N41" s="503">
        <f t="shared" si="3"/>
        <v>2813497</v>
      </c>
      <c r="O41" s="503">
        <f>+'5 GSZNR fel'!Q62+'5 GSZNR fel'!Q69</f>
        <v>2813497</v>
      </c>
      <c r="P41" s="503">
        <v>0</v>
      </c>
      <c r="Q41" s="503">
        <f t="shared" si="4"/>
        <v>2813497</v>
      </c>
    </row>
    <row r="42" spans="1:19" x14ac:dyDescent="0.25">
      <c r="A42" s="308" t="s">
        <v>318</v>
      </c>
      <c r="B42" s="309" t="s">
        <v>340</v>
      </c>
      <c r="C42" s="310">
        <f>SUM(C43:C45)</f>
        <v>1270000</v>
      </c>
      <c r="D42" s="310">
        <f>SUM(D43:D45)</f>
        <v>0</v>
      </c>
      <c r="E42" s="310">
        <f t="shared" si="0"/>
        <v>1270000</v>
      </c>
      <c r="F42" s="501">
        <f>SUM(F43:F45)</f>
        <v>1270000</v>
      </c>
      <c r="G42" s="501">
        <f>SUM(G43:G45)</f>
        <v>0</v>
      </c>
      <c r="H42" s="501">
        <f t="shared" si="1"/>
        <v>1270000</v>
      </c>
      <c r="I42" s="501">
        <f>SUM(I43:I45)</f>
        <v>1270000</v>
      </c>
      <c r="J42" s="501">
        <f>SUM(J43:J45)</f>
        <v>0</v>
      </c>
      <c r="K42" s="501">
        <f t="shared" si="2"/>
        <v>1270000</v>
      </c>
      <c r="L42" s="501">
        <f>SUM(L43:L45)</f>
        <v>18123891</v>
      </c>
      <c r="M42" s="501">
        <f>SUM(M43:M45)</f>
        <v>0</v>
      </c>
      <c r="N42" s="501">
        <f t="shared" si="3"/>
        <v>18123891</v>
      </c>
      <c r="O42" s="501">
        <f>SUM(O43:O45)</f>
        <v>2219681</v>
      </c>
      <c r="P42" s="501">
        <f>SUM(P43:P45)</f>
        <v>0</v>
      </c>
      <c r="Q42" s="501">
        <f t="shared" si="4"/>
        <v>2219681</v>
      </c>
      <c r="R42" s="39">
        <f t="shared" ref="R42" si="6">+N42-K42</f>
        <v>16853891</v>
      </c>
      <c r="S42" s="39">
        <f>+R42-2440000</f>
        <v>14413891</v>
      </c>
    </row>
    <row r="43" spans="1:19" x14ac:dyDescent="0.25">
      <c r="A43" s="311" t="s">
        <v>311</v>
      </c>
      <c r="B43" s="312" t="s">
        <v>341</v>
      </c>
      <c r="C43" s="313">
        <f>'5 GSZNR fel'!E63+'5 GSZNR fel'!E70+'5 GSZNR fel'!E76</f>
        <v>1270000</v>
      </c>
      <c r="D43" s="313">
        <f>'5 GSZNR fel'!D63+'5 GSZNR fel'!D70+'5 GSZNR fel'!D76</f>
        <v>0</v>
      </c>
      <c r="E43" s="623">
        <f t="shared" si="0"/>
        <v>1270000</v>
      </c>
      <c r="F43" s="503">
        <f>'5 GSZNR fel'!H63+'5 GSZNR fel'!H70+'5 GSZNR fel'!H76</f>
        <v>1270000</v>
      </c>
      <c r="G43" s="503">
        <f>'5 GSZNR fel'!G63+'5 GSZNR fel'!G70+'5 GSZNR fel'!G76</f>
        <v>0</v>
      </c>
      <c r="H43" s="623">
        <f t="shared" si="1"/>
        <v>1270000</v>
      </c>
      <c r="I43" s="503">
        <f>'5 GSZNR fel'!K63+'5 GSZNR fel'!K70+'5 GSZNR fel'!K76</f>
        <v>1270000</v>
      </c>
      <c r="J43" s="503">
        <f>'5 GSZNR fel'!J63+'5 GSZNR fel'!J70+'5 GSZNR fel'!J76</f>
        <v>0</v>
      </c>
      <c r="K43" s="623">
        <f t="shared" si="2"/>
        <v>1270000</v>
      </c>
      <c r="L43" s="503">
        <f>'5 GSZNR fel'!N63+'5 GSZNR fel'!N70+'5 GSZNR fel'!N76+'5 GSZNR fel'!N79</f>
        <v>3741141</v>
      </c>
      <c r="M43" s="503">
        <f>'5 GSZNR fel'!M63+'5 GSZNR fel'!M70+'5 GSZNR fel'!M76</f>
        <v>0</v>
      </c>
      <c r="N43" s="623">
        <f t="shared" si="3"/>
        <v>3741141</v>
      </c>
      <c r="O43" s="503">
        <f>'5 GSZNR fel'!Q63+'5 GSZNR fel'!Q70+'5 GSZNR fel'!Q76+'5 GSZNR fel'!Q79</f>
        <v>2219681</v>
      </c>
      <c r="P43" s="503">
        <f>'5 GSZNR fel'!P63+'5 GSZNR fel'!P70+'5 GSZNR fel'!P76</f>
        <v>0</v>
      </c>
      <c r="Q43" s="623">
        <f t="shared" si="4"/>
        <v>2219681</v>
      </c>
      <c r="R43" s="39">
        <f t="shared" ref="R43:R46" si="7">+N43-K43</f>
        <v>2471141</v>
      </c>
    </row>
    <row r="44" spans="1:19" x14ac:dyDescent="0.25">
      <c r="A44" s="311" t="s">
        <v>322</v>
      </c>
      <c r="B44" s="312" t="s">
        <v>342</v>
      </c>
      <c r="C44" s="313">
        <f>+'5 GSZNR fel'!E64</f>
        <v>0</v>
      </c>
      <c r="D44" s="313">
        <v>0</v>
      </c>
      <c r="E44" s="313">
        <f t="shared" si="0"/>
        <v>0</v>
      </c>
      <c r="F44" s="503">
        <f>+'5 GSZNR fel'!H64</f>
        <v>0</v>
      </c>
      <c r="G44" s="503">
        <v>0</v>
      </c>
      <c r="H44" s="503">
        <f t="shared" si="1"/>
        <v>0</v>
      </c>
      <c r="I44" s="503">
        <f>+'5 GSZNR fel'!K64</f>
        <v>0</v>
      </c>
      <c r="J44" s="503">
        <v>0</v>
      </c>
      <c r="K44" s="503">
        <f t="shared" si="2"/>
        <v>0</v>
      </c>
      <c r="L44" s="503">
        <f>+'5 GSZNR fel'!N64+'5 GSZNR fel'!N71</f>
        <v>14382750</v>
      </c>
      <c r="M44" s="503">
        <v>0</v>
      </c>
      <c r="N44" s="503">
        <f t="shared" si="3"/>
        <v>14382750</v>
      </c>
      <c r="O44" s="503">
        <f>+'5 GSZNR fel'!Q64+'5 GSZNR fel'!Q71</f>
        <v>0</v>
      </c>
      <c r="P44" s="503">
        <v>0</v>
      </c>
      <c r="Q44" s="503">
        <f t="shared" si="4"/>
        <v>0</v>
      </c>
      <c r="R44" s="39">
        <f t="shared" si="7"/>
        <v>14382750</v>
      </c>
    </row>
    <row r="45" spans="1:19" x14ac:dyDescent="0.25">
      <c r="A45" s="311" t="s">
        <v>315</v>
      </c>
      <c r="B45" s="312" t="s">
        <v>343</v>
      </c>
      <c r="C45" s="313" t="s">
        <v>1638</v>
      </c>
      <c r="D45" s="313">
        <v>0</v>
      </c>
      <c r="E45" s="313">
        <f t="shared" si="0"/>
        <v>0</v>
      </c>
      <c r="F45" s="503" t="s">
        <v>1638</v>
      </c>
      <c r="G45" s="503">
        <v>0</v>
      </c>
      <c r="H45" s="503">
        <f t="shared" si="1"/>
        <v>0</v>
      </c>
      <c r="I45" s="503" t="s">
        <v>1638</v>
      </c>
      <c r="J45" s="503">
        <v>0</v>
      </c>
      <c r="K45" s="503">
        <f t="shared" si="2"/>
        <v>0</v>
      </c>
      <c r="L45" s="503"/>
      <c r="M45" s="503">
        <v>0</v>
      </c>
      <c r="N45" s="503">
        <f t="shared" si="3"/>
        <v>0</v>
      </c>
      <c r="O45" s="503" t="s">
        <v>1638</v>
      </c>
      <c r="P45" s="503">
        <v>0</v>
      </c>
      <c r="Q45" s="503">
        <f t="shared" si="4"/>
        <v>0</v>
      </c>
    </row>
    <row r="46" spans="1:19" x14ac:dyDescent="0.25">
      <c r="A46" s="319"/>
      <c r="B46" s="320" t="s">
        <v>344</v>
      </c>
      <c r="C46" s="292">
        <f>C36+C42</f>
        <v>257914160</v>
      </c>
      <c r="D46" s="292">
        <f>D36+D42</f>
        <v>0</v>
      </c>
      <c r="E46" s="292">
        <f t="shared" si="0"/>
        <v>257914160</v>
      </c>
      <c r="F46" s="292">
        <f>F36+F42</f>
        <v>263149175</v>
      </c>
      <c r="G46" s="292">
        <f>G36+G42</f>
        <v>0</v>
      </c>
      <c r="H46" s="292">
        <f t="shared" si="1"/>
        <v>263149175</v>
      </c>
      <c r="I46" s="292">
        <f>I36+I42</f>
        <v>263333975</v>
      </c>
      <c r="J46" s="292">
        <f>J36+J42</f>
        <v>0</v>
      </c>
      <c r="K46" s="292">
        <f t="shared" si="2"/>
        <v>263333975</v>
      </c>
      <c r="L46" s="292">
        <f>L36+L42</f>
        <v>266183975</v>
      </c>
      <c r="M46" s="292">
        <f>M36+M42</f>
        <v>0</v>
      </c>
      <c r="N46" s="292">
        <f t="shared" si="3"/>
        <v>266183975</v>
      </c>
      <c r="O46" s="292">
        <f>O36+O42</f>
        <v>221103189</v>
      </c>
      <c r="P46" s="292">
        <f>P36+P42</f>
        <v>0</v>
      </c>
      <c r="Q46" s="292">
        <f t="shared" si="4"/>
        <v>221103189</v>
      </c>
      <c r="R46" s="39">
        <f t="shared" si="7"/>
        <v>2850000</v>
      </c>
    </row>
    <row r="47" spans="1:19" x14ac:dyDescent="0.25">
      <c r="H47" s="39">
        <f>+H46-E46</f>
        <v>5235015</v>
      </c>
      <c r="K47" s="39">
        <f>+K46-H46</f>
        <v>184800</v>
      </c>
      <c r="N47" s="39">
        <f>+N46-K46</f>
        <v>2850000</v>
      </c>
      <c r="Q47" s="39">
        <f>+Q46-N46</f>
        <v>-45080786</v>
      </c>
    </row>
    <row r="48" spans="1:19" x14ac:dyDescent="0.25">
      <c r="H48">
        <v>95200</v>
      </c>
      <c r="K48">
        <v>95200</v>
      </c>
      <c r="N48">
        <v>95200</v>
      </c>
      <c r="Q48">
        <v>95200</v>
      </c>
    </row>
    <row r="49" spans="8:17" x14ac:dyDescent="0.25">
      <c r="H49" s="39">
        <f>+H47-H48</f>
        <v>5139815</v>
      </c>
      <c r="K49" s="39">
        <f>+K47-K48</f>
        <v>89600</v>
      </c>
      <c r="N49" s="39">
        <f>+N47-N48</f>
        <v>2754800</v>
      </c>
      <c r="Q49" s="39">
        <f>+Q47-Q48</f>
        <v>-45175986</v>
      </c>
    </row>
  </sheetData>
  <mergeCells count="7">
    <mergeCell ref="O4:Q4"/>
    <mergeCell ref="A4:A5"/>
    <mergeCell ref="C4:E4"/>
    <mergeCell ref="B4:B5"/>
    <mergeCell ref="F4:H4"/>
    <mergeCell ref="I4:K4"/>
    <mergeCell ref="L4:N4"/>
  </mergeCells>
  <printOptions horizontalCentered="1"/>
  <pageMargins left="0.19685039370078741" right="0.19685039370078741" top="0.78740157480314965" bottom="0.19685039370078741" header="0.31496062992125984" footer="0.31496062992125984"/>
  <pageSetup paperSize="9" scale="75" fitToWidth="0" fitToHeight="0" orientation="landscape" copies="2" r:id="rId1"/>
  <headerFooter>
    <oddHeader>&amp;L4/D.  melléklet a ......./2021. (.................) önkormányzati rendelethez&amp;C&amp;"-,Félkövér"&amp;16
A Munkácsy Mihály Művelődési Ház 2020. évi bevételei és kiadásai jogcímenként és feladatonként</oddHeader>
    <oddFooter>&amp;C&amp;P&amp;R&amp;D, &amp;T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R47"/>
  <sheetViews>
    <sheetView view="pageBreakPreview" topLeftCell="A22" zoomScale="91" zoomScaleNormal="100" zoomScaleSheetLayoutView="91" workbookViewId="0">
      <selection activeCell="R43" sqref="R43"/>
    </sheetView>
  </sheetViews>
  <sheetFormatPr defaultRowHeight="15" x14ac:dyDescent="0.25"/>
  <cols>
    <col min="1" max="1" width="5.42578125" style="30" customWidth="1"/>
    <col min="2" max="2" width="49.42578125" customWidth="1"/>
    <col min="3" max="8" width="15.140625" hidden="1" customWidth="1"/>
    <col min="9" max="14" width="15.140625" customWidth="1"/>
    <col min="15" max="17" width="15.140625" hidden="1" customWidth="1"/>
    <col min="18" max="18" width="10.42578125" customWidth="1"/>
  </cols>
  <sheetData>
    <row r="1" spans="1:17" x14ac:dyDescent="0.25">
      <c r="E1" s="31"/>
      <c r="H1" s="31" t="s">
        <v>1662</v>
      </c>
      <c r="K1" s="31"/>
      <c r="N1" s="31" t="s">
        <v>1662</v>
      </c>
    </row>
    <row r="2" spans="1:17" ht="30" x14ac:dyDescent="0.25">
      <c r="A2" s="304" t="s">
        <v>303</v>
      </c>
      <c r="B2" s="304" t="s">
        <v>1423</v>
      </c>
      <c r="C2" s="518"/>
      <c r="D2" s="518"/>
      <c r="E2" s="518"/>
      <c r="F2" s="518"/>
      <c r="G2" s="518"/>
      <c r="H2" s="518"/>
      <c r="I2" s="518"/>
      <c r="J2" s="518"/>
      <c r="K2" s="518"/>
      <c r="L2" s="518"/>
      <c r="M2" s="518"/>
      <c r="N2" s="518"/>
      <c r="O2" s="518"/>
      <c r="P2" s="518"/>
      <c r="Q2" s="518"/>
    </row>
    <row r="3" spans="1:17" ht="30" x14ac:dyDescent="0.25">
      <c r="A3" s="304" t="s">
        <v>304</v>
      </c>
      <c r="B3" s="304" t="s">
        <v>1478</v>
      </c>
      <c r="C3" s="518"/>
      <c r="D3" s="518"/>
      <c r="E3" s="518"/>
      <c r="F3" s="518"/>
      <c r="G3" s="518"/>
      <c r="H3" s="518"/>
      <c r="I3" s="518"/>
      <c r="J3" s="518"/>
      <c r="K3" s="518"/>
      <c r="L3" s="518"/>
      <c r="M3" s="518"/>
      <c r="N3" s="518"/>
      <c r="O3" s="518"/>
      <c r="P3" s="518"/>
      <c r="Q3" s="518"/>
    </row>
    <row r="4" spans="1:17" ht="30.4" customHeight="1" x14ac:dyDescent="0.25">
      <c r="A4" s="938" t="s">
        <v>305</v>
      </c>
      <c r="B4" s="965" t="s">
        <v>306</v>
      </c>
      <c r="C4" s="939" t="s">
        <v>1654</v>
      </c>
      <c r="D4" s="936"/>
      <c r="E4" s="940"/>
      <c r="F4" s="939" t="s">
        <v>1760</v>
      </c>
      <c r="G4" s="936"/>
      <c r="H4" s="940"/>
      <c r="I4" s="939" t="s">
        <v>1795</v>
      </c>
      <c r="J4" s="936"/>
      <c r="K4" s="940"/>
      <c r="L4" s="939" t="s">
        <v>1803</v>
      </c>
      <c r="M4" s="936"/>
      <c r="N4" s="940"/>
      <c r="O4" s="962" t="s">
        <v>1806</v>
      </c>
      <c r="P4" s="936"/>
      <c r="Q4" s="940"/>
    </row>
    <row r="5" spans="1:17" ht="30" x14ac:dyDescent="0.25">
      <c r="A5" s="938"/>
      <c r="B5" s="965"/>
      <c r="C5" s="516" t="s">
        <v>1300</v>
      </c>
      <c r="D5" s="516" t="s">
        <v>1301</v>
      </c>
      <c r="E5" s="516" t="s">
        <v>550</v>
      </c>
      <c r="F5" s="690" t="s">
        <v>1300</v>
      </c>
      <c r="G5" s="690" t="s">
        <v>1301</v>
      </c>
      <c r="H5" s="690" t="s">
        <v>550</v>
      </c>
      <c r="I5" s="690" t="s">
        <v>1300</v>
      </c>
      <c r="J5" s="690" t="s">
        <v>1301</v>
      </c>
      <c r="K5" s="690" t="s">
        <v>550</v>
      </c>
      <c r="L5" s="690" t="s">
        <v>1300</v>
      </c>
      <c r="M5" s="690" t="s">
        <v>1301</v>
      </c>
      <c r="N5" s="690" t="s">
        <v>550</v>
      </c>
      <c r="O5" s="690" t="s">
        <v>1300</v>
      </c>
      <c r="P5" s="690" t="s">
        <v>1301</v>
      </c>
      <c r="Q5" s="690" t="s">
        <v>550</v>
      </c>
    </row>
    <row r="6" spans="1:17" x14ac:dyDescent="0.25">
      <c r="A6" s="305"/>
      <c r="B6" s="306" t="s">
        <v>307</v>
      </c>
      <c r="C6" s="307">
        <v>4.5</v>
      </c>
      <c r="D6" s="307">
        <v>1</v>
      </c>
      <c r="E6" s="307">
        <f t="shared" ref="E6:E46" si="0">SUM(C6:D6)</f>
        <v>5.5</v>
      </c>
      <c r="F6" s="307">
        <v>4.5</v>
      </c>
      <c r="G6" s="307">
        <v>1</v>
      </c>
      <c r="H6" s="307">
        <f t="shared" ref="H6:H46" si="1">SUM(F6:G6)</f>
        <v>5.5</v>
      </c>
      <c r="I6" s="307">
        <v>4.5</v>
      </c>
      <c r="J6" s="307">
        <v>1</v>
      </c>
      <c r="K6" s="307">
        <f t="shared" ref="K6:K46" si="2">SUM(I6:J6)</f>
        <v>5.5</v>
      </c>
      <c r="L6" s="307">
        <v>4.5</v>
      </c>
      <c r="M6" s="307">
        <v>1</v>
      </c>
      <c r="N6" s="307">
        <f t="shared" ref="N6:N46" si="3">SUM(L6:M6)</f>
        <v>5.5</v>
      </c>
      <c r="O6" s="307">
        <v>4.5</v>
      </c>
      <c r="P6" s="307">
        <v>1</v>
      </c>
      <c r="Q6" s="307">
        <f t="shared" ref="Q6:Q46" si="4">SUM(O6:P6)</f>
        <v>5.5</v>
      </c>
    </row>
    <row r="7" spans="1:17" x14ac:dyDescent="0.25">
      <c r="A7" s="305"/>
      <c r="B7" s="306" t="s">
        <v>308</v>
      </c>
      <c r="C7" s="307"/>
      <c r="D7" s="307"/>
      <c r="E7" s="307">
        <f t="shared" si="0"/>
        <v>0</v>
      </c>
      <c r="F7" s="307"/>
      <c r="G7" s="307"/>
      <c r="H7" s="307">
        <f t="shared" si="1"/>
        <v>0</v>
      </c>
      <c r="I7" s="307"/>
      <c r="J7" s="307"/>
      <c r="K7" s="307">
        <f t="shared" si="2"/>
        <v>0</v>
      </c>
      <c r="L7" s="307"/>
      <c r="M7" s="307"/>
      <c r="N7" s="307">
        <f t="shared" si="3"/>
        <v>0</v>
      </c>
      <c r="O7" s="307"/>
      <c r="P7" s="307"/>
      <c r="Q7" s="307">
        <f t="shared" si="4"/>
        <v>0</v>
      </c>
    </row>
    <row r="8" spans="1:17" x14ac:dyDescent="0.25">
      <c r="A8" s="308" t="s">
        <v>309</v>
      </c>
      <c r="B8" s="309" t="s">
        <v>310</v>
      </c>
      <c r="C8" s="310">
        <f>C9+C11+C20</f>
        <v>0</v>
      </c>
      <c r="D8" s="310">
        <f>D9+D11+D20</f>
        <v>0</v>
      </c>
      <c r="E8" s="310">
        <f t="shared" si="0"/>
        <v>0</v>
      </c>
      <c r="F8" s="501">
        <f>F9+F11+F20</f>
        <v>0</v>
      </c>
      <c r="G8" s="501">
        <f>G9+G11+G20</f>
        <v>0</v>
      </c>
      <c r="H8" s="501">
        <f t="shared" si="1"/>
        <v>0</v>
      </c>
      <c r="I8" s="501">
        <f>I9+I11+I20</f>
        <v>0</v>
      </c>
      <c r="J8" s="501">
        <f>J9+J11+J20</f>
        <v>0</v>
      </c>
      <c r="K8" s="501">
        <f t="shared" si="2"/>
        <v>0</v>
      </c>
      <c r="L8" s="501">
        <f>L9+L11+L20</f>
        <v>0</v>
      </c>
      <c r="M8" s="501">
        <f>M9+M11+M20</f>
        <v>0</v>
      </c>
      <c r="N8" s="501">
        <f t="shared" si="3"/>
        <v>0</v>
      </c>
      <c r="O8" s="501">
        <f>O9+O11+O20</f>
        <v>79020</v>
      </c>
      <c r="P8" s="501">
        <f>P9+P11+P20</f>
        <v>0</v>
      </c>
      <c r="Q8" s="501">
        <f t="shared" si="4"/>
        <v>79020</v>
      </c>
    </row>
    <row r="9" spans="1:17" x14ac:dyDescent="0.25">
      <c r="A9" s="311" t="s">
        <v>311</v>
      </c>
      <c r="B9" s="312" t="s">
        <v>312</v>
      </c>
      <c r="C9" s="313">
        <f>C10</f>
        <v>0</v>
      </c>
      <c r="D9" s="313">
        <f>D10</f>
        <v>0</v>
      </c>
      <c r="E9" s="313">
        <f t="shared" si="0"/>
        <v>0</v>
      </c>
      <c r="F9" s="503">
        <f>F10</f>
        <v>0</v>
      </c>
      <c r="G9" s="503">
        <f>G10</f>
        <v>0</v>
      </c>
      <c r="H9" s="503">
        <f t="shared" si="1"/>
        <v>0</v>
      </c>
      <c r="I9" s="503">
        <f>I10</f>
        <v>0</v>
      </c>
      <c r="J9" s="503">
        <f>J10</f>
        <v>0</v>
      </c>
      <c r="K9" s="503">
        <f t="shared" si="2"/>
        <v>0</v>
      </c>
      <c r="L9" s="503">
        <f>L10</f>
        <v>0</v>
      </c>
      <c r="M9" s="503">
        <f>M10</f>
        <v>0</v>
      </c>
      <c r="N9" s="503">
        <f t="shared" si="3"/>
        <v>0</v>
      </c>
      <c r="O9" s="503">
        <f>O10</f>
        <v>0</v>
      </c>
      <c r="P9" s="503">
        <f>P10</f>
        <v>0</v>
      </c>
      <c r="Q9" s="503">
        <f t="shared" si="4"/>
        <v>0</v>
      </c>
    </row>
    <row r="10" spans="1:17" ht="30" hidden="1" customHeight="1" x14ac:dyDescent="0.25">
      <c r="A10" s="346"/>
      <c r="B10" s="314" t="s">
        <v>313</v>
      </c>
      <c r="C10" s="235">
        <v>0</v>
      </c>
      <c r="D10" s="235">
        <v>0</v>
      </c>
      <c r="E10" s="235">
        <f t="shared" si="0"/>
        <v>0</v>
      </c>
      <c r="F10" s="235">
        <v>0</v>
      </c>
      <c r="G10" s="235">
        <v>0</v>
      </c>
      <c r="H10" s="235">
        <f t="shared" si="1"/>
        <v>0</v>
      </c>
      <c r="I10" s="235">
        <v>0</v>
      </c>
      <c r="J10" s="235">
        <v>0</v>
      </c>
      <c r="K10" s="235">
        <f t="shared" si="2"/>
        <v>0</v>
      </c>
      <c r="L10" s="235">
        <v>0</v>
      </c>
      <c r="M10" s="235">
        <v>0</v>
      </c>
      <c r="N10" s="235">
        <f t="shared" si="3"/>
        <v>0</v>
      </c>
      <c r="O10" s="235">
        <v>0</v>
      </c>
      <c r="P10" s="235">
        <v>0</v>
      </c>
      <c r="Q10" s="235">
        <f t="shared" si="4"/>
        <v>0</v>
      </c>
    </row>
    <row r="11" spans="1:17" x14ac:dyDescent="0.25">
      <c r="A11" s="311" t="s">
        <v>322</v>
      </c>
      <c r="B11" s="312" t="s">
        <v>314</v>
      </c>
      <c r="C11" s="313">
        <f>C12+C13+C14+C15+C16+C17+C18+C19</f>
        <v>0</v>
      </c>
      <c r="D11" s="313">
        <f>D12+D13+D14+D15+D16+D17+D18+D19</f>
        <v>0</v>
      </c>
      <c r="E11" s="313">
        <f t="shared" si="0"/>
        <v>0</v>
      </c>
      <c r="F11" s="503">
        <f>F12+F13+F14+F15+F16+F17+F18+F19</f>
        <v>0</v>
      </c>
      <c r="G11" s="503">
        <f>G12+G13+G14+G15+G16+G17+G18+G19</f>
        <v>0</v>
      </c>
      <c r="H11" s="503">
        <f t="shared" si="1"/>
        <v>0</v>
      </c>
      <c r="I11" s="503">
        <f>I12+I13+I14+I15+I16+I17+I18+I19</f>
        <v>0</v>
      </c>
      <c r="J11" s="503">
        <f>J12+J13+J14+J15+J16+J17+J18+J19</f>
        <v>0</v>
      </c>
      <c r="K11" s="503">
        <f t="shared" si="2"/>
        <v>0</v>
      </c>
      <c r="L11" s="503">
        <f>L12+L13+L14+L15+L16+L17+L18+L19</f>
        <v>0</v>
      </c>
      <c r="M11" s="503">
        <f>M12+M13+M14+M15+M16+M17+M18+M19</f>
        <v>0</v>
      </c>
      <c r="N11" s="503">
        <f t="shared" si="3"/>
        <v>0</v>
      </c>
      <c r="O11" s="503">
        <f>O12+O13+O14+O15+O16+O17+O18+O19</f>
        <v>79020</v>
      </c>
      <c r="P11" s="503">
        <f>P12+P13+P14+P15+P16+P17+P18+P19</f>
        <v>0</v>
      </c>
      <c r="Q11" s="503">
        <f t="shared" si="4"/>
        <v>79020</v>
      </c>
    </row>
    <row r="12" spans="1:17" x14ac:dyDescent="0.25">
      <c r="A12" s="346"/>
      <c r="B12" s="314" t="s">
        <v>651</v>
      </c>
      <c r="C12" s="235">
        <v>0</v>
      </c>
      <c r="D12" s="235">
        <v>0</v>
      </c>
      <c r="E12" s="235">
        <f t="shared" si="0"/>
        <v>0</v>
      </c>
      <c r="F12" s="235">
        <v>0</v>
      </c>
      <c r="G12" s="235">
        <v>0</v>
      </c>
      <c r="H12" s="235">
        <f t="shared" si="1"/>
        <v>0</v>
      </c>
      <c r="I12" s="235">
        <v>0</v>
      </c>
      <c r="J12" s="235">
        <v>0</v>
      </c>
      <c r="K12" s="235">
        <f t="shared" si="2"/>
        <v>0</v>
      </c>
      <c r="L12" s="235">
        <v>0</v>
      </c>
      <c r="M12" s="235">
        <v>0</v>
      </c>
      <c r="N12" s="235">
        <f t="shared" si="3"/>
        <v>0</v>
      </c>
      <c r="O12" s="235">
        <v>0</v>
      </c>
      <c r="P12" s="235">
        <v>0</v>
      </c>
      <c r="Q12" s="235">
        <f t="shared" si="4"/>
        <v>0</v>
      </c>
    </row>
    <row r="13" spans="1:17" x14ac:dyDescent="0.25">
      <c r="A13" s="346"/>
      <c r="B13" s="314" t="s">
        <v>652</v>
      </c>
      <c r="C13" s="235">
        <v>0</v>
      </c>
      <c r="D13" s="235">
        <v>0</v>
      </c>
      <c r="E13" s="235">
        <f t="shared" si="0"/>
        <v>0</v>
      </c>
      <c r="F13" s="235">
        <v>0</v>
      </c>
      <c r="G13" s="235">
        <v>0</v>
      </c>
      <c r="H13" s="235">
        <f t="shared" si="1"/>
        <v>0</v>
      </c>
      <c r="I13" s="235">
        <v>0</v>
      </c>
      <c r="J13" s="235">
        <v>0</v>
      </c>
      <c r="K13" s="235">
        <f t="shared" si="2"/>
        <v>0</v>
      </c>
      <c r="L13" s="235">
        <v>0</v>
      </c>
      <c r="M13" s="235">
        <v>0</v>
      </c>
      <c r="N13" s="235">
        <f t="shared" si="3"/>
        <v>0</v>
      </c>
      <c r="O13" s="235">
        <v>0</v>
      </c>
      <c r="P13" s="235">
        <v>0</v>
      </c>
      <c r="Q13" s="235">
        <f t="shared" si="4"/>
        <v>0</v>
      </c>
    </row>
    <row r="14" spans="1:17" x14ac:dyDescent="0.25">
      <c r="A14" s="346"/>
      <c r="B14" s="314" t="s">
        <v>659</v>
      </c>
      <c r="C14" s="235">
        <v>0</v>
      </c>
      <c r="D14" s="235">
        <v>0</v>
      </c>
      <c r="E14" s="235">
        <f t="shared" si="0"/>
        <v>0</v>
      </c>
      <c r="F14" s="235">
        <v>0</v>
      </c>
      <c r="G14" s="235">
        <v>0</v>
      </c>
      <c r="H14" s="235">
        <f t="shared" si="1"/>
        <v>0</v>
      </c>
      <c r="I14" s="235">
        <v>0</v>
      </c>
      <c r="J14" s="235">
        <v>0</v>
      </c>
      <c r="K14" s="235">
        <f t="shared" si="2"/>
        <v>0</v>
      </c>
      <c r="L14" s="235">
        <v>0</v>
      </c>
      <c r="M14" s="235">
        <v>0</v>
      </c>
      <c r="N14" s="235">
        <f t="shared" si="3"/>
        <v>0</v>
      </c>
      <c r="O14" s="235">
        <v>0</v>
      </c>
      <c r="P14" s="235">
        <v>0</v>
      </c>
      <c r="Q14" s="235">
        <f t="shared" si="4"/>
        <v>0</v>
      </c>
    </row>
    <row r="15" spans="1:17" x14ac:dyDescent="0.25">
      <c r="A15" s="346"/>
      <c r="B15" s="314" t="s">
        <v>660</v>
      </c>
      <c r="C15" s="235">
        <v>0</v>
      </c>
      <c r="D15" s="235">
        <v>0</v>
      </c>
      <c r="E15" s="235">
        <f t="shared" si="0"/>
        <v>0</v>
      </c>
      <c r="F15" s="235">
        <v>0</v>
      </c>
      <c r="G15" s="235">
        <v>0</v>
      </c>
      <c r="H15" s="235">
        <f t="shared" si="1"/>
        <v>0</v>
      </c>
      <c r="I15" s="235">
        <v>0</v>
      </c>
      <c r="J15" s="235">
        <v>0</v>
      </c>
      <c r="K15" s="235">
        <f t="shared" si="2"/>
        <v>0</v>
      </c>
      <c r="L15" s="235">
        <v>0</v>
      </c>
      <c r="M15" s="235">
        <v>0</v>
      </c>
      <c r="N15" s="235">
        <f t="shared" si="3"/>
        <v>0</v>
      </c>
      <c r="O15" s="235">
        <v>0</v>
      </c>
      <c r="P15" s="235">
        <v>0</v>
      </c>
      <c r="Q15" s="235">
        <f t="shared" si="4"/>
        <v>0</v>
      </c>
    </row>
    <row r="16" spans="1:17" x14ac:dyDescent="0.25">
      <c r="A16" s="346"/>
      <c r="B16" s="314" t="s">
        <v>661</v>
      </c>
      <c r="C16" s="235">
        <v>0</v>
      </c>
      <c r="D16" s="235">
        <v>0</v>
      </c>
      <c r="E16" s="235">
        <f t="shared" si="0"/>
        <v>0</v>
      </c>
      <c r="F16" s="235">
        <v>0</v>
      </c>
      <c r="G16" s="235">
        <v>0</v>
      </c>
      <c r="H16" s="235">
        <f t="shared" si="1"/>
        <v>0</v>
      </c>
      <c r="I16" s="235">
        <v>0</v>
      </c>
      <c r="J16" s="235">
        <v>0</v>
      </c>
      <c r="K16" s="235">
        <f t="shared" si="2"/>
        <v>0</v>
      </c>
      <c r="L16" s="235">
        <v>0</v>
      </c>
      <c r="M16" s="235">
        <v>0</v>
      </c>
      <c r="N16" s="235">
        <f t="shared" si="3"/>
        <v>0</v>
      </c>
      <c r="O16" s="235">
        <v>0</v>
      </c>
      <c r="P16" s="235">
        <v>0</v>
      </c>
      <c r="Q16" s="235">
        <f t="shared" si="4"/>
        <v>0</v>
      </c>
    </row>
    <row r="17" spans="1:17" x14ac:dyDescent="0.25">
      <c r="A17" s="346"/>
      <c r="B17" s="314" t="s">
        <v>662</v>
      </c>
      <c r="C17" s="235">
        <v>0</v>
      </c>
      <c r="D17" s="235">
        <v>0</v>
      </c>
      <c r="E17" s="235">
        <f t="shared" si="0"/>
        <v>0</v>
      </c>
      <c r="F17" s="235">
        <v>0</v>
      </c>
      <c r="G17" s="235">
        <v>0</v>
      </c>
      <c r="H17" s="235">
        <f t="shared" si="1"/>
        <v>0</v>
      </c>
      <c r="I17" s="235">
        <v>0</v>
      </c>
      <c r="J17" s="235">
        <v>0</v>
      </c>
      <c r="K17" s="235">
        <f t="shared" si="2"/>
        <v>0</v>
      </c>
      <c r="L17" s="235">
        <v>0</v>
      </c>
      <c r="M17" s="235">
        <v>0</v>
      </c>
      <c r="N17" s="235">
        <f t="shared" si="3"/>
        <v>0</v>
      </c>
      <c r="O17" s="235">
        <v>0</v>
      </c>
      <c r="P17" s="235">
        <v>0</v>
      </c>
      <c r="Q17" s="235">
        <f t="shared" si="4"/>
        <v>0</v>
      </c>
    </row>
    <row r="18" spans="1:17" x14ac:dyDescent="0.25">
      <c r="A18" s="346"/>
      <c r="B18" s="314" t="s">
        <v>663</v>
      </c>
      <c r="C18" s="235">
        <v>0</v>
      </c>
      <c r="D18" s="235">
        <v>0</v>
      </c>
      <c r="E18" s="235">
        <f t="shared" si="0"/>
        <v>0</v>
      </c>
      <c r="F18" s="235">
        <v>0</v>
      </c>
      <c r="G18" s="235">
        <v>0</v>
      </c>
      <c r="H18" s="235">
        <f t="shared" si="1"/>
        <v>0</v>
      </c>
      <c r="I18" s="235">
        <v>0</v>
      </c>
      <c r="J18" s="235">
        <v>0</v>
      </c>
      <c r="K18" s="235">
        <f t="shared" si="2"/>
        <v>0</v>
      </c>
      <c r="L18" s="235">
        <v>0</v>
      </c>
      <c r="M18" s="235">
        <v>0</v>
      </c>
      <c r="N18" s="235">
        <f t="shared" si="3"/>
        <v>0</v>
      </c>
      <c r="O18" s="235">
        <v>0</v>
      </c>
      <c r="P18" s="235">
        <v>0</v>
      </c>
      <c r="Q18" s="235">
        <f t="shared" si="4"/>
        <v>0</v>
      </c>
    </row>
    <row r="19" spans="1:17" x14ac:dyDescent="0.25">
      <c r="A19" s="346"/>
      <c r="B19" s="314" t="s">
        <v>664</v>
      </c>
      <c r="C19" s="235"/>
      <c r="D19" s="235">
        <v>0</v>
      </c>
      <c r="E19" s="235">
        <f t="shared" si="0"/>
        <v>0</v>
      </c>
      <c r="F19" s="235">
        <v>0</v>
      </c>
      <c r="G19" s="235">
        <v>0</v>
      </c>
      <c r="H19" s="235">
        <f t="shared" si="1"/>
        <v>0</v>
      </c>
      <c r="I19" s="235">
        <v>0</v>
      </c>
      <c r="J19" s="235">
        <v>0</v>
      </c>
      <c r="K19" s="235">
        <f t="shared" si="2"/>
        <v>0</v>
      </c>
      <c r="L19" s="235">
        <v>0</v>
      </c>
      <c r="M19" s="235">
        <v>0</v>
      </c>
      <c r="N19" s="235">
        <f t="shared" si="3"/>
        <v>0</v>
      </c>
      <c r="O19" s="235">
        <v>79020</v>
      </c>
      <c r="P19" s="235">
        <v>0</v>
      </c>
      <c r="Q19" s="235">
        <f t="shared" si="4"/>
        <v>79020</v>
      </c>
    </row>
    <row r="20" spans="1:17" x14ac:dyDescent="0.25">
      <c r="A20" s="311" t="s">
        <v>315</v>
      </c>
      <c r="B20" s="312" t="s">
        <v>316</v>
      </c>
      <c r="C20" s="313">
        <f>SUM(C21:C21)</f>
        <v>0</v>
      </c>
      <c r="D20" s="313">
        <f>SUM(D21:D21)</f>
        <v>0</v>
      </c>
      <c r="E20" s="313">
        <f t="shared" si="0"/>
        <v>0</v>
      </c>
      <c r="F20" s="503">
        <f>SUM(F21:F21)</f>
        <v>0</v>
      </c>
      <c r="G20" s="503">
        <f>SUM(G21:G21)</f>
        <v>0</v>
      </c>
      <c r="H20" s="503">
        <f t="shared" si="1"/>
        <v>0</v>
      </c>
      <c r="I20" s="503">
        <f>SUM(I21:I21)</f>
        <v>0</v>
      </c>
      <c r="J20" s="503">
        <f>SUM(J21:J21)</f>
        <v>0</v>
      </c>
      <c r="K20" s="503">
        <f t="shared" si="2"/>
        <v>0</v>
      </c>
      <c r="L20" s="503">
        <f>SUM(L21:L21)</f>
        <v>0</v>
      </c>
      <c r="M20" s="503">
        <f>SUM(M21:M21)</f>
        <v>0</v>
      </c>
      <c r="N20" s="503">
        <f t="shared" si="3"/>
        <v>0</v>
      </c>
      <c r="O20" s="503">
        <f>SUM(O21:O21)</f>
        <v>0</v>
      </c>
      <c r="P20" s="503">
        <f>SUM(P21:P21)</f>
        <v>0</v>
      </c>
      <c r="Q20" s="503">
        <f t="shared" si="4"/>
        <v>0</v>
      </c>
    </row>
    <row r="21" spans="1:17" ht="15" hidden="1" customHeight="1" x14ac:dyDescent="0.25">
      <c r="A21" s="346"/>
      <c r="B21" s="314" t="s">
        <v>317</v>
      </c>
      <c r="C21" s="235">
        <v>0</v>
      </c>
      <c r="D21" s="235">
        <v>0</v>
      </c>
      <c r="E21" s="235">
        <f t="shared" si="0"/>
        <v>0</v>
      </c>
      <c r="F21" s="235">
        <v>0</v>
      </c>
      <c r="G21" s="235">
        <v>0</v>
      </c>
      <c r="H21" s="235">
        <f t="shared" si="1"/>
        <v>0</v>
      </c>
      <c r="I21" s="235">
        <v>0</v>
      </c>
      <c r="J21" s="235">
        <v>0</v>
      </c>
      <c r="K21" s="235">
        <f t="shared" si="2"/>
        <v>0</v>
      </c>
      <c r="L21" s="235">
        <v>0</v>
      </c>
      <c r="M21" s="235">
        <v>0</v>
      </c>
      <c r="N21" s="235">
        <f t="shared" si="3"/>
        <v>0</v>
      </c>
      <c r="O21" s="235">
        <v>0</v>
      </c>
      <c r="P21" s="235">
        <v>0</v>
      </c>
      <c r="Q21" s="235">
        <f t="shared" si="4"/>
        <v>0</v>
      </c>
    </row>
    <row r="22" spans="1:17" x14ac:dyDescent="0.25">
      <c r="A22" s="308" t="s">
        <v>318</v>
      </c>
      <c r="B22" s="309" t="s">
        <v>319</v>
      </c>
      <c r="C22" s="310">
        <f>C23+C25+C28</f>
        <v>0</v>
      </c>
      <c r="D22" s="310">
        <f>D23+D25+D28</f>
        <v>0</v>
      </c>
      <c r="E22" s="310">
        <f t="shared" si="0"/>
        <v>0</v>
      </c>
      <c r="F22" s="501">
        <f>F23+F25+F28</f>
        <v>0</v>
      </c>
      <c r="G22" s="501">
        <f>G23+G25+G28</f>
        <v>0</v>
      </c>
      <c r="H22" s="501">
        <f t="shared" si="1"/>
        <v>0</v>
      </c>
      <c r="I22" s="501">
        <f>I23+I25+I28</f>
        <v>0</v>
      </c>
      <c r="J22" s="501">
        <f>J23+J25+J28</f>
        <v>0</v>
      </c>
      <c r="K22" s="501">
        <f t="shared" si="2"/>
        <v>0</v>
      </c>
      <c r="L22" s="501">
        <f>L23+L25+L28</f>
        <v>0</v>
      </c>
      <c r="M22" s="501">
        <f>M23+M25+M28</f>
        <v>0</v>
      </c>
      <c r="N22" s="501">
        <f t="shared" si="3"/>
        <v>0</v>
      </c>
      <c r="O22" s="501">
        <f>O23+O25+O28</f>
        <v>0</v>
      </c>
      <c r="P22" s="501">
        <f>P23+P25+P28</f>
        <v>0</v>
      </c>
      <c r="Q22" s="501">
        <f t="shared" si="4"/>
        <v>0</v>
      </c>
    </row>
    <row r="23" spans="1:17" ht="15" hidden="1" customHeight="1" x14ac:dyDescent="0.25">
      <c r="A23" s="311" t="s">
        <v>311</v>
      </c>
      <c r="B23" s="312" t="s">
        <v>320</v>
      </c>
      <c r="C23" s="313">
        <f>SUM(C24:C24)</f>
        <v>0</v>
      </c>
      <c r="D23" s="313">
        <f>SUM(D24:D24)</f>
        <v>0</v>
      </c>
      <c r="E23" s="313">
        <f t="shared" si="0"/>
        <v>0</v>
      </c>
      <c r="F23" s="503">
        <f>SUM(F24:F24)</f>
        <v>0</v>
      </c>
      <c r="G23" s="503">
        <f>SUM(G24:G24)</f>
        <v>0</v>
      </c>
      <c r="H23" s="503">
        <f t="shared" si="1"/>
        <v>0</v>
      </c>
      <c r="I23" s="503">
        <f>SUM(I24:I24)</f>
        <v>0</v>
      </c>
      <c r="J23" s="503">
        <f>SUM(J24:J24)</f>
        <v>0</v>
      </c>
      <c r="K23" s="503">
        <f t="shared" si="2"/>
        <v>0</v>
      </c>
      <c r="L23" s="503">
        <f>SUM(L24:L24)</f>
        <v>0</v>
      </c>
      <c r="M23" s="503">
        <f>SUM(M24:M24)</f>
        <v>0</v>
      </c>
      <c r="N23" s="503">
        <f t="shared" si="3"/>
        <v>0</v>
      </c>
      <c r="O23" s="503">
        <f>SUM(O24:O24)</f>
        <v>0</v>
      </c>
      <c r="P23" s="503">
        <f>SUM(P24:P24)</f>
        <v>0</v>
      </c>
      <c r="Q23" s="503">
        <f t="shared" si="4"/>
        <v>0</v>
      </c>
    </row>
    <row r="24" spans="1:17" ht="30" hidden="1" customHeight="1" x14ac:dyDescent="0.25">
      <c r="A24" s="346"/>
      <c r="B24" s="234" t="s">
        <v>321</v>
      </c>
      <c r="C24" s="235">
        <v>0</v>
      </c>
      <c r="D24" s="235">
        <v>0</v>
      </c>
      <c r="E24" s="235">
        <f t="shared" si="0"/>
        <v>0</v>
      </c>
      <c r="F24" s="235">
        <v>0</v>
      </c>
      <c r="G24" s="235">
        <v>0</v>
      </c>
      <c r="H24" s="235">
        <f t="shared" si="1"/>
        <v>0</v>
      </c>
      <c r="I24" s="235">
        <v>0</v>
      </c>
      <c r="J24" s="235">
        <v>0</v>
      </c>
      <c r="K24" s="235">
        <f t="shared" si="2"/>
        <v>0</v>
      </c>
      <c r="L24" s="235">
        <v>0</v>
      </c>
      <c r="M24" s="235">
        <v>0</v>
      </c>
      <c r="N24" s="235">
        <f t="shared" si="3"/>
        <v>0</v>
      </c>
      <c r="O24" s="235">
        <v>0</v>
      </c>
      <c r="P24" s="235">
        <v>0</v>
      </c>
      <c r="Q24" s="235">
        <f t="shared" si="4"/>
        <v>0</v>
      </c>
    </row>
    <row r="25" spans="1:17" ht="15" hidden="1" customHeight="1" x14ac:dyDescent="0.25">
      <c r="A25" s="311" t="s">
        <v>322</v>
      </c>
      <c r="B25" s="312" t="s">
        <v>257</v>
      </c>
      <c r="C25" s="313">
        <f>SUM(C26:C27)</f>
        <v>0</v>
      </c>
      <c r="D25" s="313">
        <f>SUM(D26:D27)</f>
        <v>0</v>
      </c>
      <c r="E25" s="313">
        <f t="shared" si="0"/>
        <v>0</v>
      </c>
      <c r="F25" s="503">
        <f>SUM(F26:F27)</f>
        <v>0</v>
      </c>
      <c r="G25" s="503">
        <f>SUM(G26:G27)</f>
        <v>0</v>
      </c>
      <c r="H25" s="503">
        <f t="shared" si="1"/>
        <v>0</v>
      </c>
      <c r="I25" s="503">
        <f>SUM(I26:I27)</f>
        <v>0</v>
      </c>
      <c r="J25" s="503">
        <f>SUM(J26:J27)</f>
        <v>0</v>
      </c>
      <c r="K25" s="503">
        <f t="shared" si="2"/>
        <v>0</v>
      </c>
      <c r="L25" s="503">
        <f>SUM(L26:L27)</f>
        <v>0</v>
      </c>
      <c r="M25" s="503">
        <f>SUM(M26:M27)</f>
        <v>0</v>
      </c>
      <c r="N25" s="503">
        <f t="shared" si="3"/>
        <v>0</v>
      </c>
      <c r="O25" s="503">
        <f>SUM(O26:O27)</f>
        <v>0</v>
      </c>
      <c r="P25" s="503">
        <f>SUM(P26:P27)</f>
        <v>0</v>
      </c>
      <c r="Q25" s="503">
        <f t="shared" si="4"/>
        <v>0</v>
      </c>
    </row>
    <row r="26" spans="1:17" ht="15" hidden="1" customHeight="1" x14ac:dyDescent="0.25">
      <c r="A26" s="346"/>
      <c r="B26" s="316" t="s">
        <v>323</v>
      </c>
      <c r="C26" s="235">
        <v>0</v>
      </c>
      <c r="D26" s="235">
        <v>0</v>
      </c>
      <c r="E26" s="235">
        <f t="shared" si="0"/>
        <v>0</v>
      </c>
      <c r="F26" s="235">
        <v>0</v>
      </c>
      <c r="G26" s="235">
        <v>0</v>
      </c>
      <c r="H26" s="235">
        <f t="shared" si="1"/>
        <v>0</v>
      </c>
      <c r="I26" s="235">
        <v>0</v>
      </c>
      <c r="J26" s="235">
        <v>0</v>
      </c>
      <c r="K26" s="235">
        <f t="shared" si="2"/>
        <v>0</v>
      </c>
      <c r="L26" s="235">
        <v>0</v>
      </c>
      <c r="M26" s="235">
        <v>0</v>
      </c>
      <c r="N26" s="235">
        <f t="shared" si="3"/>
        <v>0</v>
      </c>
      <c r="O26" s="235">
        <v>0</v>
      </c>
      <c r="P26" s="235">
        <v>0</v>
      </c>
      <c r="Q26" s="235">
        <f t="shared" si="4"/>
        <v>0</v>
      </c>
    </row>
    <row r="27" spans="1:17" ht="15" hidden="1" customHeight="1" x14ac:dyDescent="0.25">
      <c r="A27" s="346"/>
      <c r="B27" s="316" t="s">
        <v>324</v>
      </c>
      <c r="C27" s="235">
        <v>0</v>
      </c>
      <c r="D27" s="235">
        <v>0</v>
      </c>
      <c r="E27" s="235">
        <f t="shared" si="0"/>
        <v>0</v>
      </c>
      <c r="F27" s="235">
        <v>0</v>
      </c>
      <c r="G27" s="235">
        <v>0</v>
      </c>
      <c r="H27" s="235">
        <f t="shared" si="1"/>
        <v>0</v>
      </c>
      <c r="I27" s="235">
        <v>0</v>
      </c>
      <c r="J27" s="235">
        <v>0</v>
      </c>
      <c r="K27" s="235">
        <f t="shared" si="2"/>
        <v>0</v>
      </c>
      <c r="L27" s="235">
        <v>0</v>
      </c>
      <c r="M27" s="235">
        <v>0</v>
      </c>
      <c r="N27" s="235">
        <f t="shared" si="3"/>
        <v>0</v>
      </c>
      <c r="O27" s="235">
        <v>0</v>
      </c>
      <c r="P27" s="235">
        <v>0</v>
      </c>
      <c r="Q27" s="235">
        <f t="shared" si="4"/>
        <v>0</v>
      </c>
    </row>
    <row r="28" spans="1:17" ht="15" hidden="1" customHeight="1" x14ac:dyDescent="0.25">
      <c r="A28" s="311" t="s">
        <v>315</v>
      </c>
      <c r="B28" s="312" t="s">
        <v>325</v>
      </c>
      <c r="C28" s="313">
        <f>SUM(C29:C29)</f>
        <v>0</v>
      </c>
      <c r="D28" s="313">
        <f>SUM(D29:D29)</f>
        <v>0</v>
      </c>
      <c r="E28" s="313">
        <f t="shared" si="0"/>
        <v>0</v>
      </c>
      <c r="F28" s="503">
        <f>SUM(F29:F29)</f>
        <v>0</v>
      </c>
      <c r="G28" s="503">
        <f>SUM(G29:G29)</f>
        <v>0</v>
      </c>
      <c r="H28" s="503">
        <f t="shared" si="1"/>
        <v>0</v>
      </c>
      <c r="I28" s="503">
        <f>SUM(I29:I29)</f>
        <v>0</v>
      </c>
      <c r="J28" s="503">
        <f>SUM(J29:J29)</f>
        <v>0</v>
      </c>
      <c r="K28" s="503">
        <f t="shared" si="2"/>
        <v>0</v>
      </c>
      <c r="L28" s="503">
        <f>SUM(L29:L29)</f>
        <v>0</v>
      </c>
      <c r="M28" s="503">
        <f>SUM(M29:M29)</f>
        <v>0</v>
      </c>
      <c r="N28" s="503">
        <f t="shared" si="3"/>
        <v>0</v>
      </c>
      <c r="O28" s="503">
        <f>SUM(O29:O29)</f>
        <v>0</v>
      </c>
      <c r="P28" s="503">
        <f>SUM(P29:P29)</f>
        <v>0</v>
      </c>
      <c r="Q28" s="503">
        <f t="shared" si="4"/>
        <v>0</v>
      </c>
    </row>
    <row r="29" spans="1:17" ht="15" hidden="1" customHeight="1" x14ac:dyDescent="0.25">
      <c r="A29" s="346"/>
      <c r="B29" s="316" t="s">
        <v>326</v>
      </c>
      <c r="C29" s="235">
        <v>0</v>
      </c>
      <c r="D29" s="235">
        <v>0</v>
      </c>
      <c r="E29" s="235">
        <f t="shared" si="0"/>
        <v>0</v>
      </c>
      <c r="F29" s="235">
        <v>0</v>
      </c>
      <c r="G29" s="235">
        <v>0</v>
      </c>
      <c r="H29" s="235">
        <f t="shared" si="1"/>
        <v>0</v>
      </c>
      <c r="I29" s="235">
        <v>0</v>
      </c>
      <c r="J29" s="235">
        <v>0</v>
      </c>
      <c r="K29" s="235">
        <f t="shared" si="2"/>
        <v>0</v>
      </c>
      <c r="L29" s="235">
        <v>0</v>
      </c>
      <c r="M29" s="235">
        <v>0</v>
      </c>
      <c r="N29" s="235">
        <f t="shared" si="3"/>
        <v>0</v>
      </c>
      <c r="O29" s="235">
        <v>0</v>
      </c>
      <c r="P29" s="235">
        <v>0</v>
      </c>
      <c r="Q29" s="235">
        <f t="shared" si="4"/>
        <v>0</v>
      </c>
    </row>
    <row r="30" spans="1:17" x14ac:dyDescent="0.25">
      <c r="A30" s="344"/>
      <c r="B30" s="317" t="s">
        <v>327</v>
      </c>
      <c r="C30" s="318">
        <f>C22+C8</f>
        <v>0</v>
      </c>
      <c r="D30" s="318">
        <f>D22+D8</f>
        <v>0</v>
      </c>
      <c r="E30" s="318">
        <f t="shared" si="0"/>
        <v>0</v>
      </c>
      <c r="F30" s="511">
        <f>F22+F8</f>
        <v>0</v>
      </c>
      <c r="G30" s="511">
        <f>G22+G8</f>
        <v>0</v>
      </c>
      <c r="H30" s="511">
        <f t="shared" si="1"/>
        <v>0</v>
      </c>
      <c r="I30" s="511">
        <f>I22+I8</f>
        <v>0</v>
      </c>
      <c r="J30" s="511">
        <f>J22+J8</f>
        <v>0</v>
      </c>
      <c r="K30" s="511">
        <f t="shared" si="2"/>
        <v>0</v>
      </c>
      <c r="L30" s="511">
        <f>L22+L8</f>
        <v>0</v>
      </c>
      <c r="M30" s="511">
        <f>M22+M8</f>
        <v>0</v>
      </c>
      <c r="N30" s="511">
        <f t="shared" si="3"/>
        <v>0</v>
      </c>
      <c r="O30" s="511">
        <f>O22+O8</f>
        <v>79020</v>
      </c>
      <c r="P30" s="511">
        <f>P22+P8</f>
        <v>0</v>
      </c>
      <c r="Q30" s="511">
        <f t="shared" si="4"/>
        <v>79020</v>
      </c>
    </row>
    <row r="31" spans="1:17" x14ac:dyDescent="0.25">
      <c r="A31" s="308" t="s">
        <v>328</v>
      </c>
      <c r="B31" s="309" t="s">
        <v>329</v>
      </c>
      <c r="C31" s="310">
        <f>C32</f>
        <v>46562130</v>
      </c>
      <c r="D31" s="310">
        <f>D32</f>
        <v>8757500</v>
      </c>
      <c r="E31" s="310">
        <f t="shared" si="0"/>
        <v>55319630</v>
      </c>
      <c r="F31" s="501">
        <f>F32</f>
        <v>48843725</v>
      </c>
      <c r="G31" s="501">
        <f>G32</f>
        <v>8757500</v>
      </c>
      <c r="H31" s="501">
        <f t="shared" si="1"/>
        <v>57601225</v>
      </c>
      <c r="I31" s="501">
        <f>I32</f>
        <v>48843725</v>
      </c>
      <c r="J31" s="501">
        <f>J32</f>
        <v>8757500</v>
      </c>
      <c r="K31" s="501">
        <f t="shared" si="2"/>
        <v>57601225</v>
      </c>
      <c r="L31" s="501">
        <f>L32</f>
        <v>49727219</v>
      </c>
      <c r="M31" s="501">
        <f>M32</f>
        <v>9183314</v>
      </c>
      <c r="N31" s="501">
        <f t="shared" si="3"/>
        <v>58910533</v>
      </c>
      <c r="O31" s="501">
        <f>O32</f>
        <v>42762057</v>
      </c>
      <c r="P31" s="501">
        <f>P32</f>
        <v>7541266</v>
      </c>
      <c r="Q31" s="501">
        <f t="shared" si="4"/>
        <v>50303323</v>
      </c>
    </row>
    <row r="32" spans="1:17" x14ac:dyDescent="0.25">
      <c r="A32" s="311" t="s">
        <v>311</v>
      </c>
      <c r="B32" s="312" t="s">
        <v>330</v>
      </c>
      <c r="C32" s="313">
        <f>SUM(C33:C34)</f>
        <v>46562130</v>
      </c>
      <c r="D32" s="313">
        <f>SUM(D33:D34)</f>
        <v>8757500</v>
      </c>
      <c r="E32" s="313">
        <f t="shared" si="0"/>
        <v>55319630</v>
      </c>
      <c r="F32" s="503">
        <f>SUM(F33:F34)</f>
        <v>48843725</v>
      </c>
      <c r="G32" s="503">
        <f>SUM(G33:G34)</f>
        <v>8757500</v>
      </c>
      <c r="H32" s="503">
        <f t="shared" si="1"/>
        <v>57601225</v>
      </c>
      <c r="I32" s="503">
        <f>SUM(I33:I34)</f>
        <v>48843725</v>
      </c>
      <c r="J32" s="503">
        <f>SUM(J33:J34)</f>
        <v>8757500</v>
      </c>
      <c r="K32" s="503">
        <f t="shared" si="2"/>
        <v>57601225</v>
      </c>
      <c r="L32" s="503">
        <f>SUM(L33:L34)</f>
        <v>49727219</v>
      </c>
      <c r="M32" s="503">
        <f>SUM(M33:M34)</f>
        <v>9183314</v>
      </c>
      <c r="N32" s="503">
        <f t="shared" si="3"/>
        <v>58910533</v>
      </c>
      <c r="O32" s="503">
        <f>SUM(O33:O34)</f>
        <v>42762057</v>
      </c>
      <c r="P32" s="503">
        <f>SUM(P33:P34)</f>
        <v>7541266</v>
      </c>
      <c r="Q32" s="503">
        <f t="shared" si="4"/>
        <v>50303323</v>
      </c>
    </row>
    <row r="33" spans="1:18" x14ac:dyDescent="0.25">
      <c r="A33" s="346"/>
      <c r="B33" s="316" t="s">
        <v>331</v>
      </c>
      <c r="C33" s="235">
        <v>0</v>
      </c>
      <c r="D33" s="235">
        <v>0</v>
      </c>
      <c r="E33" s="235">
        <f t="shared" si="0"/>
        <v>0</v>
      </c>
      <c r="F33" s="235">
        <v>2281595</v>
      </c>
      <c r="G33" s="235">
        <v>0</v>
      </c>
      <c r="H33" s="235">
        <f t="shared" si="1"/>
        <v>2281595</v>
      </c>
      <c r="I33" s="235">
        <v>2281595</v>
      </c>
      <c r="J33" s="235">
        <v>0</v>
      </c>
      <c r="K33" s="235">
        <f t="shared" si="2"/>
        <v>2281595</v>
      </c>
      <c r="L33" s="235">
        <v>2281595</v>
      </c>
      <c r="M33" s="235">
        <v>0</v>
      </c>
      <c r="N33" s="235">
        <f t="shared" si="3"/>
        <v>2281595</v>
      </c>
      <c r="O33" s="235">
        <v>2281595</v>
      </c>
      <c r="P33" s="235">
        <v>0</v>
      </c>
      <c r="Q33" s="235">
        <f t="shared" si="4"/>
        <v>2281595</v>
      </c>
    </row>
    <row r="34" spans="1:18" x14ac:dyDescent="0.25">
      <c r="A34" s="346"/>
      <c r="B34" s="316" t="s">
        <v>332</v>
      </c>
      <c r="C34" s="235">
        <f>C46-C30-C33</f>
        <v>46562130</v>
      </c>
      <c r="D34" s="235">
        <f>D46-D30-D33</f>
        <v>8757500</v>
      </c>
      <c r="E34" s="235">
        <f t="shared" si="0"/>
        <v>55319630</v>
      </c>
      <c r="F34" s="235">
        <f>F46-F30-F33</f>
        <v>46562130</v>
      </c>
      <c r="G34" s="235">
        <f>G46-G30-G33</f>
        <v>8757500</v>
      </c>
      <c r="H34" s="235">
        <f t="shared" si="1"/>
        <v>55319630</v>
      </c>
      <c r="I34" s="235">
        <f>I46-I30-I33</f>
        <v>46562130</v>
      </c>
      <c r="J34" s="235">
        <f>J46-J30-J33</f>
        <v>8757500</v>
      </c>
      <c r="K34" s="235">
        <f t="shared" si="2"/>
        <v>55319630</v>
      </c>
      <c r="L34" s="235">
        <f>L46-L30-L33</f>
        <v>47445624</v>
      </c>
      <c r="M34" s="235">
        <f>M46-M30-M33</f>
        <v>9183314</v>
      </c>
      <c r="N34" s="235">
        <f t="shared" si="3"/>
        <v>56628938</v>
      </c>
      <c r="O34" s="235">
        <f>48021728-7541266</f>
        <v>40480462</v>
      </c>
      <c r="P34" s="235">
        <f>P46-P30-P33</f>
        <v>7541266</v>
      </c>
      <c r="Q34" s="235">
        <f t="shared" si="4"/>
        <v>48021728</v>
      </c>
    </row>
    <row r="35" spans="1:18" x14ac:dyDescent="0.25">
      <c r="A35" s="319"/>
      <c r="B35" s="320" t="s">
        <v>333</v>
      </c>
      <c r="C35" s="292">
        <f>C31+C22+C8</f>
        <v>46562130</v>
      </c>
      <c r="D35" s="292">
        <f>D31+D22+D8</f>
        <v>8757500</v>
      </c>
      <c r="E35" s="292">
        <f t="shared" si="0"/>
        <v>55319630</v>
      </c>
      <c r="F35" s="292">
        <f>F31+F22+F8</f>
        <v>48843725</v>
      </c>
      <c r="G35" s="292">
        <f>G31+G22+G8</f>
        <v>8757500</v>
      </c>
      <c r="H35" s="292">
        <f t="shared" si="1"/>
        <v>57601225</v>
      </c>
      <c r="I35" s="292">
        <f>I31+I22+I8</f>
        <v>48843725</v>
      </c>
      <c r="J35" s="292">
        <f>J31+J22+J8</f>
        <v>8757500</v>
      </c>
      <c r="K35" s="292">
        <f t="shared" si="2"/>
        <v>57601225</v>
      </c>
      <c r="L35" s="292">
        <f>L31+L22+L8</f>
        <v>49727219</v>
      </c>
      <c r="M35" s="292">
        <f>M31+M22+M8</f>
        <v>9183314</v>
      </c>
      <c r="N35" s="292">
        <f t="shared" si="3"/>
        <v>58910533</v>
      </c>
      <c r="O35" s="292">
        <f>O31+O22+O8</f>
        <v>42841077</v>
      </c>
      <c r="P35" s="292">
        <f>P31+P22+P8</f>
        <v>7541266</v>
      </c>
      <c r="Q35" s="292">
        <f t="shared" si="4"/>
        <v>50382343</v>
      </c>
    </row>
    <row r="36" spans="1:18" x14ac:dyDescent="0.25">
      <c r="A36" s="308" t="s">
        <v>309</v>
      </c>
      <c r="B36" s="309" t="s">
        <v>334</v>
      </c>
      <c r="C36" s="310">
        <f>SUM(C37:C41)</f>
        <v>43962130</v>
      </c>
      <c r="D36" s="310">
        <f>SUM(D37:D41)</f>
        <v>8757500</v>
      </c>
      <c r="E36" s="310">
        <f t="shared" si="0"/>
        <v>52719630</v>
      </c>
      <c r="F36" s="501">
        <f>SUM(F37:F41)</f>
        <v>46243725</v>
      </c>
      <c r="G36" s="501">
        <f>SUM(G37:G41)</f>
        <v>8757500</v>
      </c>
      <c r="H36" s="501">
        <f t="shared" si="1"/>
        <v>55001225</v>
      </c>
      <c r="I36" s="501">
        <f>SUM(I37:I41)</f>
        <v>46243725</v>
      </c>
      <c r="J36" s="501">
        <f>SUM(J37:J41)</f>
        <v>8757500</v>
      </c>
      <c r="K36" s="501">
        <f t="shared" si="2"/>
        <v>55001225</v>
      </c>
      <c r="L36" s="501">
        <f>SUM(L37:L41)</f>
        <v>47127219</v>
      </c>
      <c r="M36" s="501">
        <f>SUM(M37:M41)</f>
        <v>9183314</v>
      </c>
      <c r="N36" s="501">
        <f t="shared" si="3"/>
        <v>56310533</v>
      </c>
      <c r="O36" s="501">
        <f>SUM(O37:O41)</f>
        <v>32436857</v>
      </c>
      <c r="P36" s="501">
        <f>SUM(P37:P41)</f>
        <v>7541266</v>
      </c>
      <c r="Q36" s="501">
        <f t="shared" si="4"/>
        <v>39978123</v>
      </c>
      <c r="R36" s="39">
        <f>+N36-K36</f>
        <v>1309308</v>
      </c>
    </row>
    <row r="37" spans="1:18" x14ac:dyDescent="0.25">
      <c r="A37" s="311" t="s">
        <v>311</v>
      </c>
      <c r="B37" s="312" t="s">
        <v>286</v>
      </c>
      <c r="C37" s="313">
        <f>'5 GSZNR fel'!E89+'5 GSZNR fel'!E96</f>
        <v>16831500</v>
      </c>
      <c r="D37" s="313">
        <f>'5 GSZNR fel'!E104</f>
        <v>5382000</v>
      </c>
      <c r="E37" s="623">
        <f t="shared" si="0"/>
        <v>22213500</v>
      </c>
      <c r="F37" s="503">
        <f>'5 GSZNR fel'!H89+'5 GSZNR fel'!H96</f>
        <v>16831500</v>
      </c>
      <c r="G37" s="503">
        <f>'5 GSZNR fel'!H104</f>
        <v>5382000</v>
      </c>
      <c r="H37" s="623">
        <f t="shared" si="1"/>
        <v>22213500</v>
      </c>
      <c r="I37" s="503">
        <f>'5 GSZNR fel'!K89+'5 GSZNR fel'!K96</f>
        <v>16831500</v>
      </c>
      <c r="J37" s="503">
        <f>'5 GSZNR fel'!K104</f>
        <v>5382000</v>
      </c>
      <c r="K37" s="623">
        <f t="shared" si="2"/>
        <v>22213500</v>
      </c>
      <c r="L37" s="503">
        <f>'5 GSZNR fel'!N89+'5 GSZNR fel'!N96</f>
        <v>17965100</v>
      </c>
      <c r="M37" s="503">
        <f>'5 GSZNR fel'!N104</f>
        <v>5382000</v>
      </c>
      <c r="N37" s="623">
        <f t="shared" si="3"/>
        <v>23347100</v>
      </c>
      <c r="O37" s="503">
        <f>'5 GSZNR fel'!Q89+'5 GSZNR fel'!Q96</f>
        <v>17707905</v>
      </c>
      <c r="P37" s="503">
        <f>'5 GSZNR fel'!Q104</f>
        <v>4272173</v>
      </c>
      <c r="Q37" s="623">
        <f t="shared" si="4"/>
        <v>21980078</v>
      </c>
      <c r="R37" s="39">
        <f t="shared" ref="R37:R41" si="5">+N37-K37</f>
        <v>1133600</v>
      </c>
    </row>
    <row r="38" spans="1:18" x14ac:dyDescent="0.25">
      <c r="A38" s="311" t="s">
        <v>322</v>
      </c>
      <c r="B38" s="312" t="s">
        <v>335</v>
      </c>
      <c r="C38" s="313">
        <f>'5 GSZNR fel'!E90+'5 GSZNR fel'!E97</f>
        <v>3228630</v>
      </c>
      <c r="D38" s="313">
        <f>'5 GSZNR fel'!E105</f>
        <v>1216500</v>
      </c>
      <c r="E38" s="623">
        <f t="shared" si="0"/>
        <v>4445130</v>
      </c>
      <c r="F38" s="503">
        <f>'5 GSZNR fel'!H90+'5 GSZNR fel'!H97</f>
        <v>3228630</v>
      </c>
      <c r="G38" s="503">
        <f>'5 GSZNR fel'!H105</f>
        <v>1216500</v>
      </c>
      <c r="H38" s="623">
        <f t="shared" si="1"/>
        <v>4445130</v>
      </c>
      <c r="I38" s="503">
        <f>'5 GSZNR fel'!K90+'5 GSZNR fel'!K97</f>
        <v>3228630</v>
      </c>
      <c r="J38" s="503">
        <f>'5 GSZNR fel'!K105</f>
        <v>1216500</v>
      </c>
      <c r="K38" s="623">
        <f t="shared" si="2"/>
        <v>4445130</v>
      </c>
      <c r="L38" s="503">
        <f>'5 GSZNR fel'!N90+'5 GSZNR fel'!N97</f>
        <v>3404338</v>
      </c>
      <c r="M38" s="503">
        <f>'5 GSZNR fel'!N105</f>
        <v>1216500</v>
      </c>
      <c r="N38" s="623">
        <f t="shared" si="3"/>
        <v>4620838</v>
      </c>
      <c r="O38" s="503">
        <f>'5 GSZNR fel'!Q90+'5 GSZNR fel'!Q97</f>
        <v>2926328</v>
      </c>
      <c r="P38" s="503">
        <f>'5 GSZNR fel'!Q105</f>
        <v>684279</v>
      </c>
      <c r="Q38" s="623">
        <f t="shared" si="4"/>
        <v>3610607</v>
      </c>
      <c r="R38" s="39">
        <f t="shared" si="5"/>
        <v>175708</v>
      </c>
    </row>
    <row r="39" spans="1:18" x14ac:dyDescent="0.25">
      <c r="A39" s="311" t="s">
        <v>315</v>
      </c>
      <c r="B39" s="312" t="s">
        <v>292</v>
      </c>
      <c r="C39" s="313">
        <f>'5 GSZNR fel'!E91+'5 GSZNR fel'!E98</f>
        <v>23902000</v>
      </c>
      <c r="D39" s="313">
        <f>'5 GSZNR fel'!E106</f>
        <v>2159000</v>
      </c>
      <c r="E39" s="623">
        <f t="shared" si="0"/>
        <v>26061000</v>
      </c>
      <c r="F39" s="503">
        <f>'5 GSZNR fel'!H91+'5 GSZNR fel'!H98</f>
        <v>24138339</v>
      </c>
      <c r="G39" s="503">
        <f>'5 GSZNR fel'!H106</f>
        <v>2159000</v>
      </c>
      <c r="H39" s="623">
        <f t="shared" si="1"/>
        <v>26297339</v>
      </c>
      <c r="I39" s="503">
        <f>'5 GSZNR fel'!K91+'5 GSZNR fel'!K98</f>
        <v>24138339</v>
      </c>
      <c r="J39" s="503">
        <f>'5 GSZNR fel'!K106</f>
        <v>2159000</v>
      </c>
      <c r="K39" s="623">
        <f t="shared" si="2"/>
        <v>26297339</v>
      </c>
      <c r="L39" s="503">
        <f>'5 GSZNR fel'!N91+'5 GSZNR fel'!N98+'5 GSZNR fel'!N101</f>
        <v>23712525</v>
      </c>
      <c r="M39" s="503">
        <f>'5 GSZNR fel'!N106</f>
        <v>2584814</v>
      </c>
      <c r="N39" s="623">
        <f t="shared" si="3"/>
        <v>26297339</v>
      </c>
      <c r="O39" s="503">
        <f>'5 GSZNR fel'!Q91+'5 GSZNR fel'!Q98+'5 GSZNR fel'!Q101</f>
        <v>9757368</v>
      </c>
      <c r="P39" s="503">
        <f>'5 GSZNR fel'!Q106</f>
        <v>2584814</v>
      </c>
      <c r="Q39" s="623">
        <f t="shared" si="4"/>
        <v>12342182</v>
      </c>
      <c r="R39" s="39">
        <f t="shared" si="5"/>
        <v>0</v>
      </c>
    </row>
    <row r="40" spans="1:18" x14ac:dyDescent="0.25">
      <c r="A40" s="311" t="s">
        <v>336</v>
      </c>
      <c r="B40" s="312" t="s">
        <v>337</v>
      </c>
      <c r="C40" s="313">
        <v>0</v>
      </c>
      <c r="D40" s="313">
        <v>0</v>
      </c>
      <c r="E40" s="313">
        <f t="shared" si="0"/>
        <v>0</v>
      </c>
      <c r="F40" s="503">
        <v>0</v>
      </c>
      <c r="G40" s="503">
        <v>0</v>
      </c>
      <c r="H40" s="503">
        <f t="shared" si="1"/>
        <v>0</v>
      </c>
      <c r="I40" s="503">
        <v>0</v>
      </c>
      <c r="J40" s="503">
        <v>0</v>
      </c>
      <c r="K40" s="503">
        <f t="shared" si="2"/>
        <v>0</v>
      </c>
      <c r="L40" s="503">
        <v>0</v>
      </c>
      <c r="M40" s="503">
        <v>0</v>
      </c>
      <c r="N40" s="503">
        <f t="shared" si="3"/>
        <v>0</v>
      </c>
      <c r="O40" s="503">
        <v>0</v>
      </c>
      <c r="P40" s="503">
        <v>0</v>
      </c>
      <c r="Q40" s="503">
        <f t="shared" si="4"/>
        <v>0</v>
      </c>
      <c r="R40" s="39">
        <f t="shared" si="5"/>
        <v>0</v>
      </c>
    </row>
    <row r="41" spans="1:18" x14ac:dyDescent="0.25">
      <c r="A41" s="311" t="s">
        <v>338</v>
      </c>
      <c r="B41" s="312" t="s">
        <v>339</v>
      </c>
      <c r="C41" s="313">
        <f>+'5 GSZNR fel'!E92</f>
        <v>0</v>
      </c>
      <c r="D41" s="313">
        <v>0</v>
      </c>
      <c r="E41" s="313">
        <f t="shared" si="0"/>
        <v>0</v>
      </c>
      <c r="F41" s="503">
        <f>+'5 GSZNR fel'!H92</f>
        <v>2045256</v>
      </c>
      <c r="G41" s="503">
        <v>0</v>
      </c>
      <c r="H41" s="503">
        <f t="shared" si="1"/>
        <v>2045256</v>
      </c>
      <c r="I41" s="503">
        <f>+'5 GSZNR fel'!K92</f>
        <v>2045256</v>
      </c>
      <c r="J41" s="503">
        <v>0</v>
      </c>
      <c r="K41" s="503">
        <f t="shared" si="2"/>
        <v>2045256</v>
      </c>
      <c r="L41" s="503">
        <f>+'5 GSZNR fel'!N92</f>
        <v>2045256</v>
      </c>
      <c r="M41" s="503">
        <v>0</v>
      </c>
      <c r="N41" s="503">
        <f t="shared" si="3"/>
        <v>2045256</v>
      </c>
      <c r="O41" s="503">
        <f>+'5 GSZNR fel'!Q92</f>
        <v>2045256</v>
      </c>
      <c r="P41" s="503">
        <v>0</v>
      </c>
      <c r="Q41" s="503">
        <f t="shared" si="4"/>
        <v>2045256</v>
      </c>
      <c r="R41" s="39">
        <f t="shared" si="5"/>
        <v>0</v>
      </c>
    </row>
    <row r="42" spans="1:18" x14ac:dyDescent="0.25">
      <c r="A42" s="308" t="s">
        <v>318</v>
      </c>
      <c r="B42" s="309" t="s">
        <v>340</v>
      </c>
      <c r="C42" s="310">
        <f>SUM(C43:C45)</f>
        <v>2600000</v>
      </c>
      <c r="D42" s="310">
        <f>SUM(D43:D45)</f>
        <v>0</v>
      </c>
      <c r="E42" s="741">
        <f t="shared" si="0"/>
        <v>2600000</v>
      </c>
      <c r="F42" s="501">
        <f>SUM(F43:F45)</f>
        <v>2600000</v>
      </c>
      <c r="G42" s="501">
        <f>SUM(G43:G45)</f>
        <v>0</v>
      </c>
      <c r="H42" s="741">
        <f t="shared" si="1"/>
        <v>2600000</v>
      </c>
      <c r="I42" s="501">
        <f>SUM(I43:I45)</f>
        <v>2600000</v>
      </c>
      <c r="J42" s="501">
        <f>SUM(J43:J45)</f>
        <v>0</v>
      </c>
      <c r="K42" s="741">
        <f t="shared" si="2"/>
        <v>2600000</v>
      </c>
      <c r="L42" s="501">
        <f>SUM(L43:L45)</f>
        <v>2600000</v>
      </c>
      <c r="M42" s="501">
        <f>SUM(M43:M45)</f>
        <v>0</v>
      </c>
      <c r="N42" s="741">
        <f t="shared" si="3"/>
        <v>2600000</v>
      </c>
      <c r="O42" s="501">
        <f>SUM(O43:O45)</f>
        <v>1665439</v>
      </c>
      <c r="P42" s="501">
        <f>SUM(P43:P45)</f>
        <v>0</v>
      </c>
      <c r="Q42" s="741">
        <f t="shared" si="4"/>
        <v>1665439</v>
      </c>
    </row>
    <row r="43" spans="1:18" x14ac:dyDescent="0.25">
      <c r="A43" s="311" t="s">
        <v>311</v>
      </c>
      <c r="B43" s="312" t="s">
        <v>341</v>
      </c>
      <c r="C43" s="313">
        <f>'5 GSZNR fel'!E93+'5 GSZNR fel'!E99</f>
        <v>2600000</v>
      </c>
      <c r="D43" s="313">
        <f>'5 GSZNR fel'!E107</f>
        <v>0</v>
      </c>
      <c r="E43" s="313">
        <f t="shared" si="0"/>
        <v>2600000</v>
      </c>
      <c r="F43" s="503">
        <f>'5 GSZNR fel'!H93+'5 GSZNR fel'!H99</f>
        <v>2600000</v>
      </c>
      <c r="G43" s="503">
        <f>'5 GSZNR fel'!H107</f>
        <v>0</v>
      </c>
      <c r="H43" s="503">
        <f t="shared" si="1"/>
        <v>2600000</v>
      </c>
      <c r="I43" s="503">
        <f>'5 GSZNR fel'!K93+'5 GSZNR fel'!K99</f>
        <v>2600000</v>
      </c>
      <c r="J43" s="503">
        <f>'5 GSZNR fel'!K107</f>
        <v>0</v>
      </c>
      <c r="K43" s="503">
        <f t="shared" si="2"/>
        <v>2600000</v>
      </c>
      <c r="L43" s="503">
        <f>'5 GSZNR fel'!N93+'5 GSZNR fel'!N99</f>
        <v>2600000</v>
      </c>
      <c r="M43" s="503">
        <f>'5 GSZNR fel'!N107</f>
        <v>0</v>
      </c>
      <c r="N43" s="503">
        <f t="shared" si="3"/>
        <v>2600000</v>
      </c>
      <c r="O43" s="503">
        <f>'5 GSZNR fel'!Q93+'5 GSZNR fel'!Q99</f>
        <v>1665439</v>
      </c>
      <c r="P43" s="503">
        <f>'5 GSZNR fel'!Q107</f>
        <v>0</v>
      </c>
      <c r="Q43" s="503">
        <f t="shared" si="4"/>
        <v>1665439</v>
      </c>
      <c r="R43" s="39">
        <f>+N43-K43</f>
        <v>0</v>
      </c>
    </row>
    <row r="44" spans="1:18" x14ac:dyDescent="0.25">
      <c r="A44" s="311" t="s">
        <v>322</v>
      </c>
      <c r="B44" s="312" t="s">
        <v>342</v>
      </c>
      <c r="C44" s="313">
        <f>'5 GSZNR fel'!E94</f>
        <v>0</v>
      </c>
      <c r="D44" s="313">
        <v>0</v>
      </c>
      <c r="E44" s="313">
        <f t="shared" si="0"/>
        <v>0</v>
      </c>
      <c r="F44" s="503">
        <f>'5 GSZNR fel'!H94</f>
        <v>0</v>
      </c>
      <c r="G44" s="503">
        <v>0</v>
      </c>
      <c r="H44" s="503">
        <f t="shared" si="1"/>
        <v>0</v>
      </c>
      <c r="I44" s="503">
        <f>'5 GSZNR fel'!K94</f>
        <v>0</v>
      </c>
      <c r="J44" s="503">
        <v>0</v>
      </c>
      <c r="K44" s="503">
        <f t="shared" si="2"/>
        <v>0</v>
      </c>
      <c r="L44" s="503">
        <f>'5 GSZNR fel'!N94</f>
        <v>0</v>
      </c>
      <c r="M44" s="503">
        <v>0</v>
      </c>
      <c r="N44" s="503">
        <f t="shared" si="3"/>
        <v>0</v>
      </c>
      <c r="O44" s="503">
        <f>'5 GSZNR fel'!Q94</f>
        <v>0</v>
      </c>
      <c r="P44" s="503">
        <v>0</v>
      </c>
      <c r="Q44" s="503">
        <f t="shared" si="4"/>
        <v>0</v>
      </c>
    </row>
    <row r="45" spans="1:18" x14ac:dyDescent="0.25">
      <c r="A45" s="311" t="s">
        <v>315</v>
      </c>
      <c r="B45" s="312" t="s">
        <v>343</v>
      </c>
      <c r="C45" s="313">
        <v>0</v>
      </c>
      <c r="D45" s="313">
        <v>0</v>
      </c>
      <c r="E45" s="313">
        <f t="shared" si="0"/>
        <v>0</v>
      </c>
      <c r="F45" s="503">
        <v>0</v>
      </c>
      <c r="G45" s="503">
        <v>0</v>
      </c>
      <c r="H45" s="503">
        <f t="shared" si="1"/>
        <v>0</v>
      </c>
      <c r="I45" s="503">
        <v>0</v>
      </c>
      <c r="J45" s="503">
        <v>0</v>
      </c>
      <c r="K45" s="503">
        <f t="shared" si="2"/>
        <v>0</v>
      </c>
      <c r="L45" s="503">
        <v>0</v>
      </c>
      <c r="M45" s="503">
        <v>0</v>
      </c>
      <c r="N45" s="503">
        <f t="shared" si="3"/>
        <v>0</v>
      </c>
      <c r="O45" s="503">
        <v>0</v>
      </c>
      <c r="P45" s="503">
        <v>0</v>
      </c>
      <c r="Q45" s="503">
        <f t="shared" si="4"/>
        <v>0</v>
      </c>
    </row>
    <row r="46" spans="1:18" x14ac:dyDescent="0.25">
      <c r="A46" s="319"/>
      <c r="B46" s="320" t="s">
        <v>344</v>
      </c>
      <c r="C46" s="292">
        <f>C36+C42</f>
        <v>46562130</v>
      </c>
      <c r="D46" s="292">
        <f>D36+D42</f>
        <v>8757500</v>
      </c>
      <c r="E46" s="292">
        <f t="shared" si="0"/>
        <v>55319630</v>
      </c>
      <c r="F46" s="292">
        <f>F36+F42</f>
        <v>48843725</v>
      </c>
      <c r="G46" s="292">
        <f>G36+G42</f>
        <v>8757500</v>
      </c>
      <c r="H46" s="292">
        <f t="shared" si="1"/>
        <v>57601225</v>
      </c>
      <c r="I46" s="292">
        <f>I36+I42</f>
        <v>48843725</v>
      </c>
      <c r="J46" s="292">
        <f>J36+J42</f>
        <v>8757500</v>
      </c>
      <c r="K46" s="292">
        <f t="shared" si="2"/>
        <v>57601225</v>
      </c>
      <c r="L46" s="292">
        <f>L36+L42</f>
        <v>49727219</v>
      </c>
      <c r="M46" s="292">
        <f>M36+M42</f>
        <v>9183314</v>
      </c>
      <c r="N46" s="292">
        <f t="shared" si="3"/>
        <v>58910533</v>
      </c>
      <c r="O46" s="292">
        <f>O36+O42</f>
        <v>34102296</v>
      </c>
      <c r="P46" s="292">
        <f>P36+P42</f>
        <v>7541266</v>
      </c>
      <c r="Q46" s="292">
        <f t="shared" si="4"/>
        <v>41643562</v>
      </c>
    </row>
    <row r="47" spans="1:18" x14ac:dyDescent="0.25">
      <c r="H47" s="39">
        <f>+H46-E46</f>
        <v>2281595</v>
      </c>
      <c r="K47" s="39">
        <f>+K46-H46</f>
        <v>0</v>
      </c>
      <c r="N47" s="39">
        <f>+N46-K46</f>
        <v>1309308</v>
      </c>
      <c r="Q47" s="39">
        <f>+Q46-N46</f>
        <v>-17266971</v>
      </c>
    </row>
  </sheetData>
  <mergeCells count="7">
    <mergeCell ref="O4:Q4"/>
    <mergeCell ref="C4:E4"/>
    <mergeCell ref="A4:A5"/>
    <mergeCell ref="B4:B5"/>
    <mergeCell ref="F4:H4"/>
    <mergeCell ref="I4:K4"/>
    <mergeCell ref="L4:N4"/>
  </mergeCells>
  <printOptions horizontalCentered="1"/>
  <pageMargins left="0.19685039370078741" right="0.19685039370078741" top="1.0236220472440944" bottom="0.19685039370078741" header="0.31496062992125984" footer="0.31496062992125984"/>
  <pageSetup paperSize="9" scale="75" fitToWidth="0" fitToHeight="0" orientation="landscape" copies="2" r:id="rId1"/>
  <headerFooter>
    <oddHeader>&amp;L4/E.  melléklet a ......./2021. (.................) önkormányzati rendelethez&amp;C&amp;"-,Félkövér"&amp;16
A Volf György Könyvtár és Helytörténeti Gyűjtemény 2020. évi bevételei és kiadásai jogcímenként és feladatonként</oddHeader>
    <oddFooter>&amp;C&amp;P&amp;R&amp;D, &amp;T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R47"/>
  <sheetViews>
    <sheetView view="pageBreakPreview" topLeftCell="A20" zoomScale="98" zoomScaleNormal="100" zoomScaleSheetLayoutView="98" workbookViewId="0">
      <selection activeCell="R47" sqref="R47"/>
    </sheetView>
  </sheetViews>
  <sheetFormatPr defaultRowHeight="15" x14ac:dyDescent="0.25"/>
  <cols>
    <col min="1" max="1" width="7.140625" style="30" customWidth="1"/>
    <col min="2" max="2" width="51.85546875" customWidth="1"/>
    <col min="3" max="3" width="12" hidden="1" customWidth="1"/>
    <col min="4" max="4" width="0" hidden="1" customWidth="1"/>
    <col min="5" max="5" width="16.5703125" hidden="1" customWidth="1"/>
    <col min="6" max="6" width="12" hidden="1" customWidth="1"/>
    <col min="7" max="7" width="0" hidden="1" customWidth="1"/>
    <col min="8" max="8" width="16.5703125" hidden="1" customWidth="1"/>
    <col min="9" max="9" width="12" customWidth="1"/>
    <col min="11" max="11" width="16.5703125" bestFit="1" customWidth="1"/>
    <col min="12" max="12" width="12" customWidth="1"/>
    <col min="14" max="14" width="16.5703125" bestFit="1" customWidth="1"/>
    <col min="15" max="15" width="12" hidden="1" customWidth="1"/>
    <col min="16" max="16" width="0" hidden="1" customWidth="1"/>
    <col min="17" max="17" width="16.5703125" hidden="1" customWidth="1"/>
  </cols>
  <sheetData>
    <row r="1" spans="1:17" x14ac:dyDescent="0.25">
      <c r="E1" s="31"/>
      <c r="H1" s="31"/>
      <c r="K1" s="31"/>
      <c r="N1" s="31" t="s">
        <v>1662</v>
      </c>
    </row>
    <row r="2" spans="1:17" ht="15" customHeight="1" x14ac:dyDescent="0.25">
      <c r="A2" s="304" t="s">
        <v>303</v>
      </c>
      <c r="B2" s="626" t="s">
        <v>1423</v>
      </c>
      <c r="C2" s="518"/>
      <c r="D2" s="518"/>
      <c r="E2" s="518"/>
      <c r="F2" s="518"/>
      <c r="G2" s="518"/>
      <c r="H2" s="518"/>
      <c r="I2" s="518"/>
      <c r="J2" s="518"/>
      <c r="K2" s="518"/>
      <c r="L2" s="518"/>
      <c r="M2" s="518"/>
      <c r="N2" s="518"/>
      <c r="O2" s="518"/>
      <c r="P2" s="518"/>
      <c r="Q2" s="518"/>
    </row>
    <row r="3" spans="1:17" ht="15" customHeight="1" x14ac:dyDescent="0.25">
      <c r="A3" s="304" t="s">
        <v>304</v>
      </c>
      <c r="B3" s="304" t="s">
        <v>1477</v>
      </c>
      <c r="C3" s="518"/>
      <c r="D3" s="518"/>
      <c r="E3" s="518"/>
      <c r="F3" s="518"/>
      <c r="G3" s="518"/>
      <c r="H3" s="518"/>
      <c r="I3" s="518"/>
      <c r="J3" s="518"/>
      <c r="K3" s="518"/>
      <c r="L3" s="518"/>
      <c r="M3" s="518"/>
      <c r="N3" s="518"/>
      <c r="O3" s="518"/>
      <c r="P3" s="518"/>
      <c r="Q3" s="518"/>
    </row>
    <row r="4" spans="1:17" ht="66.400000000000006" customHeight="1" x14ac:dyDescent="0.25">
      <c r="A4" s="938" t="s">
        <v>305</v>
      </c>
      <c r="B4" s="965" t="s">
        <v>306</v>
      </c>
      <c r="C4" s="939" t="s">
        <v>1654</v>
      </c>
      <c r="D4" s="936"/>
      <c r="E4" s="940"/>
      <c r="F4" s="939" t="s">
        <v>1760</v>
      </c>
      <c r="G4" s="936"/>
      <c r="H4" s="940"/>
      <c r="I4" s="939" t="s">
        <v>1795</v>
      </c>
      <c r="J4" s="936"/>
      <c r="K4" s="940"/>
      <c r="L4" s="939" t="s">
        <v>1803</v>
      </c>
      <c r="M4" s="936"/>
      <c r="N4" s="940"/>
      <c r="O4" s="962" t="s">
        <v>1806</v>
      </c>
      <c r="P4" s="936"/>
      <c r="Q4" s="940"/>
    </row>
    <row r="5" spans="1:17" ht="60" x14ac:dyDescent="0.25">
      <c r="A5" s="938"/>
      <c r="B5" s="965"/>
      <c r="C5" s="516" t="s">
        <v>1300</v>
      </c>
      <c r="D5" s="516" t="s">
        <v>1301</v>
      </c>
      <c r="E5" s="516" t="s">
        <v>550</v>
      </c>
      <c r="F5" s="690" t="s">
        <v>1300</v>
      </c>
      <c r="G5" s="690" t="s">
        <v>1301</v>
      </c>
      <c r="H5" s="690" t="s">
        <v>550</v>
      </c>
      <c r="I5" s="690" t="s">
        <v>1300</v>
      </c>
      <c r="J5" s="690" t="s">
        <v>1301</v>
      </c>
      <c r="K5" s="690" t="s">
        <v>550</v>
      </c>
      <c r="L5" s="690" t="s">
        <v>1300</v>
      </c>
      <c r="M5" s="690" t="s">
        <v>1301</v>
      </c>
      <c r="N5" s="690" t="s">
        <v>550</v>
      </c>
      <c r="O5" s="690" t="s">
        <v>1300</v>
      </c>
      <c r="P5" s="690" t="s">
        <v>1301</v>
      </c>
      <c r="Q5" s="690" t="s">
        <v>550</v>
      </c>
    </row>
    <row r="6" spans="1:17" x14ac:dyDescent="0.25">
      <c r="A6" s="305"/>
      <c r="B6" s="306" t="s">
        <v>307</v>
      </c>
      <c r="C6" s="307">
        <f>+'5 GSZNR fel'!C108</f>
        <v>19</v>
      </c>
      <c r="D6" s="307"/>
      <c r="E6" s="307">
        <f t="shared" ref="E6:E46" si="0">SUM(C6:D6)</f>
        <v>19</v>
      </c>
      <c r="F6" s="307">
        <f>+'5 GSZNR fel'!F108</f>
        <v>19</v>
      </c>
      <c r="G6" s="307"/>
      <c r="H6" s="307">
        <f t="shared" ref="H6:H46" si="1">SUM(F6:G6)</f>
        <v>19</v>
      </c>
      <c r="I6" s="307">
        <f>+'5 GSZNR fel'!I108</f>
        <v>19</v>
      </c>
      <c r="J6" s="307"/>
      <c r="K6" s="307">
        <f t="shared" ref="K6:K46" si="2">SUM(I6:J6)</f>
        <v>19</v>
      </c>
      <c r="L6" s="307">
        <f>+'5 GSZNR fel'!L108</f>
        <v>19</v>
      </c>
      <c r="M6" s="307"/>
      <c r="N6" s="307">
        <f t="shared" ref="N6:N46" si="3">SUM(L6:M6)</f>
        <v>19</v>
      </c>
      <c r="O6" s="307">
        <f>+'5 GSZNR fel'!O108</f>
        <v>19</v>
      </c>
      <c r="P6" s="307"/>
      <c r="Q6" s="307">
        <f t="shared" ref="Q6:Q46" si="4">SUM(O6:P6)</f>
        <v>19</v>
      </c>
    </row>
    <row r="7" spans="1:17" x14ac:dyDescent="0.25">
      <c r="A7" s="305"/>
      <c r="B7" s="306" t="s">
        <v>308</v>
      </c>
      <c r="C7" s="307"/>
      <c r="D7" s="307"/>
      <c r="E7" s="307">
        <f t="shared" si="0"/>
        <v>0</v>
      </c>
      <c r="F7" s="307"/>
      <c r="G7" s="307"/>
      <c r="H7" s="307">
        <f t="shared" si="1"/>
        <v>0</v>
      </c>
      <c r="I7" s="307"/>
      <c r="J7" s="307"/>
      <c r="K7" s="307">
        <f t="shared" si="2"/>
        <v>0</v>
      </c>
      <c r="L7" s="307"/>
      <c r="M7" s="307"/>
      <c r="N7" s="307">
        <f t="shared" si="3"/>
        <v>0</v>
      </c>
      <c r="O7" s="307"/>
      <c r="P7" s="307"/>
      <c r="Q7" s="307">
        <f t="shared" si="4"/>
        <v>0</v>
      </c>
    </row>
    <row r="8" spans="1:17" x14ac:dyDescent="0.25">
      <c r="A8" s="308" t="s">
        <v>309</v>
      </c>
      <c r="B8" s="309" t="s">
        <v>310</v>
      </c>
      <c r="C8" s="310">
        <f>C9+C11+C20</f>
        <v>9200000</v>
      </c>
      <c r="D8" s="310">
        <f>D9+D11+D20</f>
        <v>0</v>
      </c>
      <c r="E8" s="310">
        <f t="shared" si="0"/>
        <v>9200000</v>
      </c>
      <c r="F8" s="501">
        <f>F9+F11+F20</f>
        <v>9200000</v>
      </c>
      <c r="G8" s="501">
        <f>G9+G11+G20</f>
        <v>0</v>
      </c>
      <c r="H8" s="501">
        <f t="shared" si="1"/>
        <v>9200000</v>
      </c>
      <c r="I8" s="501">
        <f>I9+I11+I20</f>
        <v>9200000</v>
      </c>
      <c r="J8" s="501">
        <f>J9+J11+J20</f>
        <v>0</v>
      </c>
      <c r="K8" s="501">
        <f t="shared" si="2"/>
        <v>9200000</v>
      </c>
      <c r="L8" s="501">
        <f>L9+L11+L20</f>
        <v>9200000</v>
      </c>
      <c r="M8" s="501">
        <f>M9+M11+M20</f>
        <v>0</v>
      </c>
      <c r="N8" s="501">
        <f t="shared" si="3"/>
        <v>9200000</v>
      </c>
      <c r="O8" s="501">
        <f>O9+O11+O20</f>
        <v>10290072</v>
      </c>
      <c r="P8" s="501">
        <f>P9+P11+P20</f>
        <v>0</v>
      </c>
      <c r="Q8" s="501">
        <f t="shared" si="4"/>
        <v>10290072</v>
      </c>
    </row>
    <row r="9" spans="1:17" x14ac:dyDescent="0.25">
      <c r="A9" s="311" t="s">
        <v>311</v>
      </c>
      <c r="B9" s="312" t="s">
        <v>312</v>
      </c>
      <c r="C9" s="313">
        <f>C10</f>
        <v>0</v>
      </c>
      <c r="D9" s="313">
        <f>D10</f>
        <v>0</v>
      </c>
      <c r="E9" s="313">
        <f t="shared" si="0"/>
        <v>0</v>
      </c>
      <c r="F9" s="503">
        <f>F10</f>
        <v>0</v>
      </c>
      <c r="G9" s="503">
        <f>G10</f>
        <v>0</v>
      </c>
      <c r="H9" s="503">
        <f t="shared" si="1"/>
        <v>0</v>
      </c>
      <c r="I9" s="503">
        <f>I10</f>
        <v>0</v>
      </c>
      <c r="J9" s="503">
        <f>J10</f>
        <v>0</v>
      </c>
      <c r="K9" s="503">
        <f t="shared" si="2"/>
        <v>0</v>
      </c>
      <c r="L9" s="503">
        <f>L10</f>
        <v>0</v>
      </c>
      <c r="M9" s="503">
        <f>M10</f>
        <v>0</v>
      </c>
      <c r="N9" s="503">
        <f t="shared" si="3"/>
        <v>0</v>
      </c>
      <c r="O9" s="503">
        <f>O10</f>
        <v>0</v>
      </c>
      <c r="P9" s="503">
        <f>P10</f>
        <v>0</v>
      </c>
      <c r="Q9" s="503">
        <f t="shared" si="4"/>
        <v>0</v>
      </c>
    </row>
    <row r="10" spans="1:17" ht="30" hidden="1" customHeight="1" x14ac:dyDescent="0.25">
      <c r="A10" s="346"/>
      <c r="B10" s="314" t="s">
        <v>313</v>
      </c>
      <c r="C10" s="235">
        <v>0</v>
      </c>
      <c r="D10" s="235">
        <v>0</v>
      </c>
      <c r="E10" s="235">
        <f t="shared" si="0"/>
        <v>0</v>
      </c>
      <c r="F10" s="235">
        <v>0</v>
      </c>
      <c r="G10" s="235">
        <v>0</v>
      </c>
      <c r="H10" s="235">
        <f t="shared" si="1"/>
        <v>0</v>
      </c>
      <c r="I10" s="235">
        <v>0</v>
      </c>
      <c r="J10" s="235">
        <v>0</v>
      </c>
      <c r="K10" s="235">
        <f t="shared" si="2"/>
        <v>0</v>
      </c>
      <c r="L10" s="235">
        <v>0</v>
      </c>
      <c r="M10" s="235">
        <v>0</v>
      </c>
      <c r="N10" s="235">
        <f t="shared" si="3"/>
        <v>0</v>
      </c>
      <c r="O10" s="235">
        <v>0</v>
      </c>
      <c r="P10" s="235">
        <v>0</v>
      </c>
      <c r="Q10" s="235">
        <f t="shared" si="4"/>
        <v>0</v>
      </c>
    </row>
    <row r="11" spans="1:17" x14ac:dyDescent="0.25">
      <c r="A11" s="311" t="s">
        <v>322</v>
      </c>
      <c r="B11" s="312" t="s">
        <v>314</v>
      </c>
      <c r="C11" s="313">
        <f>C12+C13+C14+C15+C16+C17+C18+C19</f>
        <v>9200000</v>
      </c>
      <c r="D11" s="313">
        <f>D12+D13+D14+D15+D16+D17+D18+D19</f>
        <v>0</v>
      </c>
      <c r="E11" s="313">
        <f t="shared" si="0"/>
        <v>9200000</v>
      </c>
      <c r="F11" s="503">
        <f>F12+F13+F14+F15+F16+F17+F18+F19</f>
        <v>9200000</v>
      </c>
      <c r="G11" s="503">
        <f>G12+G13+G14+G15+G16+G17+G18+G19</f>
        <v>0</v>
      </c>
      <c r="H11" s="503">
        <f t="shared" si="1"/>
        <v>9200000</v>
      </c>
      <c r="I11" s="503">
        <f>I12+I13+I14+I15+I16+I17+I18+I19</f>
        <v>9200000</v>
      </c>
      <c r="J11" s="503">
        <f>J12+J13+J14+J15+J16+J17+J18+J19</f>
        <v>0</v>
      </c>
      <c r="K11" s="503">
        <f t="shared" si="2"/>
        <v>9200000</v>
      </c>
      <c r="L11" s="503">
        <f>L12+L13+L14+L15+L16+L17+L18+L19</f>
        <v>9200000</v>
      </c>
      <c r="M11" s="503">
        <f>M12+M13+M14+M15+M16+M17+M18+M19</f>
        <v>0</v>
      </c>
      <c r="N11" s="503">
        <f t="shared" si="3"/>
        <v>9200000</v>
      </c>
      <c r="O11" s="503">
        <f>O12+O13+O14+O15+O16+O17+O18+O19</f>
        <v>10290072</v>
      </c>
      <c r="P11" s="503">
        <f>P12+P13+P14+P15+P16+P17+P18+P19</f>
        <v>0</v>
      </c>
      <c r="Q11" s="503">
        <f t="shared" si="4"/>
        <v>10290072</v>
      </c>
    </row>
    <row r="12" spans="1:17" x14ac:dyDescent="0.25">
      <c r="A12" s="346"/>
      <c r="B12" s="314" t="s">
        <v>651</v>
      </c>
      <c r="C12" s="235">
        <v>0</v>
      </c>
      <c r="D12" s="235">
        <v>0</v>
      </c>
      <c r="E12" s="235">
        <f t="shared" si="0"/>
        <v>0</v>
      </c>
      <c r="F12" s="235">
        <v>0</v>
      </c>
      <c r="G12" s="235">
        <v>0</v>
      </c>
      <c r="H12" s="235">
        <f t="shared" si="1"/>
        <v>0</v>
      </c>
      <c r="I12" s="235">
        <v>0</v>
      </c>
      <c r="J12" s="235">
        <v>0</v>
      </c>
      <c r="K12" s="235">
        <f t="shared" si="2"/>
        <v>0</v>
      </c>
      <c r="L12" s="235">
        <v>0</v>
      </c>
      <c r="M12" s="235">
        <v>0</v>
      </c>
      <c r="N12" s="235">
        <f t="shared" si="3"/>
        <v>0</v>
      </c>
      <c r="O12" s="235">
        <v>0</v>
      </c>
      <c r="P12" s="235">
        <v>0</v>
      </c>
      <c r="Q12" s="235">
        <f t="shared" si="4"/>
        <v>0</v>
      </c>
    </row>
    <row r="13" spans="1:17" x14ac:dyDescent="0.25">
      <c r="A13" s="346"/>
      <c r="B13" s="314" t="s">
        <v>652</v>
      </c>
      <c r="C13" s="235">
        <v>0</v>
      </c>
      <c r="D13" s="235">
        <v>0</v>
      </c>
      <c r="E13" s="235">
        <f t="shared" si="0"/>
        <v>0</v>
      </c>
      <c r="F13" s="235">
        <v>0</v>
      </c>
      <c r="G13" s="235">
        <v>0</v>
      </c>
      <c r="H13" s="235">
        <f t="shared" si="1"/>
        <v>0</v>
      </c>
      <c r="I13" s="235">
        <v>0</v>
      </c>
      <c r="J13" s="235">
        <v>0</v>
      </c>
      <c r="K13" s="235">
        <f t="shared" si="2"/>
        <v>0</v>
      </c>
      <c r="L13" s="235">
        <v>0</v>
      </c>
      <c r="M13" s="235">
        <v>0</v>
      </c>
      <c r="N13" s="235">
        <f t="shared" si="3"/>
        <v>0</v>
      </c>
      <c r="O13" s="235">
        <v>0</v>
      </c>
      <c r="P13" s="235">
        <v>0</v>
      </c>
      <c r="Q13" s="235">
        <f t="shared" si="4"/>
        <v>0</v>
      </c>
    </row>
    <row r="14" spans="1:17" x14ac:dyDescent="0.25">
      <c r="A14" s="346"/>
      <c r="B14" s="314" t="s">
        <v>659</v>
      </c>
      <c r="C14" s="235">
        <v>0</v>
      </c>
      <c r="D14" s="235">
        <v>0</v>
      </c>
      <c r="E14" s="235">
        <f t="shared" si="0"/>
        <v>0</v>
      </c>
      <c r="F14" s="235">
        <v>0</v>
      </c>
      <c r="G14" s="235">
        <v>0</v>
      </c>
      <c r="H14" s="235">
        <f t="shared" si="1"/>
        <v>0</v>
      </c>
      <c r="I14" s="235">
        <v>0</v>
      </c>
      <c r="J14" s="235">
        <v>0</v>
      </c>
      <c r="K14" s="235">
        <f t="shared" si="2"/>
        <v>0</v>
      </c>
      <c r="L14" s="235">
        <v>0</v>
      </c>
      <c r="M14" s="235">
        <v>0</v>
      </c>
      <c r="N14" s="235">
        <f t="shared" si="3"/>
        <v>0</v>
      </c>
      <c r="O14" s="235">
        <v>0</v>
      </c>
      <c r="P14" s="235">
        <v>0</v>
      </c>
      <c r="Q14" s="235">
        <f t="shared" si="4"/>
        <v>0</v>
      </c>
    </row>
    <row r="15" spans="1:17" x14ac:dyDescent="0.25">
      <c r="A15" s="346"/>
      <c r="B15" s="314" t="s">
        <v>660</v>
      </c>
      <c r="C15" s="235">
        <v>7500000</v>
      </c>
      <c r="D15" s="235">
        <v>0</v>
      </c>
      <c r="E15" s="235">
        <f t="shared" si="0"/>
        <v>7500000</v>
      </c>
      <c r="F15" s="235">
        <f>7500000</f>
        <v>7500000</v>
      </c>
      <c r="G15" s="235">
        <v>0</v>
      </c>
      <c r="H15" s="235">
        <f t="shared" si="1"/>
        <v>7500000</v>
      </c>
      <c r="I15" s="235">
        <f>7500000</f>
        <v>7500000</v>
      </c>
      <c r="J15" s="235">
        <v>0</v>
      </c>
      <c r="K15" s="235">
        <f t="shared" si="2"/>
        <v>7500000</v>
      </c>
      <c r="L15" s="235">
        <f>7500000</f>
        <v>7500000</v>
      </c>
      <c r="M15" s="235">
        <v>0</v>
      </c>
      <c r="N15" s="235">
        <f t="shared" si="3"/>
        <v>7500000</v>
      </c>
      <c r="O15" s="235">
        <v>8004764</v>
      </c>
      <c r="P15" s="235">
        <v>0</v>
      </c>
      <c r="Q15" s="235">
        <f t="shared" si="4"/>
        <v>8004764</v>
      </c>
    </row>
    <row r="16" spans="1:17" x14ac:dyDescent="0.25">
      <c r="A16" s="346"/>
      <c r="B16" s="314" t="s">
        <v>661</v>
      </c>
      <c r="C16" s="235">
        <v>1700000</v>
      </c>
      <c r="D16" s="235">
        <v>0</v>
      </c>
      <c r="E16" s="235">
        <f t="shared" si="0"/>
        <v>1700000</v>
      </c>
      <c r="F16" s="235">
        <f>1700000</f>
        <v>1700000</v>
      </c>
      <c r="G16" s="235">
        <v>0</v>
      </c>
      <c r="H16" s="235">
        <f t="shared" si="1"/>
        <v>1700000</v>
      </c>
      <c r="I16" s="235">
        <f>1700000</f>
        <v>1700000</v>
      </c>
      <c r="J16" s="235">
        <v>0</v>
      </c>
      <c r="K16" s="235">
        <f t="shared" si="2"/>
        <v>1700000</v>
      </c>
      <c r="L16" s="235">
        <f>1700000</f>
        <v>1700000</v>
      </c>
      <c r="M16" s="235">
        <v>0</v>
      </c>
      <c r="N16" s="235">
        <f t="shared" si="3"/>
        <v>1700000</v>
      </c>
      <c r="O16" s="235">
        <v>2024453</v>
      </c>
      <c r="P16" s="235">
        <v>0</v>
      </c>
      <c r="Q16" s="235">
        <f t="shared" si="4"/>
        <v>2024453</v>
      </c>
    </row>
    <row r="17" spans="1:17" x14ac:dyDescent="0.25">
      <c r="A17" s="346"/>
      <c r="B17" s="314" t="s">
        <v>662</v>
      </c>
      <c r="C17" s="235">
        <v>0</v>
      </c>
      <c r="D17" s="235">
        <v>0</v>
      </c>
      <c r="E17" s="235">
        <f t="shared" si="0"/>
        <v>0</v>
      </c>
      <c r="F17" s="235">
        <v>0</v>
      </c>
      <c r="G17" s="235">
        <v>0</v>
      </c>
      <c r="H17" s="235">
        <f t="shared" si="1"/>
        <v>0</v>
      </c>
      <c r="I17" s="235">
        <v>0</v>
      </c>
      <c r="J17" s="235">
        <v>0</v>
      </c>
      <c r="K17" s="235">
        <f t="shared" si="2"/>
        <v>0</v>
      </c>
      <c r="L17" s="235">
        <v>0</v>
      </c>
      <c r="M17" s="235">
        <v>0</v>
      </c>
      <c r="N17" s="235">
        <f t="shared" si="3"/>
        <v>0</v>
      </c>
      <c r="O17" s="235">
        <v>0</v>
      </c>
      <c r="P17" s="235">
        <v>0</v>
      </c>
      <c r="Q17" s="235">
        <f t="shared" si="4"/>
        <v>0</v>
      </c>
    </row>
    <row r="18" spans="1:17" x14ac:dyDescent="0.25">
      <c r="A18" s="346"/>
      <c r="B18" s="314" t="s">
        <v>663</v>
      </c>
      <c r="C18" s="235">
        <v>0</v>
      </c>
      <c r="D18" s="235">
        <v>0</v>
      </c>
      <c r="E18" s="235">
        <f t="shared" si="0"/>
        <v>0</v>
      </c>
      <c r="F18" s="235">
        <v>0</v>
      </c>
      <c r="G18" s="235">
        <v>0</v>
      </c>
      <c r="H18" s="235">
        <f t="shared" si="1"/>
        <v>0</v>
      </c>
      <c r="I18" s="235">
        <v>0</v>
      </c>
      <c r="J18" s="235">
        <v>0</v>
      </c>
      <c r="K18" s="235">
        <f t="shared" si="2"/>
        <v>0</v>
      </c>
      <c r="L18" s="235">
        <v>0</v>
      </c>
      <c r="M18" s="235">
        <v>0</v>
      </c>
      <c r="N18" s="235">
        <f t="shared" si="3"/>
        <v>0</v>
      </c>
      <c r="O18" s="235">
        <v>0</v>
      </c>
      <c r="P18" s="235">
        <v>0</v>
      </c>
      <c r="Q18" s="235">
        <f t="shared" si="4"/>
        <v>0</v>
      </c>
    </row>
    <row r="19" spans="1:17" x14ac:dyDescent="0.25">
      <c r="A19" s="346"/>
      <c r="B19" s="314" t="s">
        <v>664</v>
      </c>
      <c r="C19" s="235">
        <v>0</v>
      </c>
      <c r="D19" s="235">
        <v>0</v>
      </c>
      <c r="E19" s="235">
        <f t="shared" si="0"/>
        <v>0</v>
      </c>
      <c r="F19" s="235">
        <v>0</v>
      </c>
      <c r="G19" s="235">
        <v>0</v>
      </c>
      <c r="H19" s="235">
        <f t="shared" si="1"/>
        <v>0</v>
      </c>
      <c r="I19" s="235">
        <v>0</v>
      </c>
      <c r="J19" s="235">
        <v>0</v>
      </c>
      <c r="K19" s="235">
        <f t="shared" si="2"/>
        <v>0</v>
      </c>
      <c r="L19" s="235">
        <v>0</v>
      </c>
      <c r="M19" s="235">
        <v>0</v>
      </c>
      <c r="N19" s="235">
        <f t="shared" si="3"/>
        <v>0</v>
      </c>
      <c r="O19" s="235">
        <v>260855</v>
      </c>
      <c r="P19" s="235">
        <v>0</v>
      </c>
      <c r="Q19" s="235">
        <f t="shared" si="4"/>
        <v>260855</v>
      </c>
    </row>
    <row r="20" spans="1:17" x14ac:dyDescent="0.25">
      <c r="A20" s="311" t="s">
        <v>315</v>
      </c>
      <c r="B20" s="312" t="s">
        <v>316</v>
      </c>
      <c r="C20" s="313">
        <f>SUM(C21:C21)</f>
        <v>0</v>
      </c>
      <c r="D20" s="313">
        <f>SUM(D21:D21)</f>
        <v>0</v>
      </c>
      <c r="E20" s="313">
        <f t="shared" si="0"/>
        <v>0</v>
      </c>
      <c r="F20" s="503">
        <f>SUM(F21:F21)</f>
        <v>0</v>
      </c>
      <c r="G20" s="503">
        <f>SUM(G21:G21)</f>
        <v>0</v>
      </c>
      <c r="H20" s="503">
        <f t="shared" si="1"/>
        <v>0</v>
      </c>
      <c r="I20" s="503">
        <f>SUM(I21:I21)</f>
        <v>0</v>
      </c>
      <c r="J20" s="503">
        <f>SUM(J21:J21)</f>
        <v>0</v>
      </c>
      <c r="K20" s="503">
        <f t="shared" si="2"/>
        <v>0</v>
      </c>
      <c r="L20" s="503">
        <f>SUM(L21:L21)</f>
        <v>0</v>
      </c>
      <c r="M20" s="503">
        <f>SUM(M21:M21)</f>
        <v>0</v>
      </c>
      <c r="N20" s="503">
        <f t="shared" si="3"/>
        <v>0</v>
      </c>
      <c r="O20" s="503">
        <f>SUM(O21:O21)</f>
        <v>0</v>
      </c>
      <c r="P20" s="503">
        <f>SUM(P21:P21)</f>
        <v>0</v>
      </c>
      <c r="Q20" s="503">
        <f t="shared" si="4"/>
        <v>0</v>
      </c>
    </row>
    <row r="21" spans="1:17" ht="15" hidden="1" customHeight="1" x14ac:dyDescent="0.25">
      <c r="A21" s="346"/>
      <c r="B21" s="314" t="s">
        <v>317</v>
      </c>
      <c r="C21" s="235">
        <v>0</v>
      </c>
      <c r="D21" s="235">
        <v>0</v>
      </c>
      <c r="E21" s="235">
        <f t="shared" si="0"/>
        <v>0</v>
      </c>
      <c r="F21" s="235">
        <v>0</v>
      </c>
      <c r="G21" s="235">
        <v>0</v>
      </c>
      <c r="H21" s="235">
        <f t="shared" si="1"/>
        <v>0</v>
      </c>
      <c r="I21" s="235">
        <v>0</v>
      </c>
      <c r="J21" s="235">
        <v>0</v>
      </c>
      <c r="K21" s="235">
        <f t="shared" si="2"/>
        <v>0</v>
      </c>
      <c r="L21" s="235">
        <v>0</v>
      </c>
      <c r="M21" s="235">
        <v>0</v>
      </c>
      <c r="N21" s="235">
        <f t="shared" si="3"/>
        <v>0</v>
      </c>
      <c r="O21" s="235">
        <v>0</v>
      </c>
      <c r="P21" s="235">
        <v>0</v>
      </c>
      <c r="Q21" s="235">
        <f t="shared" si="4"/>
        <v>0</v>
      </c>
    </row>
    <row r="22" spans="1:17" x14ac:dyDescent="0.25">
      <c r="A22" s="308" t="s">
        <v>318</v>
      </c>
      <c r="B22" s="309" t="s">
        <v>319</v>
      </c>
      <c r="C22" s="310">
        <f>C23+C25+C28</f>
        <v>0</v>
      </c>
      <c r="D22" s="310">
        <f>D23+D25+D28</f>
        <v>0</v>
      </c>
      <c r="E22" s="310">
        <f t="shared" si="0"/>
        <v>0</v>
      </c>
      <c r="F22" s="501">
        <f>F23+F25+F28</f>
        <v>0</v>
      </c>
      <c r="G22" s="501">
        <f>G23+G25+G28</f>
        <v>0</v>
      </c>
      <c r="H22" s="501">
        <f t="shared" si="1"/>
        <v>0</v>
      </c>
      <c r="I22" s="501">
        <f>I23+I25+I28</f>
        <v>0</v>
      </c>
      <c r="J22" s="501">
        <f>J23+J25+J28</f>
        <v>0</v>
      </c>
      <c r="K22" s="501">
        <f t="shared" si="2"/>
        <v>0</v>
      </c>
      <c r="L22" s="501">
        <f>L23+L25+L28</f>
        <v>0</v>
      </c>
      <c r="M22" s="501">
        <f>M23+M25+M28</f>
        <v>0</v>
      </c>
      <c r="N22" s="501">
        <f t="shared" si="3"/>
        <v>0</v>
      </c>
      <c r="O22" s="501">
        <f>O23+O25+O28</f>
        <v>0</v>
      </c>
      <c r="P22" s="501">
        <f>P23+P25+P28</f>
        <v>0</v>
      </c>
      <c r="Q22" s="501">
        <f t="shared" si="4"/>
        <v>0</v>
      </c>
    </row>
    <row r="23" spans="1:17" ht="15" hidden="1" customHeight="1" x14ac:dyDescent="0.25">
      <c r="A23" s="311" t="s">
        <v>311</v>
      </c>
      <c r="B23" s="312" t="s">
        <v>320</v>
      </c>
      <c r="C23" s="313">
        <f>SUM(C24:C24)</f>
        <v>0</v>
      </c>
      <c r="D23" s="313">
        <f>SUM(D24:D24)</f>
        <v>0</v>
      </c>
      <c r="E23" s="313">
        <f t="shared" si="0"/>
        <v>0</v>
      </c>
      <c r="F23" s="503">
        <f>SUM(F24:F24)</f>
        <v>0</v>
      </c>
      <c r="G23" s="503">
        <f>SUM(G24:G24)</f>
        <v>0</v>
      </c>
      <c r="H23" s="503">
        <f t="shared" si="1"/>
        <v>0</v>
      </c>
      <c r="I23" s="503">
        <f>SUM(I24:I24)</f>
        <v>0</v>
      </c>
      <c r="J23" s="503">
        <f>SUM(J24:J24)</f>
        <v>0</v>
      </c>
      <c r="K23" s="503">
        <f t="shared" si="2"/>
        <v>0</v>
      </c>
      <c r="L23" s="503">
        <f>SUM(L24:L24)</f>
        <v>0</v>
      </c>
      <c r="M23" s="503">
        <f>SUM(M24:M24)</f>
        <v>0</v>
      </c>
      <c r="N23" s="503">
        <f t="shared" si="3"/>
        <v>0</v>
      </c>
      <c r="O23" s="503">
        <f>SUM(O24:O24)</f>
        <v>0</v>
      </c>
      <c r="P23" s="503">
        <f>SUM(P24:P24)</f>
        <v>0</v>
      </c>
      <c r="Q23" s="503">
        <f t="shared" si="4"/>
        <v>0</v>
      </c>
    </row>
    <row r="24" spans="1:17" ht="30" hidden="1" customHeight="1" x14ac:dyDescent="0.25">
      <c r="A24" s="346"/>
      <c r="B24" s="234" t="s">
        <v>321</v>
      </c>
      <c r="C24" s="235">
        <v>0</v>
      </c>
      <c r="D24" s="235">
        <v>0</v>
      </c>
      <c r="E24" s="235">
        <f t="shared" si="0"/>
        <v>0</v>
      </c>
      <c r="F24" s="235">
        <v>0</v>
      </c>
      <c r="G24" s="235">
        <v>0</v>
      </c>
      <c r="H24" s="235">
        <f t="shared" si="1"/>
        <v>0</v>
      </c>
      <c r="I24" s="235">
        <v>0</v>
      </c>
      <c r="J24" s="235">
        <v>0</v>
      </c>
      <c r="K24" s="235">
        <f t="shared" si="2"/>
        <v>0</v>
      </c>
      <c r="L24" s="235">
        <v>0</v>
      </c>
      <c r="M24" s="235">
        <v>0</v>
      </c>
      <c r="N24" s="235">
        <f t="shared" si="3"/>
        <v>0</v>
      </c>
      <c r="O24" s="235">
        <v>0</v>
      </c>
      <c r="P24" s="235">
        <v>0</v>
      </c>
      <c r="Q24" s="235">
        <f t="shared" si="4"/>
        <v>0</v>
      </c>
    </row>
    <row r="25" spans="1:17" ht="15" hidden="1" customHeight="1" x14ac:dyDescent="0.25">
      <c r="A25" s="311" t="s">
        <v>322</v>
      </c>
      <c r="B25" s="312" t="s">
        <v>257</v>
      </c>
      <c r="C25" s="313">
        <f>SUM(C26:C27)</f>
        <v>0</v>
      </c>
      <c r="D25" s="313">
        <f>SUM(D26:D27)</f>
        <v>0</v>
      </c>
      <c r="E25" s="313">
        <f t="shared" si="0"/>
        <v>0</v>
      </c>
      <c r="F25" s="503">
        <f>SUM(F26:F27)</f>
        <v>0</v>
      </c>
      <c r="G25" s="503">
        <f>SUM(G26:G27)</f>
        <v>0</v>
      </c>
      <c r="H25" s="503">
        <f t="shared" si="1"/>
        <v>0</v>
      </c>
      <c r="I25" s="503">
        <f>SUM(I26:I27)</f>
        <v>0</v>
      </c>
      <c r="J25" s="503">
        <f>SUM(J26:J27)</f>
        <v>0</v>
      </c>
      <c r="K25" s="503">
        <f t="shared" si="2"/>
        <v>0</v>
      </c>
      <c r="L25" s="503">
        <f>SUM(L26:L27)</f>
        <v>0</v>
      </c>
      <c r="M25" s="503">
        <f>SUM(M26:M27)</f>
        <v>0</v>
      </c>
      <c r="N25" s="503">
        <f t="shared" si="3"/>
        <v>0</v>
      </c>
      <c r="O25" s="503">
        <f>SUM(O26:O27)</f>
        <v>0</v>
      </c>
      <c r="P25" s="503">
        <f>SUM(P26:P27)</f>
        <v>0</v>
      </c>
      <c r="Q25" s="503">
        <f t="shared" si="4"/>
        <v>0</v>
      </c>
    </row>
    <row r="26" spans="1:17" ht="15" hidden="1" customHeight="1" x14ac:dyDescent="0.25">
      <c r="A26" s="346"/>
      <c r="B26" s="316" t="s">
        <v>323</v>
      </c>
      <c r="C26" s="235">
        <v>0</v>
      </c>
      <c r="D26" s="235">
        <v>0</v>
      </c>
      <c r="E26" s="235">
        <f t="shared" si="0"/>
        <v>0</v>
      </c>
      <c r="F26" s="235">
        <v>0</v>
      </c>
      <c r="G26" s="235">
        <v>0</v>
      </c>
      <c r="H26" s="235">
        <f t="shared" si="1"/>
        <v>0</v>
      </c>
      <c r="I26" s="235">
        <v>0</v>
      </c>
      <c r="J26" s="235">
        <v>0</v>
      </c>
      <c r="K26" s="235">
        <f t="shared" si="2"/>
        <v>0</v>
      </c>
      <c r="L26" s="235">
        <v>0</v>
      </c>
      <c r="M26" s="235">
        <v>0</v>
      </c>
      <c r="N26" s="235">
        <f t="shared" si="3"/>
        <v>0</v>
      </c>
      <c r="O26" s="235">
        <v>0</v>
      </c>
      <c r="P26" s="235">
        <v>0</v>
      </c>
      <c r="Q26" s="235">
        <f t="shared" si="4"/>
        <v>0</v>
      </c>
    </row>
    <row r="27" spans="1:17" ht="15" hidden="1" customHeight="1" x14ac:dyDescent="0.25">
      <c r="A27" s="346"/>
      <c r="B27" s="316" t="s">
        <v>324</v>
      </c>
      <c r="C27" s="235">
        <v>0</v>
      </c>
      <c r="D27" s="235">
        <v>0</v>
      </c>
      <c r="E27" s="235">
        <f t="shared" si="0"/>
        <v>0</v>
      </c>
      <c r="F27" s="235">
        <v>0</v>
      </c>
      <c r="G27" s="235">
        <v>0</v>
      </c>
      <c r="H27" s="235">
        <f t="shared" si="1"/>
        <v>0</v>
      </c>
      <c r="I27" s="235">
        <v>0</v>
      </c>
      <c r="J27" s="235">
        <v>0</v>
      </c>
      <c r="K27" s="235">
        <f t="shared" si="2"/>
        <v>0</v>
      </c>
      <c r="L27" s="235">
        <v>0</v>
      </c>
      <c r="M27" s="235">
        <v>0</v>
      </c>
      <c r="N27" s="235">
        <f t="shared" si="3"/>
        <v>0</v>
      </c>
      <c r="O27" s="235">
        <v>0</v>
      </c>
      <c r="P27" s="235">
        <v>0</v>
      </c>
      <c r="Q27" s="235">
        <f t="shared" si="4"/>
        <v>0</v>
      </c>
    </row>
    <row r="28" spans="1:17" ht="15" hidden="1" customHeight="1" x14ac:dyDescent="0.25">
      <c r="A28" s="311" t="s">
        <v>315</v>
      </c>
      <c r="B28" s="312" t="s">
        <v>325</v>
      </c>
      <c r="C28" s="313">
        <f>SUM(C29:C29)</f>
        <v>0</v>
      </c>
      <c r="D28" s="313">
        <f>SUM(D29:D29)</f>
        <v>0</v>
      </c>
      <c r="E28" s="313">
        <f t="shared" si="0"/>
        <v>0</v>
      </c>
      <c r="F28" s="503">
        <f>SUM(F29:F29)</f>
        <v>0</v>
      </c>
      <c r="G28" s="503">
        <f>SUM(G29:G29)</f>
        <v>0</v>
      </c>
      <c r="H28" s="503">
        <f t="shared" si="1"/>
        <v>0</v>
      </c>
      <c r="I28" s="503">
        <f>SUM(I29:I29)</f>
        <v>0</v>
      </c>
      <c r="J28" s="503">
        <f>SUM(J29:J29)</f>
        <v>0</v>
      </c>
      <c r="K28" s="503">
        <f t="shared" si="2"/>
        <v>0</v>
      </c>
      <c r="L28" s="503">
        <f>SUM(L29:L29)</f>
        <v>0</v>
      </c>
      <c r="M28" s="503">
        <f>SUM(M29:M29)</f>
        <v>0</v>
      </c>
      <c r="N28" s="503">
        <f t="shared" si="3"/>
        <v>0</v>
      </c>
      <c r="O28" s="503">
        <f>SUM(O29:O29)</f>
        <v>0</v>
      </c>
      <c r="P28" s="503">
        <f>SUM(P29:P29)</f>
        <v>0</v>
      </c>
      <c r="Q28" s="503">
        <f t="shared" si="4"/>
        <v>0</v>
      </c>
    </row>
    <row r="29" spans="1:17" ht="15" hidden="1" customHeight="1" x14ac:dyDescent="0.25">
      <c r="A29" s="346"/>
      <c r="B29" s="316" t="s">
        <v>326</v>
      </c>
      <c r="C29" s="235">
        <v>0</v>
      </c>
      <c r="D29" s="235">
        <v>0</v>
      </c>
      <c r="E29" s="235">
        <f t="shared" si="0"/>
        <v>0</v>
      </c>
      <c r="F29" s="235">
        <v>0</v>
      </c>
      <c r="G29" s="235">
        <v>0</v>
      </c>
      <c r="H29" s="235">
        <f t="shared" si="1"/>
        <v>0</v>
      </c>
      <c r="I29" s="235">
        <v>0</v>
      </c>
      <c r="J29" s="235">
        <v>0</v>
      </c>
      <c r="K29" s="235">
        <f t="shared" si="2"/>
        <v>0</v>
      </c>
      <c r="L29" s="235">
        <v>0</v>
      </c>
      <c r="M29" s="235">
        <v>0</v>
      </c>
      <c r="N29" s="235">
        <f t="shared" si="3"/>
        <v>0</v>
      </c>
      <c r="O29" s="235">
        <v>0</v>
      </c>
      <c r="P29" s="235">
        <v>0</v>
      </c>
      <c r="Q29" s="235">
        <f t="shared" si="4"/>
        <v>0</v>
      </c>
    </row>
    <row r="30" spans="1:17" x14ac:dyDescent="0.25">
      <c r="A30" s="344"/>
      <c r="B30" s="317" t="s">
        <v>327</v>
      </c>
      <c r="C30" s="318">
        <f>C22+C8</f>
        <v>9200000</v>
      </c>
      <c r="D30" s="318">
        <f>D22+D8</f>
        <v>0</v>
      </c>
      <c r="E30" s="318">
        <f t="shared" si="0"/>
        <v>9200000</v>
      </c>
      <c r="F30" s="511">
        <f>F22+F8</f>
        <v>9200000</v>
      </c>
      <c r="G30" s="511">
        <f>G22+G8</f>
        <v>0</v>
      </c>
      <c r="H30" s="511">
        <f t="shared" si="1"/>
        <v>9200000</v>
      </c>
      <c r="I30" s="511">
        <f>I22+I8</f>
        <v>9200000</v>
      </c>
      <c r="J30" s="511">
        <f>J22+J8</f>
        <v>0</v>
      </c>
      <c r="K30" s="511">
        <f t="shared" si="2"/>
        <v>9200000</v>
      </c>
      <c r="L30" s="511">
        <f>L22+L8</f>
        <v>9200000</v>
      </c>
      <c r="M30" s="511">
        <f>M22+M8</f>
        <v>0</v>
      </c>
      <c r="N30" s="511">
        <f t="shared" si="3"/>
        <v>9200000</v>
      </c>
      <c r="O30" s="511">
        <f>O22+O8</f>
        <v>10290072</v>
      </c>
      <c r="P30" s="511">
        <f>P22+P8</f>
        <v>0</v>
      </c>
      <c r="Q30" s="511">
        <f t="shared" si="4"/>
        <v>10290072</v>
      </c>
    </row>
    <row r="31" spans="1:17" x14ac:dyDescent="0.25">
      <c r="A31" s="308" t="s">
        <v>328</v>
      </c>
      <c r="B31" s="309" t="s">
        <v>329</v>
      </c>
      <c r="C31" s="310">
        <f>C32</f>
        <v>162085590</v>
      </c>
      <c r="D31" s="310">
        <f>D32</f>
        <v>0</v>
      </c>
      <c r="E31" s="310">
        <f t="shared" si="0"/>
        <v>162085590</v>
      </c>
      <c r="F31" s="501">
        <f>F32</f>
        <v>171545107</v>
      </c>
      <c r="G31" s="501">
        <f>G32</f>
        <v>0</v>
      </c>
      <c r="H31" s="501">
        <f t="shared" si="1"/>
        <v>171545107</v>
      </c>
      <c r="I31" s="501">
        <f>I32</f>
        <v>172345107</v>
      </c>
      <c r="J31" s="501">
        <f>J32</f>
        <v>0</v>
      </c>
      <c r="K31" s="501">
        <f t="shared" si="2"/>
        <v>172345107</v>
      </c>
      <c r="L31" s="501">
        <f>L32</f>
        <v>173269107</v>
      </c>
      <c r="M31" s="501">
        <f>M32</f>
        <v>0</v>
      </c>
      <c r="N31" s="501">
        <f t="shared" si="3"/>
        <v>173269107</v>
      </c>
      <c r="O31" s="501">
        <f>O32</f>
        <v>161836382</v>
      </c>
      <c r="P31" s="501">
        <f>P32</f>
        <v>0</v>
      </c>
      <c r="Q31" s="501">
        <f t="shared" si="4"/>
        <v>161836382</v>
      </c>
    </row>
    <row r="32" spans="1:17" x14ac:dyDescent="0.25">
      <c r="A32" s="311" t="s">
        <v>311</v>
      </c>
      <c r="B32" s="312" t="s">
        <v>330</v>
      </c>
      <c r="C32" s="313">
        <f>SUM(C33:C34)</f>
        <v>162085590</v>
      </c>
      <c r="D32" s="313">
        <f>SUM(D33:D34)</f>
        <v>0</v>
      </c>
      <c r="E32" s="313">
        <f t="shared" si="0"/>
        <v>162085590</v>
      </c>
      <c r="F32" s="503">
        <f>SUM(F33:F34)</f>
        <v>171545107</v>
      </c>
      <c r="G32" s="503">
        <f>SUM(G33:G34)</f>
        <v>0</v>
      </c>
      <c r="H32" s="503">
        <f t="shared" si="1"/>
        <v>171545107</v>
      </c>
      <c r="I32" s="503">
        <f>SUM(I33:I34)</f>
        <v>172345107</v>
      </c>
      <c r="J32" s="503">
        <f>SUM(J33:J34)</f>
        <v>0</v>
      </c>
      <c r="K32" s="503">
        <f t="shared" si="2"/>
        <v>172345107</v>
      </c>
      <c r="L32" s="503">
        <f>SUM(L33:L34)</f>
        <v>173269107</v>
      </c>
      <c r="M32" s="503">
        <f>SUM(M33:M34)</f>
        <v>0</v>
      </c>
      <c r="N32" s="503">
        <f t="shared" si="3"/>
        <v>173269107</v>
      </c>
      <c r="O32" s="503">
        <f>SUM(O33:O34)</f>
        <v>161836382</v>
      </c>
      <c r="P32" s="503">
        <f>SUM(P33:P34)</f>
        <v>0</v>
      </c>
      <c r="Q32" s="503">
        <f t="shared" si="4"/>
        <v>161836382</v>
      </c>
    </row>
    <row r="33" spans="1:18" x14ac:dyDescent="0.25">
      <c r="A33" s="346"/>
      <c r="B33" s="316" t="s">
        <v>331</v>
      </c>
      <c r="C33" s="235">
        <v>0</v>
      </c>
      <c r="D33" s="235">
        <v>0</v>
      </c>
      <c r="E33" s="235">
        <f t="shared" si="0"/>
        <v>0</v>
      </c>
      <c r="F33" s="235">
        <v>9459517</v>
      </c>
      <c r="G33" s="235">
        <v>0</v>
      </c>
      <c r="H33" s="235">
        <f t="shared" si="1"/>
        <v>9459517</v>
      </c>
      <c r="I33" s="235">
        <v>9459517</v>
      </c>
      <c r="J33" s="235">
        <v>0</v>
      </c>
      <c r="K33" s="235">
        <f t="shared" si="2"/>
        <v>9459517</v>
      </c>
      <c r="L33" s="235">
        <v>9459517</v>
      </c>
      <c r="M33" s="235">
        <v>0</v>
      </c>
      <c r="N33" s="235">
        <f t="shared" si="3"/>
        <v>9459517</v>
      </c>
      <c r="O33" s="235">
        <v>9459517</v>
      </c>
      <c r="P33" s="235">
        <v>0</v>
      </c>
      <c r="Q33" s="235">
        <f t="shared" si="4"/>
        <v>9459517</v>
      </c>
    </row>
    <row r="34" spans="1:18" x14ac:dyDescent="0.25">
      <c r="A34" s="346"/>
      <c r="B34" s="316" t="s">
        <v>332</v>
      </c>
      <c r="C34" s="235">
        <f>C36+C42-C30-C33</f>
        <v>162085590</v>
      </c>
      <c r="D34" s="235">
        <f>D36+D42-D30-D33</f>
        <v>0</v>
      </c>
      <c r="E34" s="235">
        <f t="shared" si="0"/>
        <v>162085590</v>
      </c>
      <c r="F34" s="235">
        <f>F36+F42-F30-F33</f>
        <v>162085590</v>
      </c>
      <c r="G34" s="235">
        <f>G36+G42-G30-G33</f>
        <v>0</v>
      </c>
      <c r="H34" s="235">
        <f t="shared" si="1"/>
        <v>162085590</v>
      </c>
      <c r="I34" s="235">
        <f>I36+I42-I30-I33</f>
        <v>162885590</v>
      </c>
      <c r="J34" s="235">
        <f>J36+J42-J30-J33</f>
        <v>0</v>
      </c>
      <c r="K34" s="235">
        <f t="shared" si="2"/>
        <v>162885590</v>
      </c>
      <c r="L34" s="235">
        <f>L36+L42-L30-L33</f>
        <v>163809590</v>
      </c>
      <c r="M34" s="235">
        <f>M36+M42-M30-M33</f>
        <v>0</v>
      </c>
      <c r="N34" s="235">
        <f t="shared" si="3"/>
        <v>163809590</v>
      </c>
      <c r="O34" s="235">
        <v>152376865</v>
      </c>
      <c r="P34" s="235">
        <f>P36+P42-P30-P33</f>
        <v>0</v>
      </c>
      <c r="Q34" s="235">
        <f t="shared" si="4"/>
        <v>152376865</v>
      </c>
      <c r="R34" s="39">
        <f>+N34-K34</f>
        <v>924000</v>
      </c>
    </row>
    <row r="35" spans="1:18" x14ac:dyDescent="0.25">
      <c r="A35" s="319"/>
      <c r="B35" s="320" t="s">
        <v>333</v>
      </c>
      <c r="C35" s="292">
        <f>C31+C22+C8</f>
        <v>171285590</v>
      </c>
      <c r="D35" s="292">
        <f>D31+D22+D8</f>
        <v>0</v>
      </c>
      <c r="E35" s="292">
        <f t="shared" si="0"/>
        <v>171285590</v>
      </c>
      <c r="F35" s="292">
        <f>F31+F22+F8</f>
        <v>180745107</v>
      </c>
      <c r="G35" s="292">
        <f>G31+G22+G8</f>
        <v>0</v>
      </c>
      <c r="H35" s="292">
        <f t="shared" si="1"/>
        <v>180745107</v>
      </c>
      <c r="I35" s="292">
        <f>I31+I22+I8</f>
        <v>181545107</v>
      </c>
      <c r="J35" s="292">
        <f>J31+J22+J8</f>
        <v>0</v>
      </c>
      <c r="K35" s="292">
        <f t="shared" si="2"/>
        <v>181545107</v>
      </c>
      <c r="L35" s="292">
        <f>L31+L22+L8</f>
        <v>182469107</v>
      </c>
      <c r="M35" s="292">
        <f>M31+M22+M8</f>
        <v>0</v>
      </c>
      <c r="N35" s="292">
        <f t="shared" si="3"/>
        <v>182469107</v>
      </c>
      <c r="O35" s="292">
        <f>O31+O22+O8</f>
        <v>172126454</v>
      </c>
      <c r="P35" s="292">
        <f>P31+P22+P8</f>
        <v>0</v>
      </c>
      <c r="Q35" s="292">
        <f t="shared" si="4"/>
        <v>172126454</v>
      </c>
    </row>
    <row r="36" spans="1:18" x14ac:dyDescent="0.25">
      <c r="A36" s="308" t="s">
        <v>309</v>
      </c>
      <c r="B36" s="309" t="s">
        <v>334</v>
      </c>
      <c r="C36" s="310">
        <f>SUM(C37:C41)</f>
        <v>170015590</v>
      </c>
      <c r="D36" s="310">
        <f>SUM(D37:D41)</f>
        <v>0</v>
      </c>
      <c r="E36" s="310">
        <f t="shared" si="0"/>
        <v>170015590</v>
      </c>
      <c r="F36" s="501">
        <f>SUM(F37:F41)</f>
        <v>179475107</v>
      </c>
      <c r="G36" s="501">
        <f>SUM(G37:G41)</f>
        <v>0</v>
      </c>
      <c r="H36" s="501">
        <f t="shared" si="1"/>
        <v>179475107</v>
      </c>
      <c r="I36" s="501">
        <f>SUM(I37:I41)</f>
        <v>180275107</v>
      </c>
      <c r="J36" s="501">
        <f>SUM(J37:J41)</f>
        <v>0</v>
      </c>
      <c r="K36" s="501">
        <f t="shared" si="2"/>
        <v>180275107</v>
      </c>
      <c r="L36" s="501">
        <f>SUM(L37:L41)</f>
        <v>181199107</v>
      </c>
      <c r="M36" s="501">
        <f>SUM(M37:M41)</f>
        <v>0</v>
      </c>
      <c r="N36" s="501">
        <f t="shared" si="3"/>
        <v>181199107</v>
      </c>
      <c r="O36" s="501">
        <f>SUM(O37:O41)</f>
        <v>169384932</v>
      </c>
      <c r="P36" s="501">
        <f>SUM(P37:P41)</f>
        <v>0</v>
      </c>
      <c r="Q36" s="501">
        <f t="shared" si="4"/>
        <v>169384932</v>
      </c>
      <c r="R36" s="39">
        <f>+N36-K36</f>
        <v>924000</v>
      </c>
    </row>
    <row r="37" spans="1:18" x14ac:dyDescent="0.25">
      <c r="A37" s="311" t="s">
        <v>311</v>
      </c>
      <c r="B37" s="312" t="s">
        <v>286</v>
      </c>
      <c r="C37" s="313">
        <f>'5 GSZNR fel'!E111+'5 GSZNR fel'!E117+'5 GSZNR fel'!E122</f>
        <v>91480000</v>
      </c>
      <c r="D37" s="313">
        <f>'5 GSZNR fel'!D111+'5 GSZNR fel'!D117+'5 GSZNR fel'!D122</f>
        <v>0</v>
      </c>
      <c r="E37" s="623">
        <f t="shared" si="0"/>
        <v>91480000</v>
      </c>
      <c r="F37" s="503">
        <f>'5 GSZNR fel'!H111+'5 GSZNR fel'!H117+'5 GSZNR fel'!H122</f>
        <v>91480000</v>
      </c>
      <c r="G37" s="503">
        <f>'5 GSZNR fel'!G111+'5 GSZNR fel'!G117+'5 GSZNR fel'!G122</f>
        <v>0</v>
      </c>
      <c r="H37" s="623">
        <f t="shared" si="1"/>
        <v>91480000</v>
      </c>
      <c r="I37" s="503">
        <f>'5 GSZNR fel'!K111+'5 GSZNR fel'!K117+'5 GSZNR fel'!K122</f>
        <v>91480000</v>
      </c>
      <c r="J37" s="503">
        <f>'5 GSZNR fel'!J111+'5 GSZNR fel'!J117+'5 GSZNR fel'!J122</f>
        <v>0</v>
      </c>
      <c r="K37" s="623">
        <f t="shared" si="2"/>
        <v>91480000</v>
      </c>
      <c r="L37" s="503">
        <f>'5 GSZNR fel'!N111+'5 GSZNR fel'!N117+'5 GSZNR fel'!N122</f>
        <v>92280000</v>
      </c>
      <c r="M37" s="503">
        <f>'5 GSZNR fel'!M111+'5 GSZNR fel'!M117+'5 GSZNR fel'!M122</f>
        <v>0</v>
      </c>
      <c r="N37" s="623">
        <f t="shared" si="3"/>
        <v>92280000</v>
      </c>
      <c r="O37" s="503">
        <f>'5 GSZNR fel'!Q111+'5 GSZNR fel'!Q117+'5 GSZNR fel'!Q122</f>
        <v>90020150</v>
      </c>
      <c r="P37" s="503">
        <f>'5 GSZNR fel'!P111+'5 GSZNR fel'!P117+'5 GSZNR fel'!P122</f>
        <v>0</v>
      </c>
      <c r="Q37" s="623">
        <f t="shared" si="4"/>
        <v>90020150</v>
      </c>
      <c r="R37" s="39">
        <f>+N37-K37</f>
        <v>800000</v>
      </c>
    </row>
    <row r="38" spans="1:18" x14ac:dyDescent="0.25">
      <c r="A38" s="311" t="s">
        <v>322</v>
      </c>
      <c r="B38" s="312" t="s">
        <v>335</v>
      </c>
      <c r="C38" s="313">
        <f>'5 GSZNR fel'!E112+'5 GSZNR fel'!E118+'5 GSZNR fel'!E123</f>
        <v>17491590</v>
      </c>
      <c r="D38" s="313">
        <f>'5 GSZNR fel'!D112+'5 GSZNR fel'!D118+'5 GSZNR fel'!D123</f>
        <v>0</v>
      </c>
      <c r="E38" s="623">
        <f t="shared" si="0"/>
        <v>17491590</v>
      </c>
      <c r="F38" s="503">
        <f>'5 GSZNR fel'!H112+'5 GSZNR fel'!H118+'5 GSZNR fel'!H123</f>
        <v>17491590</v>
      </c>
      <c r="G38" s="503">
        <f>'5 GSZNR fel'!G112+'5 GSZNR fel'!G118+'5 GSZNR fel'!G123</f>
        <v>0</v>
      </c>
      <c r="H38" s="623">
        <f t="shared" si="1"/>
        <v>17491590</v>
      </c>
      <c r="I38" s="503">
        <f>'5 GSZNR fel'!K112+'5 GSZNR fel'!K118+'5 GSZNR fel'!K123</f>
        <v>17491590</v>
      </c>
      <c r="J38" s="503">
        <f>'5 GSZNR fel'!J112+'5 GSZNR fel'!J118+'5 GSZNR fel'!J123</f>
        <v>0</v>
      </c>
      <c r="K38" s="623">
        <f t="shared" si="2"/>
        <v>17491590</v>
      </c>
      <c r="L38" s="503">
        <f>'5 GSZNR fel'!N112+'5 GSZNR fel'!N118+'5 GSZNR fel'!N123</f>
        <v>17615590</v>
      </c>
      <c r="M38" s="503">
        <f>'5 GSZNR fel'!M112+'5 GSZNR fel'!M118+'5 GSZNR fel'!M123</f>
        <v>0</v>
      </c>
      <c r="N38" s="623">
        <f t="shared" si="3"/>
        <v>17615590</v>
      </c>
      <c r="O38" s="503">
        <f>'5 GSZNR fel'!Q112+'5 GSZNR fel'!Q118+'5 GSZNR fel'!Q123</f>
        <v>15714848</v>
      </c>
      <c r="P38" s="503">
        <f>'5 GSZNR fel'!P112+'5 GSZNR fel'!P118+'5 GSZNR fel'!P123</f>
        <v>0</v>
      </c>
      <c r="Q38" s="623">
        <f t="shared" si="4"/>
        <v>15714848</v>
      </c>
      <c r="R38" s="39">
        <f>+N38-K38</f>
        <v>124000</v>
      </c>
    </row>
    <row r="39" spans="1:18" x14ac:dyDescent="0.25">
      <c r="A39" s="311" t="s">
        <v>315</v>
      </c>
      <c r="B39" s="312" t="s">
        <v>292</v>
      </c>
      <c r="C39" s="313">
        <f>'5 GSZNR fel'!E113+'5 GSZNR fel'!E119+'5 GSZNR fel'!E124</f>
        <v>61044000</v>
      </c>
      <c r="D39" s="313">
        <f>'5 GSZNR fel'!D113+'5 GSZNR fel'!D119+'5 GSZNR fel'!D124</f>
        <v>0</v>
      </c>
      <c r="E39" s="623">
        <f t="shared" si="0"/>
        <v>61044000</v>
      </c>
      <c r="F39" s="503">
        <f>'5 GSZNR fel'!H113+'5 GSZNR fel'!H119+'5 GSZNR fel'!H124</f>
        <v>61474790</v>
      </c>
      <c r="G39" s="503">
        <f>'5 GSZNR fel'!G113+'5 GSZNR fel'!G119+'5 GSZNR fel'!G124</f>
        <v>0</v>
      </c>
      <c r="H39" s="623">
        <f t="shared" si="1"/>
        <v>61474790</v>
      </c>
      <c r="I39" s="503">
        <f>'5 GSZNR fel'!K113+'5 GSZNR fel'!K119+'5 GSZNR fel'!K124</f>
        <v>62274790</v>
      </c>
      <c r="J39" s="503">
        <f>'5 GSZNR fel'!J113+'5 GSZNR fel'!J119+'5 GSZNR fel'!J124</f>
        <v>0</v>
      </c>
      <c r="K39" s="623">
        <f t="shared" si="2"/>
        <v>62274790</v>
      </c>
      <c r="L39" s="503">
        <f>'5 GSZNR fel'!N113+'5 GSZNR fel'!N119+'5 GSZNR fel'!N124+'5 GSZNR fel'!N127</f>
        <v>62274790</v>
      </c>
      <c r="M39" s="503">
        <f>'5 GSZNR fel'!M113+'5 GSZNR fel'!M119+'5 GSZNR fel'!M124</f>
        <v>0</v>
      </c>
      <c r="N39" s="623">
        <f t="shared" si="3"/>
        <v>62274790</v>
      </c>
      <c r="O39" s="503">
        <f>'5 GSZNR fel'!Q113+'5 GSZNR fel'!Q119+'5 GSZNR fel'!Q124+'5 GSZNR fel'!Q127</f>
        <v>54621207</v>
      </c>
      <c r="P39" s="503">
        <f>'5 GSZNR fel'!P113+'5 GSZNR fel'!P119+'5 GSZNR fel'!P124</f>
        <v>0</v>
      </c>
      <c r="Q39" s="623">
        <f t="shared" si="4"/>
        <v>54621207</v>
      </c>
    </row>
    <row r="40" spans="1:18" x14ac:dyDescent="0.25">
      <c r="A40" s="311" t="s">
        <v>336</v>
      </c>
      <c r="B40" s="312" t="s">
        <v>337</v>
      </c>
      <c r="C40" s="313">
        <v>0</v>
      </c>
      <c r="D40" s="313">
        <v>0</v>
      </c>
      <c r="E40" s="313">
        <f t="shared" si="0"/>
        <v>0</v>
      </c>
      <c r="F40" s="503">
        <v>0</v>
      </c>
      <c r="G40" s="503">
        <v>0</v>
      </c>
      <c r="H40" s="503">
        <f t="shared" si="1"/>
        <v>0</v>
      </c>
      <c r="I40" s="503">
        <v>0</v>
      </c>
      <c r="J40" s="503">
        <v>0</v>
      </c>
      <c r="K40" s="503">
        <f t="shared" si="2"/>
        <v>0</v>
      </c>
      <c r="L40" s="503">
        <v>0</v>
      </c>
      <c r="M40" s="503">
        <v>0</v>
      </c>
      <c r="N40" s="503">
        <f t="shared" si="3"/>
        <v>0</v>
      </c>
      <c r="O40" s="503">
        <v>0</v>
      </c>
      <c r="P40" s="503">
        <v>0</v>
      </c>
      <c r="Q40" s="503">
        <f t="shared" si="4"/>
        <v>0</v>
      </c>
    </row>
    <row r="41" spans="1:18" x14ac:dyDescent="0.25">
      <c r="A41" s="311" t="s">
        <v>338</v>
      </c>
      <c r="B41" s="312" t="s">
        <v>339</v>
      </c>
      <c r="C41" s="313">
        <f>+'5 GSZNR fel'!E114</f>
        <v>0</v>
      </c>
      <c r="D41" s="313">
        <v>0</v>
      </c>
      <c r="E41" s="313">
        <f t="shared" si="0"/>
        <v>0</v>
      </c>
      <c r="F41" s="503">
        <f>+'5 GSZNR fel'!H114</f>
        <v>9028727</v>
      </c>
      <c r="G41" s="503">
        <v>0</v>
      </c>
      <c r="H41" s="503">
        <f t="shared" si="1"/>
        <v>9028727</v>
      </c>
      <c r="I41" s="503">
        <f>+'5 GSZNR fel'!K114</f>
        <v>9028727</v>
      </c>
      <c r="J41" s="503">
        <v>0</v>
      </c>
      <c r="K41" s="503">
        <f t="shared" si="2"/>
        <v>9028727</v>
      </c>
      <c r="L41" s="503">
        <f>+'5 GSZNR fel'!N114</f>
        <v>9028727</v>
      </c>
      <c r="M41" s="503">
        <v>0</v>
      </c>
      <c r="N41" s="503">
        <f t="shared" si="3"/>
        <v>9028727</v>
      </c>
      <c r="O41" s="503">
        <f>+'5 GSZNR fel'!Q114</f>
        <v>9028727</v>
      </c>
      <c r="P41" s="503">
        <v>0</v>
      </c>
      <c r="Q41" s="503">
        <f t="shared" si="4"/>
        <v>9028727</v>
      </c>
    </row>
    <row r="42" spans="1:18" x14ac:dyDescent="0.25">
      <c r="A42" s="308" t="s">
        <v>318</v>
      </c>
      <c r="B42" s="309" t="s">
        <v>340</v>
      </c>
      <c r="C42" s="310">
        <f>SUM(C43:C45)</f>
        <v>1270000</v>
      </c>
      <c r="D42" s="310">
        <f>SUM(D43:D45)</f>
        <v>0</v>
      </c>
      <c r="E42" s="310">
        <f t="shared" si="0"/>
        <v>1270000</v>
      </c>
      <c r="F42" s="501">
        <f>SUM(F43:F45)</f>
        <v>1270000</v>
      </c>
      <c r="G42" s="501">
        <f>SUM(G43:G45)</f>
        <v>0</v>
      </c>
      <c r="H42" s="501">
        <f t="shared" si="1"/>
        <v>1270000</v>
      </c>
      <c r="I42" s="501">
        <f>SUM(I43:I45)</f>
        <v>1270000</v>
      </c>
      <c r="J42" s="501">
        <f>SUM(J43:J45)</f>
        <v>0</v>
      </c>
      <c r="K42" s="501">
        <f t="shared" si="2"/>
        <v>1270000</v>
      </c>
      <c r="L42" s="501">
        <f>SUM(L43:L45)</f>
        <v>1270000</v>
      </c>
      <c r="M42" s="501">
        <f>SUM(M43:M45)</f>
        <v>0</v>
      </c>
      <c r="N42" s="501">
        <f t="shared" si="3"/>
        <v>1270000</v>
      </c>
      <c r="O42" s="501">
        <f>SUM(O43:O45)</f>
        <v>1044088</v>
      </c>
      <c r="P42" s="501">
        <f>SUM(P43:P45)</f>
        <v>0</v>
      </c>
      <c r="Q42" s="501">
        <f t="shared" si="4"/>
        <v>1044088</v>
      </c>
    </row>
    <row r="43" spans="1:18" x14ac:dyDescent="0.25">
      <c r="A43" s="311" t="s">
        <v>311</v>
      </c>
      <c r="B43" s="312" t="s">
        <v>341</v>
      </c>
      <c r="C43" s="313">
        <f>'5 GSZNR fel'!E115+'5 GSZNR fel'!E120+'5 GSZNR fel'!E125</f>
        <v>1270000</v>
      </c>
      <c r="D43" s="313">
        <f>'5 GSZNR fel'!D115+'5 GSZNR fel'!D120+'5 GSZNR fel'!D125</f>
        <v>0</v>
      </c>
      <c r="E43" s="313">
        <f t="shared" si="0"/>
        <v>1270000</v>
      </c>
      <c r="F43" s="503">
        <f>'5 GSZNR fel'!H115+'5 GSZNR fel'!H120+'5 GSZNR fel'!H125</f>
        <v>1270000</v>
      </c>
      <c r="G43" s="503">
        <f>'5 GSZNR fel'!G115+'5 GSZNR fel'!G120+'5 GSZNR fel'!G125</f>
        <v>0</v>
      </c>
      <c r="H43" s="503">
        <f t="shared" si="1"/>
        <v>1270000</v>
      </c>
      <c r="I43" s="503">
        <f>'5 GSZNR fel'!K115+'5 GSZNR fel'!K120+'5 GSZNR fel'!K125</f>
        <v>1270000</v>
      </c>
      <c r="J43" s="503">
        <f>'5 GSZNR fel'!J115+'5 GSZNR fel'!J120+'5 GSZNR fel'!J125</f>
        <v>0</v>
      </c>
      <c r="K43" s="503">
        <f t="shared" si="2"/>
        <v>1270000</v>
      </c>
      <c r="L43" s="503">
        <f>'5 GSZNR fel'!N115+'5 GSZNR fel'!N120+'5 GSZNR fel'!N125</f>
        <v>1270000</v>
      </c>
      <c r="M43" s="503">
        <f>'5 GSZNR fel'!M115+'5 GSZNR fel'!M120+'5 GSZNR fel'!M125</f>
        <v>0</v>
      </c>
      <c r="N43" s="503">
        <f t="shared" si="3"/>
        <v>1270000</v>
      </c>
      <c r="O43" s="503">
        <f>'5 GSZNR fel'!Q115+'5 GSZNR fel'!Q120+'5 GSZNR fel'!Q125</f>
        <v>1044088</v>
      </c>
      <c r="P43" s="503">
        <f>'5 GSZNR fel'!P115+'5 GSZNR fel'!P120+'5 GSZNR fel'!P125</f>
        <v>0</v>
      </c>
      <c r="Q43" s="503">
        <f t="shared" si="4"/>
        <v>1044088</v>
      </c>
    </row>
    <row r="44" spans="1:18" x14ac:dyDescent="0.25">
      <c r="A44" s="311" t="s">
        <v>322</v>
      </c>
      <c r="B44" s="312" t="s">
        <v>342</v>
      </c>
      <c r="C44" s="313">
        <v>0</v>
      </c>
      <c r="D44" s="313">
        <v>0</v>
      </c>
      <c r="E44" s="313">
        <f t="shared" si="0"/>
        <v>0</v>
      </c>
      <c r="F44" s="503">
        <v>0</v>
      </c>
      <c r="G44" s="503">
        <v>0</v>
      </c>
      <c r="H44" s="503">
        <f t="shared" si="1"/>
        <v>0</v>
      </c>
      <c r="I44" s="503">
        <v>0</v>
      </c>
      <c r="J44" s="503">
        <v>0</v>
      </c>
      <c r="K44" s="503">
        <f t="shared" si="2"/>
        <v>0</v>
      </c>
      <c r="L44" s="503">
        <v>0</v>
      </c>
      <c r="M44" s="503">
        <v>0</v>
      </c>
      <c r="N44" s="503">
        <f t="shared" si="3"/>
        <v>0</v>
      </c>
      <c r="O44" s="503">
        <v>0</v>
      </c>
      <c r="P44" s="503">
        <v>0</v>
      </c>
      <c r="Q44" s="503">
        <f t="shared" si="4"/>
        <v>0</v>
      </c>
    </row>
    <row r="45" spans="1:18" x14ac:dyDescent="0.25">
      <c r="A45" s="311" t="s">
        <v>315</v>
      </c>
      <c r="B45" s="312" t="s">
        <v>343</v>
      </c>
      <c r="C45" s="313">
        <v>0</v>
      </c>
      <c r="D45" s="313">
        <v>0</v>
      </c>
      <c r="E45" s="313">
        <f t="shared" si="0"/>
        <v>0</v>
      </c>
      <c r="F45" s="503">
        <v>0</v>
      </c>
      <c r="G45" s="503">
        <v>0</v>
      </c>
      <c r="H45" s="503">
        <f t="shared" si="1"/>
        <v>0</v>
      </c>
      <c r="I45" s="503">
        <v>0</v>
      </c>
      <c r="J45" s="503">
        <v>0</v>
      </c>
      <c r="K45" s="503">
        <f t="shared" si="2"/>
        <v>0</v>
      </c>
      <c r="L45" s="503">
        <v>0</v>
      </c>
      <c r="M45" s="503">
        <v>0</v>
      </c>
      <c r="N45" s="503">
        <f t="shared" si="3"/>
        <v>0</v>
      </c>
      <c r="O45" s="503">
        <v>0</v>
      </c>
      <c r="P45" s="503">
        <v>0</v>
      </c>
      <c r="Q45" s="503">
        <f t="shared" si="4"/>
        <v>0</v>
      </c>
    </row>
    <row r="46" spans="1:18" x14ac:dyDescent="0.25">
      <c r="A46" s="319"/>
      <c r="B46" s="320" t="s">
        <v>344</v>
      </c>
      <c r="C46" s="292">
        <f>C36+C42</f>
        <v>171285590</v>
      </c>
      <c r="D46" s="292">
        <f>D36+D42</f>
        <v>0</v>
      </c>
      <c r="E46" s="292">
        <f t="shared" si="0"/>
        <v>171285590</v>
      </c>
      <c r="F46" s="292">
        <f>F36+F42</f>
        <v>180745107</v>
      </c>
      <c r="G46" s="292">
        <f>G36+G42</f>
        <v>0</v>
      </c>
      <c r="H46" s="292">
        <f t="shared" si="1"/>
        <v>180745107</v>
      </c>
      <c r="I46" s="292">
        <f>I36+I42</f>
        <v>181545107</v>
      </c>
      <c r="J46" s="292">
        <f>J36+J42</f>
        <v>0</v>
      </c>
      <c r="K46" s="292">
        <f t="shared" si="2"/>
        <v>181545107</v>
      </c>
      <c r="L46" s="292">
        <f>L36+L42</f>
        <v>182469107</v>
      </c>
      <c r="M46" s="292">
        <f>M36+M42</f>
        <v>0</v>
      </c>
      <c r="N46" s="292">
        <f t="shared" si="3"/>
        <v>182469107</v>
      </c>
      <c r="O46" s="292">
        <f>O36+O42</f>
        <v>170429020</v>
      </c>
      <c r="P46" s="292">
        <f>P36+P42</f>
        <v>0</v>
      </c>
      <c r="Q46" s="292">
        <f t="shared" si="4"/>
        <v>170429020</v>
      </c>
    </row>
    <row r="47" spans="1:18" x14ac:dyDescent="0.25">
      <c r="H47" s="39">
        <f>+H46-E46</f>
        <v>9459517</v>
      </c>
      <c r="K47" s="39">
        <f>+K46-H46</f>
        <v>800000</v>
      </c>
      <c r="N47" s="39">
        <f>+N46-K46</f>
        <v>924000</v>
      </c>
      <c r="Q47" s="39">
        <f>+Q46-N46</f>
        <v>-12040087</v>
      </c>
    </row>
  </sheetData>
  <mergeCells count="7">
    <mergeCell ref="O4:Q4"/>
    <mergeCell ref="A4:A5"/>
    <mergeCell ref="C4:E4"/>
    <mergeCell ref="B4:B5"/>
    <mergeCell ref="F4:H4"/>
    <mergeCell ref="I4:K4"/>
    <mergeCell ref="L4:N4"/>
  </mergeCells>
  <printOptions horizontalCentered="1"/>
  <pageMargins left="0.19685039370078741" right="0.19685039370078741" top="0.82677165354330717" bottom="0.19685039370078741" header="0.31496062992125984" footer="0.31496062992125984"/>
  <pageSetup paperSize="9" scale="80" fitToWidth="0" fitToHeight="0" orientation="landscape" copies="2" r:id="rId1"/>
  <headerFooter>
    <oddHeader>&amp;L4/F.  melléklet a ......./2021. (.................) önkormányzati rendelethez&amp;C&amp;"-,Félkövér"&amp;16
A Segítő Kéz Szolgálat 2020. évi bevételei és kiadásai jogcímenként és feladatonként</oddHeader>
    <oddFooter>&amp;C&amp;P&amp;R&amp;D,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9AB456-E567-444C-8233-6548C4AF102A}">
  <sheetPr>
    <pageSetUpPr fitToPage="1"/>
  </sheetPr>
  <dimension ref="A1:N74"/>
  <sheetViews>
    <sheetView view="pageBreakPreview" zoomScaleNormal="90" zoomScaleSheetLayoutView="100" workbookViewId="0"/>
  </sheetViews>
  <sheetFormatPr defaultRowHeight="15" x14ac:dyDescent="0.25"/>
  <cols>
    <col min="1" max="1" width="5.7109375" customWidth="1"/>
    <col min="2" max="2" width="38.85546875" customWidth="1"/>
    <col min="3" max="3" width="14.7109375" customWidth="1"/>
    <col min="4" max="4" width="13.7109375" customWidth="1"/>
    <col min="5" max="5" width="12.7109375" bestFit="1" customWidth="1"/>
    <col min="6" max="6" width="13.85546875" customWidth="1"/>
    <col min="7" max="7" width="5.85546875" customWidth="1"/>
    <col min="8" max="8" width="43.85546875" customWidth="1"/>
    <col min="9" max="9" width="14.140625" customWidth="1"/>
    <col min="10" max="10" width="13" customWidth="1"/>
    <col min="11" max="11" width="12.7109375" bestFit="1" customWidth="1"/>
    <col min="12" max="12" width="15.7109375" customWidth="1"/>
    <col min="257" max="257" width="5.7109375" customWidth="1"/>
    <col min="258" max="258" width="38.85546875" customWidth="1"/>
    <col min="259" max="259" width="14.7109375" customWidth="1"/>
    <col min="260" max="260" width="13.7109375" customWidth="1"/>
    <col min="261" max="261" width="12.7109375" bestFit="1" customWidth="1"/>
    <col min="262" max="262" width="13.85546875" customWidth="1"/>
    <col min="263" max="263" width="5.85546875" customWidth="1"/>
    <col min="264" max="264" width="43.85546875" customWidth="1"/>
    <col min="265" max="265" width="14.140625" customWidth="1"/>
    <col min="266" max="266" width="13" customWidth="1"/>
    <col min="267" max="267" width="12.7109375" bestFit="1" customWidth="1"/>
    <col min="268" max="268" width="15.7109375" customWidth="1"/>
    <col min="513" max="513" width="5.7109375" customWidth="1"/>
    <col min="514" max="514" width="38.85546875" customWidth="1"/>
    <col min="515" max="515" width="14.7109375" customWidth="1"/>
    <col min="516" max="516" width="13.7109375" customWidth="1"/>
    <col min="517" max="517" width="12.7109375" bestFit="1" customWidth="1"/>
    <col min="518" max="518" width="13.85546875" customWidth="1"/>
    <col min="519" max="519" width="5.85546875" customWidth="1"/>
    <col min="520" max="520" width="43.85546875" customWidth="1"/>
    <col min="521" max="521" width="14.140625" customWidth="1"/>
    <col min="522" max="522" width="13" customWidth="1"/>
    <col min="523" max="523" width="12.7109375" bestFit="1" customWidth="1"/>
    <col min="524" max="524" width="15.7109375" customWidth="1"/>
    <col min="769" max="769" width="5.7109375" customWidth="1"/>
    <col min="770" max="770" width="38.85546875" customWidth="1"/>
    <col min="771" max="771" width="14.7109375" customWidth="1"/>
    <col min="772" max="772" width="13.7109375" customWidth="1"/>
    <col min="773" max="773" width="12.7109375" bestFit="1" customWidth="1"/>
    <col min="774" max="774" width="13.85546875" customWidth="1"/>
    <col min="775" max="775" width="5.85546875" customWidth="1"/>
    <col min="776" max="776" width="43.85546875" customWidth="1"/>
    <col min="777" max="777" width="14.140625" customWidth="1"/>
    <col min="778" max="778" width="13" customWidth="1"/>
    <col min="779" max="779" width="12.7109375" bestFit="1" customWidth="1"/>
    <col min="780" max="780" width="15.7109375" customWidth="1"/>
    <col min="1025" max="1025" width="5.7109375" customWidth="1"/>
    <col min="1026" max="1026" width="38.85546875" customWidth="1"/>
    <col min="1027" max="1027" width="14.7109375" customWidth="1"/>
    <col min="1028" max="1028" width="13.7109375" customWidth="1"/>
    <col min="1029" max="1029" width="12.7109375" bestFit="1" customWidth="1"/>
    <col min="1030" max="1030" width="13.85546875" customWidth="1"/>
    <col min="1031" max="1031" width="5.85546875" customWidth="1"/>
    <col min="1032" max="1032" width="43.85546875" customWidth="1"/>
    <col min="1033" max="1033" width="14.140625" customWidth="1"/>
    <col min="1034" max="1034" width="13" customWidth="1"/>
    <col min="1035" max="1035" width="12.7109375" bestFit="1" customWidth="1"/>
    <col min="1036" max="1036" width="15.7109375" customWidth="1"/>
    <col min="1281" max="1281" width="5.7109375" customWidth="1"/>
    <col min="1282" max="1282" width="38.85546875" customWidth="1"/>
    <col min="1283" max="1283" width="14.7109375" customWidth="1"/>
    <col min="1284" max="1284" width="13.7109375" customWidth="1"/>
    <col min="1285" max="1285" width="12.7109375" bestFit="1" customWidth="1"/>
    <col min="1286" max="1286" width="13.85546875" customWidth="1"/>
    <col min="1287" max="1287" width="5.85546875" customWidth="1"/>
    <col min="1288" max="1288" width="43.85546875" customWidth="1"/>
    <col min="1289" max="1289" width="14.140625" customWidth="1"/>
    <col min="1290" max="1290" width="13" customWidth="1"/>
    <col min="1291" max="1291" width="12.7109375" bestFit="1" customWidth="1"/>
    <col min="1292" max="1292" width="15.7109375" customWidth="1"/>
    <col min="1537" max="1537" width="5.7109375" customWidth="1"/>
    <col min="1538" max="1538" width="38.85546875" customWidth="1"/>
    <col min="1539" max="1539" width="14.7109375" customWidth="1"/>
    <col min="1540" max="1540" width="13.7109375" customWidth="1"/>
    <col min="1541" max="1541" width="12.7109375" bestFit="1" customWidth="1"/>
    <col min="1542" max="1542" width="13.85546875" customWidth="1"/>
    <col min="1543" max="1543" width="5.85546875" customWidth="1"/>
    <col min="1544" max="1544" width="43.85546875" customWidth="1"/>
    <col min="1545" max="1545" width="14.140625" customWidth="1"/>
    <col min="1546" max="1546" width="13" customWidth="1"/>
    <col min="1547" max="1547" width="12.7109375" bestFit="1" customWidth="1"/>
    <col min="1548" max="1548" width="15.7109375" customWidth="1"/>
    <col min="1793" max="1793" width="5.7109375" customWidth="1"/>
    <col min="1794" max="1794" width="38.85546875" customWidth="1"/>
    <col min="1795" max="1795" width="14.7109375" customWidth="1"/>
    <col min="1796" max="1796" width="13.7109375" customWidth="1"/>
    <col min="1797" max="1797" width="12.7109375" bestFit="1" customWidth="1"/>
    <col min="1798" max="1798" width="13.85546875" customWidth="1"/>
    <col min="1799" max="1799" width="5.85546875" customWidth="1"/>
    <col min="1800" max="1800" width="43.85546875" customWidth="1"/>
    <col min="1801" max="1801" width="14.140625" customWidth="1"/>
    <col min="1802" max="1802" width="13" customWidth="1"/>
    <col min="1803" max="1803" width="12.7109375" bestFit="1" customWidth="1"/>
    <col min="1804" max="1804" width="15.7109375" customWidth="1"/>
    <col min="2049" max="2049" width="5.7109375" customWidth="1"/>
    <col min="2050" max="2050" width="38.85546875" customWidth="1"/>
    <col min="2051" max="2051" width="14.7109375" customWidth="1"/>
    <col min="2052" max="2052" width="13.7109375" customWidth="1"/>
    <col min="2053" max="2053" width="12.7109375" bestFit="1" customWidth="1"/>
    <col min="2054" max="2054" width="13.85546875" customWidth="1"/>
    <col min="2055" max="2055" width="5.85546875" customWidth="1"/>
    <col min="2056" max="2056" width="43.85546875" customWidth="1"/>
    <col min="2057" max="2057" width="14.140625" customWidth="1"/>
    <col min="2058" max="2058" width="13" customWidth="1"/>
    <col min="2059" max="2059" width="12.7109375" bestFit="1" customWidth="1"/>
    <col min="2060" max="2060" width="15.7109375" customWidth="1"/>
    <col min="2305" max="2305" width="5.7109375" customWidth="1"/>
    <col min="2306" max="2306" width="38.85546875" customWidth="1"/>
    <col min="2307" max="2307" width="14.7109375" customWidth="1"/>
    <col min="2308" max="2308" width="13.7109375" customWidth="1"/>
    <col min="2309" max="2309" width="12.7109375" bestFit="1" customWidth="1"/>
    <col min="2310" max="2310" width="13.85546875" customWidth="1"/>
    <col min="2311" max="2311" width="5.85546875" customWidth="1"/>
    <col min="2312" max="2312" width="43.85546875" customWidth="1"/>
    <col min="2313" max="2313" width="14.140625" customWidth="1"/>
    <col min="2314" max="2314" width="13" customWidth="1"/>
    <col min="2315" max="2315" width="12.7109375" bestFit="1" customWidth="1"/>
    <col min="2316" max="2316" width="15.7109375" customWidth="1"/>
    <col min="2561" max="2561" width="5.7109375" customWidth="1"/>
    <col min="2562" max="2562" width="38.85546875" customWidth="1"/>
    <col min="2563" max="2563" width="14.7109375" customWidth="1"/>
    <col min="2564" max="2564" width="13.7109375" customWidth="1"/>
    <col min="2565" max="2565" width="12.7109375" bestFit="1" customWidth="1"/>
    <col min="2566" max="2566" width="13.85546875" customWidth="1"/>
    <col min="2567" max="2567" width="5.85546875" customWidth="1"/>
    <col min="2568" max="2568" width="43.85546875" customWidth="1"/>
    <col min="2569" max="2569" width="14.140625" customWidth="1"/>
    <col min="2570" max="2570" width="13" customWidth="1"/>
    <col min="2571" max="2571" width="12.7109375" bestFit="1" customWidth="1"/>
    <col min="2572" max="2572" width="15.7109375" customWidth="1"/>
    <col min="2817" max="2817" width="5.7109375" customWidth="1"/>
    <col min="2818" max="2818" width="38.85546875" customWidth="1"/>
    <col min="2819" max="2819" width="14.7109375" customWidth="1"/>
    <col min="2820" max="2820" width="13.7109375" customWidth="1"/>
    <col min="2821" max="2821" width="12.7109375" bestFit="1" customWidth="1"/>
    <col min="2822" max="2822" width="13.85546875" customWidth="1"/>
    <col min="2823" max="2823" width="5.85546875" customWidth="1"/>
    <col min="2824" max="2824" width="43.85546875" customWidth="1"/>
    <col min="2825" max="2825" width="14.140625" customWidth="1"/>
    <col min="2826" max="2826" width="13" customWidth="1"/>
    <col min="2827" max="2827" width="12.7109375" bestFit="1" customWidth="1"/>
    <col min="2828" max="2828" width="15.7109375" customWidth="1"/>
    <col min="3073" max="3073" width="5.7109375" customWidth="1"/>
    <col min="3074" max="3074" width="38.85546875" customWidth="1"/>
    <col min="3075" max="3075" width="14.7109375" customWidth="1"/>
    <col min="3076" max="3076" width="13.7109375" customWidth="1"/>
    <col min="3077" max="3077" width="12.7109375" bestFit="1" customWidth="1"/>
    <col min="3078" max="3078" width="13.85546875" customWidth="1"/>
    <col min="3079" max="3079" width="5.85546875" customWidth="1"/>
    <col min="3080" max="3080" width="43.85546875" customWidth="1"/>
    <col min="3081" max="3081" width="14.140625" customWidth="1"/>
    <col min="3082" max="3082" width="13" customWidth="1"/>
    <col min="3083" max="3083" width="12.7109375" bestFit="1" customWidth="1"/>
    <col min="3084" max="3084" width="15.7109375" customWidth="1"/>
    <col min="3329" max="3329" width="5.7109375" customWidth="1"/>
    <col min="3330" max="3330" width="38.85546875" customWidth="1"/>
    <col min="3331" max="3331" width="14.7109375" customWidth="1"/>
    <col min="3332" max="3332" width="13.7109375" customWidth="1"/>
    <col min="3333" max="3333" width="12.7109375" bestFit="1" customWidth="1"/>
    <col min="3334" max="3334" width="13.85546875" customWidth="1"/>
    <col min="3335" max="3335" width="5.85546875" customWidth="1"/>
    <col min="3336" max="3336" width="43.85546875" customWidth="1"/>
    <col min="3337" max="3337" width="14.140625" customWidth="1"/>
    <col min="3338" max="3338" width="13" customWidth="1"/>
    <col min="3339" max="3339" width="12.7109375" bestFit="1" customWidth="1"/>
    <col min="3340" max="3340" width="15.7109375" customWidth="1"/>
    <col min="3585" max="3585" width="5.7109375" customWidth="1"/>
    <col min="3586" max="3586" width="38.85546875" customWidth="1"/>
    <col min="3587" max="3587" width="14.7109375" customWidth="1"/>
    <col min="3588" max="3588" width="13.7109375" customWidth="1"/>
    <col min="3589" max="3589" width="12.7109375" bestFit="1" customWidth="1"/>
    <col min="3590" max="3590" width="13.85546875" customWidth="1"/>
    <col min="3591" max="3591" width="5.85546875" customWidth="1"/>
    <col min="3592" max="3592" width="43.85546875" customWidth="1"/>
    <col min="3593" max="3593" width="14.140625" customWidth="1"/>
    <col min="3594" max="3594" width="13" customWidth="1"/>
    <col min="3595" max="3595" width="12.7109375" bestFit="1" customWidth="1"/>
    <col min="3596" max="3596" width="15.7109375" customWidth="1"/>
    <col min="3841" max="3841" width="5.7109375" customWidth="1"/>
    <col min="3842" max="3842" width="38.85546875" customWidth="1"/>
    <col min="3843" max="3843" width="14.7109375" customWidth="1"/>
    <col min="3844" max="3844" width="13.7109375" customWidth="1"/>
    <col min="3845" max="3845" width="12.7109375" bestFit="1" customWidth="1"/>
    <col min="3846" max="3846" width="13.85546875" customWidth="1"/>
    <col min="3847" max="3847" width="5.85546875" customWidth="1"/>
    <col min="3848" max="3848" width="43.85546875" customWidth="1"/>
    <col min="3849" max="3849" width="14.140625" customWidth="1"/>
    <col min="3850" max="3850" width="13" customWidth="1"/>
    <col min="3851" max="3851" width="12.7109375" bestFit="1" customWidth="1"/>
    <col min="3852" max="3852" width="15.7109375" customWidth="1"/>
    <col min="4097" max="4097" width="5.7109375" customWidth="1"/>
    <col min="4098" max="4098" width="38.85546875" customWidth="1"/>
    <col min="4099" max="4099" width="14.7109375" customWidth="1"/>
    <col min="4100" max="4100" width="13.7109375" customWidth="1"/>
    <col min="4101" max="4101" width="12.7109375" bestFit="1" customWidth="1"/>
    <col min="4102" max="4102" width="13.85546875" customWidth="1"/>
    <col min="4103" max="4103" width="5.85546875" customWidth="1"/>
    <col min="4104" max="4104" width="43.85546875" customWidth="1"/>
    <col min="4105" max="4105" width="14.140625" customWidth="1"/>
    <col min="4106" max="4106" width="13" customWidth="1"/>
    <col min="4107" max="4107" width="12.7109375" bestFit="1" customWidth="1"/>
    <col min="4108" max="4108" width="15.7109375" customWidth="1"/>
    <col min="4353" max="4353" width="5.7109375" customWidth="1"/>
    <col min="4354" max="4354" width="38.85546875" customWidth="1"/>
    <col min="4355" max="4355" width="14.7109375" customWidth="1"/>
    <col min="4356" max="4356" width="13.7109375" customWidth="1"/>
    <col min="4357" max="4357" width="12.7109375" bestFit="1" customWidth="1"/>
    <col min="4358" max="4358" width="13.85546875" customWidth="1"/>
    <col min="4359" max="4359" width="5.85546875" customWidth="1"/>
    <col min="4360" max="4360" width="43.85546875" customWidth="1"/>
    <col min="4361" max="4361" width="14.140625" customWidth="1"/>
    <col min="4362" max="4362" width="13" customWidth="1"/>
    <col min="4363" max="4363" width="12.7109375" bestFit="1" customWidth="1"/>
    <col min="4364" max="4364" width="15.7109375" customWidth="1"/>
    <col min="4609" max="4609" width="5.7109375" customWidth="1"/>
    <col min="4610" max="4610" width="38.85546875" customWidth="1"/>
    <col min="4611" max="4611" width="14.7109375" customWidth="1"/>
    <col min="4612" max="4612" width="13.7109375" customWidth="1"/>
    <col min="4613" max="4613" width="12.7109375" bestFit="1" customWidth="1"/>
    <col min="4614" max="4614" width="13.85546875" customWidth="1"/>
    <col min="4615" max="4615" width="5.85546875" customWidth="1"/>
    <col min="4616" max="4616" width="43.85546875" customWidth="1"/>
    <col min="4617" max="4617" width="14.140625" customWidth="1"/>
    <col min="4618" max="4618" width="13" customWidth="1"/>
    <col min="4619" max="4619" width="12.7109375" bestFit="1" customWidth="1"/>
    <col min="4620" max="4620" width="15.7109375" customWidth="1"/>
    <col min="4865" max="4865" width="5.7109375" customWidth="1"/>
    <col min="4866" max="4866" width="38.85546875" customWidth="1"/>
    <col min="4867" max="4867" width="14.7109375" customWidth="1"/>
    <col min="4868" max="4868" width="13.7109375" customWidth="1"/>
    <col min="4869" max="4869" width="12.7109375" bestFit="1" customWidth="1"/>
    <col min="4870" max="4870" width="13.85546875" customWidth="1"/>
    <col min="4871" max="4871" width="5.85546875" customWidth="1"/>
    <col min="4872" max="4872" width="43.85546875" customWidth="1"/>
    <col min="4873" max="4873" width="14.140625" customWidth="1"/>
    <col min="4874" max="4874" width="13" customWidth="1"/>
    <col min="4875" max="4875" width="12.7109375" bestFit="1" customWidth="1"/>
    <col min="4876" max="4876" width="15.7109375" customWidth="1"/>
    <col min="5121" max="5121" width="5.7109375" customWidth="1"/>
    <col min="5122" max="5122" width="38.85546875" customWidth="1"/>
    <col min="5123" max="5123" width="14.7109375" customWidth="1"/>
    <col min="5124" max="5124" width="13.7109375" customWidth="1"/>
    <col min="5125" max="5125" width="12.7109375" bestFit="1" customWidth="1"/>
    <col min="5126" max="5126" width="13.85546875" customWidth="1"/>
    <col min="5127" max="5127" width="5.85546875" customWidth="1"/>
    <col min="5128" max="5128" width="43.85546875" customWidth="1"/>
    <col min="5129" max="5129" width="14.140625" customWidth="1"/>
    <col min="5130" max="5130" width="13" customWidth="1"/>
    <col min="5131" max="5131" width="12.7109375" bestFit="1" customWidth="1"/>
    <col min="5132" max="5132" width="15.7109375" customWidth="1"/>
    <col min="5377" max="5377" width="5.7109375" customWidth="1"/>
    <col min="5378" max="5378" width="38.85546875" customWidth="1"/>
    <col min="5379" max="5379" width="14.7109375" customWidth="1"/>
    <col min="5380" max="5380" width="13.7109375" customWidth="1"/>
    <col min="5381" max="5381" width="12.7109375" bestFit="1" customWidth="1"/>
    <col min="5382" max="5382" width="13.85546875" customWidth="1"/>
    <col min="5383" max="5383" width="5.85546875" customWidth="1"/>
    <col min="5384" max="5384" width="43.85546875" customWidth="1"/>
    <col min="5385" max="5385" width="14.140625" customWidth="1"/>
    <col min="5386" max="5386" width="13" customWidth="1"/>
    <col min="5387" max="5387" width="12.7109375" bestFit="1" customWidth="1"/>
    <col min="5388" max="5388" width="15.7109375" customWidth="1"/>
    <col min="5633" max="5633" width="5.7109375" customWidth="1"/>
    <col min="5634" max="5634" width="38.85546875" customWidth="1"/>
    <col min="5635" max="5635" width="14.7109375" customWidth="1"/>
    <col min="5636" max="5636" width="13.7109375" customWidth="1"/>
    <col min="5637" max="5637" width="12.7109375" bestFit="1" customWidth="1"/>
    <col min="5638" max="5638" width="13.85546875" customWidth="1"/>
    <col min="5639" max="5639" width="5.85546875" customWidth="1"/>
    <col min="5640" max="5640" width="43.85546875" customWidth="1"/>
    <col min="5641" max="5641" width="14.140625" customWidth="1"/>
    <col min="5642" max="5642" width="13" customWidth="1"/>
    <col min="5643" max="5643" width="12.7109375" bestFit="1" customWidth="1"/>
    <col min="5644" max="5644" width="15.7109375" customWidth="1"/>
    <col min="5889" max="5889" width="5.7109375" customWidth="1"/>
    <col min="5890" max="5890" width="38.85546875" customWidth="1"/>
    <col min="5891" max="5891" width="14.7109375" customWidth="1"/>
    <col min="5892" max="5892" width="13.7109375" customWidth="1"/>
    <col min="5893" max="5893" width="12.7109375" bestFit="1" customWidth="1"/>
    <col min="5894" max="5894" width="13.85546875" customWidth="1"/>
    <col min="5895" max="5895" width="5.85546875" customWidth="1"/>
    <col min="5896" max="5896" width="43.85546875" customWidth="1"/>
    <col min="5897" max="5897" width="14.140625" customWidth="1"/>
    <col min="5898" max="5898" width="13" customWidth="1"/>
    <col min="5899" max="5899" width="12.7109375" bestFit="1" customWidth="1"/>
    <col min="5900" max="5900" width="15.7109375" customWidth="1"/>
    <col min="6145" max="6145" width="5.7109375" customWidth="1"/>
    <col min="6146" max="6146" width="38.85546875" customWidth="1"/>
    <col min="6147" max="6147" width="14.7109375" customWidth="1"/>
    <col min="6148" max="6148" width="13.7109375" customWidth="1"/>
    <col min="6149" max="6149" width="12.7109375" bestFit="1" customWidth="1"/>
    <col min="6150" max="6150" width="13.85546875" customWidth="1"/>
    <col min="6151" max="6151" width="5.85546875" customWidth="1"/>
    <col min="6152" max="6152" width="43.85546875" customWidth="1"/>
    <col min="6153" max="6153" width="14.140625" customWidth="1"/>
    <col min="6154" max="6154" width="13" customWidth="1"/>
    <col min="6155" max="6155" width="12.7109375" bestFit="1" customWidth="1"/>
    <col min="6156" max="6156" width="15.7109375" customWidth="1"/>
    <col min="6401" max="6401" width="5.7109375" customWidth="1"/>
    <col min="6402" max="6402" width="38.85546875" customWidth="1"/>
    <col min="6403" max="6403" width="14.7109375" customWidth="1"/>
    <col min="6404" max="6404" width="13.7109375" customWidth="1"/>
    <col min="6405" max="6405" width="12.7109375" bestFit="1" customWidth="1"/>
    <col min="6406" max="6406" width="13.85546875" customWidth="1"/>
    <col min="6407" max="6407" width="5.85546875" customWidth="1"/>
    <col min="6408" max="6408" width="43.85546875" customWidth="1"/>
    <col min="6409" max="6409" width="14.140625" customWidth="1"/>
    <col min="6410" max="6410" width="13" customWidth="1"/>
    <col min="6411" max="6411" width="12.7109375" bestFit="1" customWidth="1"/>
    <col min="6412" max="6412" width="15.7109375" customWidth="1"/>
    <col min="6657" max="6657" width="5.7109375" customWidth="1"/>
    <col min="6658" max="6658" width="38.85546875" customWidth="1"/>
    <col min="6659" max="6659" width="14.7109375" customWidth="1"/>
    <col min="6660" max="6660" width="13.7109375" customWidth="1"/>
    <col min="6661" max="6661" width="12.7109375" bestFit="1" customWidth="1"/>
    <col min="6662" max="6662" width="13.85546875" customWidth="1"/>
    <col min="6663" max="6663" width="5.85546875" customWidth="1"/>
    <col min="6664" max="6664" width="43.85546875" customWidth="1"/>
    <col min="6665" max="6665" width="14.140625" customWidth="1"/>
    <col min="6666" max="6666" width="13" customWidth="1"/>
    <col min="6667" max="6667" width="12.7109375" bestFit="1" customWidth="1"/>
    <col min="6668" max="6668" width="15.7109375" customWidth="1"/>
    <col min="6913" max="6913" width="5.7109375" customWidth="1"/>
    <col min="6914" max="6914" width="38.85546875" customWidth="1"/>
    <col min="6915" max="6915" width="14.7109375" customWidth="1"/>
    <col min="6916" max="6916" width="13.7109375" customWidth="1"/>
    <col min="6917" max="6917" width="12.7109375" bestFit="1" customWidth="1"/>
    <col min="6918" max="6918" width="13.85546875" customWidth="1"/>
    <col min="6919" max="6919" width="5.85546875" customWidth="1"/>
    <col min="6920" max="6920" width="43.85546875" customWidth="1"/>
    <col min="6921" max="6921" width="14.140625" customWidth="1"/>
    <col min="6922" max="6922" width="13" customWidth="1"/>
    <col min="6923" max="6923" width="12.7109375" bestFit="1" customWidth="1"/>
    <col min="6924" max="6924" width="15.7109375" customWidth="1"/>
    <col min="7169" max="7169" width="5.7109375" customWidth="1"/>
    <col min="7170" max="7170" width="38.85546875" customWidth="1"/>
    <col min="7171" max="7171" width="14.7109375" customWidth="1"/>
    <col min="7172" max="7172" width="13.7109375" customWidth="1"/>
    <col min="7173" max="7173" width="12.7109375" bestFit="1" customWidth="1"/>
    <col min="7174" max="7174" width="13.85546875" customWidth="1"/>
    <col min="7175" max="7175" width="5.85546875" customWidth="1"/>
    <col min="7176" max="7176" width="43.85546875" customWidth="1"/>
    <col min="7177" max="7177" width="14.140625" customWidth="1"/>
    <col min="7178" max="7178" width="13" customWidth="1"/>
    <col min="7179" max="7179" width="12.7109375" bestFit="1" customWidth="1"/>
    <col min="7180" max="7180" width="15.7109375" customWidth="1"/>
    <col min="7425" max="7425" width="5.7109375" customWidth="1"/>
    <col min="7426" max="7426" width="38.85546875" customWidth="1"/>
    <col min="7427" max="7427" width="14.7109375" customWidth="1"/>
    <col min="7428" max="7428" width="13.7109375" customWidth="1"/>
    <col min="7429" max="7429" width="12.7109375" bestFit="1" customWidth="1"/>
    <col min="7430" max="7430" width="13.85546875" customWidth="1"/>
    <col min="7431" max="7431" width="5.85546875" customWidth="1"/>
    <col min="7432" max="7432" width="43.85546875" customWidth="1"/>
    <col min="7433" max="7433" width="14.140625" customWidth="1"/>
    <col min="7434" max="7434" width="13" customWidth="1"/>
    <col min="7435" max="7435" width="12.7109375" bestFit="1" customWidth="1"/>
    <col min="7436" max="7436" width="15.7109375" customWidth="1"/>
    <col min="7681" max="7681" width="5.7109375" customWidth="1"/>
    <col min="7682" max="7682" width="38.85546875" customWidth="1"/>
    <col min="7683" max="7683" width="14.7109375" customWidth="1"/>
    <col min="7684" max="7684" width="13.7109375" customWidth="1"/>
    <col min="7685" max="7685" width="12.7109375" bestFit="1" customWidth="1"/>
    <col min="7686" max="7686" width="13.85546875" customWidth="1"/>
    <col min="7687" max="7687" width="5.85546875" customWidth="1"/>
    <col min="7688" max="7688" width="43.85546875" customWidth="1"/>
    <col min="7689" max="7689" width="14.140625" customWidth="1"/>
    <col min="7690" max="7690" width="13" customWidth="1"/>
    <col min="7691" max="7691" width="12.7109375" bestFit="1" customWidth="1"/>
    <col min="7692" max="7692" width="15.7109375" customWidth="1"/>
    <col min="7937" max="7937" width="5.7109375" customWidth="1"/>
    <col min="7938" max="7938" width="38.85546875" customWidth="1"/>
    <col min="7939" max="7939" width="14.7109375" customWidth="1"/>
    <col min="7940" max="7940" width="13.7109375" customWidth="1"/>
    <col min="7941" max="7941" width="12.7109375" bestFit="1" customWidth="1"/>
    <col min="7942" max="7942" width="13.85546875" customWidth="1"/>
    <col min="7943" max="7943" width="5.85546875" customWidth="1"/>
    <col min="7944" max="7944" width="43.85546875" customWidth="1"/>
    <col min="7945" max="7945" width="14.140625" customWidth="1"/>
    <col min="7946" max="7946" width="13" customWidth="1"/>
    <col min="7947" max="7947" width="12.7109375" bestFit="1" customWidth="1"/>
    <col min="7948" max="7948" width="15.7109375" customWidth="1"/>
    <col min="8193" max="8193" width="5.7109375" customWidth="1"/>
    <col min="8194" max="8194" width="38.85546875" customWidth="1"/>
    <col min="8195" max="8195" width="14.7109375" customWidth="1"/>
    <col min="8196" max="8196" width="13.7109375" customWidth="1"/>
    <col min="8197" max="8197" width="12.7109375" bestFit="1" customWidth="1"/>
    <col min="8198" max="8198" width="13.85546875" customWidth="1"/>
    <col min="8199" max="8199" width="5.85546875" customWidth="1"/>
    <col min="8200" max="8200" width="43.85546875" customWidth="1"/>
    <col min="8201" max="8201" width="14.140625" customWidth="1"/>
    <col min="8202" max="8202" width="13" customWidth="1"/>
    <col min="8203" max="8203" width="12.7109375" bestFit="1" customWidth="1"/>
    <col min="8204" max="8204" width="15.7109375" customWidth="1"/>
    <col min="8449" max="8449" width="5.7109375" customWidth="1"/>
    <col min="8450" max="8450" width="38.85546875" customWidth="1"/>
    <col min="8451" max="8451" width="14.7109375" customWidth="1"/>
    <col min="8452" max="8452" width="13.7109375" customWidth="1"/>
    <col min="8453" max="8453" width="12.7109375" bestFit="1" customWidth="1"/>
    <col min="8454" max="8454" width="13.85546875" customWidth="1"/>
    <col min="8455" max="8455" width="5.85546875" customWidth="1"/>
    <col min="8456" max="8456" width="43.85546875" customWidth="1"/>
    <col min="8457" max="8457" width="14.140625" customWidth="1"/>
    <col min="8458" max="8458" width="13" customWidth="1"/>
    <col min="8459" max="8459" width="12.7109375" bestFit="1" customWidth="1"/>
    <col min="8460" max="8460" width="15.7109375" customWidth="1"/>
    <col min="8705" max="8705" width="5.7109375" customWidth="1"/>
    <col min="8706" max="8706" width="38.85546875" customWidth="1"/>
    <col min="8707" max="8707" width="14.7109375" customWidth="1"/>
    <col min="8708" max="8708" width="13.7109375" customWidth="1"/>
    <col min="8709" max="8709" width="12.7109375" bestFit="1" customWidth="1"/>
    <col min="8710" max="8710" width="13.85546875" customWidth="1"/>
    <col min="8711" max="8711" width="5.85546875" customWidth="1"/>
    <col min="8712" max="8712" width="43.85546875" customWidth="1"/>
    <col min="8713" max="8713" width="14.140625" customWidth="1"/>
    <col min="8714" max="8714" width="13" customWidth="1"/>
    <col min="8715" max="8715" width="12.7109375" bestFit="1" customWidth="1"/>
    <col min="8716" max="8716" width="15.7109375" customWidth="1"/>
    <col min="8961" max="8961" width="5.7109375" customWidth="1"/>
    <col min="8962" max="8962" width="38.85546875" customWidth="1"/>
    <col min="8963" max="8963" width="14.7109375" customWidth="1"/>
    <col min="8964" max="8964" width="13.7109375" customWidth="1"/>
    <col min="8965" max="8965" width="12.7109375" bestFit="1" customWidth="1"/>
    <col min="8966" max="8966" width="13.85546875" customWidth="1"/>
    <col min="8967" max="8967" width="5.85546875" customWidth="1"/>
    <col min="8968" max="8968" width="43.85546875" customWidth="1"/>
    <col min="8969" max="8969" width="14.140625" customWidth="1"/>
    <col min="8970" max="8970" width="13" customWidth="1"/>
    <col min="8971" max="8971" width="12.7109375" bestFit="1" customWidth="1"/>
    <col min="8972" max="8972" width="15.7109375" customWidth="1"/>
    <col min="9217" max="9217" width="5.7109375" customWidth="1"/>
    <col min="9218" max="9218" width="38.85546875" customWidth="1"/>
    <col min="9219" max="9219" width="14.7109375" customWidth="1"/>
    <col min="9220" max="9220" width="13.7109375" customWidth="1"/>
    <col min="9221" max="9221" width="12.7109375" bestFit="1" customWidth="1"/>
    <col min="9222" max="9222" width="13.85546875" customWidth="1"/>
    <col min="9223" max="9223" width="5.85546875" customWidth="1"/>
    <col min="9224" max="9224" width="43.85546875" customWidth="1"/>
    <col min="9225" max="9225" width="14.140625" customWidth="1"/>
    <col min="9226" max="9226" width="13" customWidth="1"/>
    <col min="9227" max="9227" width="12.7109375" bestFit="1" customWidth="1"/>
    <col min="9228" max="9228" width="15.7109375" customWidth="1"/>
    <col min="9473" max="9473" width="5.7109375" customWidth="1"/>
    <col min="9474" max="9474" width="38.85546875" customWidth="1"/>
    <col min="9475" max="9475" width="14.7109375" customWidth="1"/>
    <col min="9476" max="9476" width="13.7109375" customWidth="1"/>
    <col min="9477" max="9477" width="12.7109375" bestFit="1" customWidth="1"/>
    <col min="9478" max="9478" width="13.85546875" customWidth="1"/>
    <col min="9479" max="9479" width="5.85546875" customWidth="1"/>
    <col min="9480" max="9480" width="43.85546875" customWidth="1"/>
    <col min="9481" max="9481" width="14.140625" customWidth="1"/>
    <col min="9482" max="9482" width="13" customWidth="1"/>
    <col min="9483" max="9483" width="12.7109375" bestFit="1" customWidth="1"/>
    <col min="9484" max="9484" width="15.7109375" customWidth="1"/>
    <col min="9729" max="9729" width="5.7109375" customWidth="1"/>
    <col min="9730" max="9730" width="38.85546875" customWidth="1"/>
    <col min="9731" max="9731" width="14.7109375" customWidth="1"/>
    <col min="9732" max="9732" width="13.7109375" customWidth="1"/>
    <col min="9733" max="9733" width="12.7109375" bestFit="1" customWidth="1"/>
    <col min="9734" max="9734" width="13.85546875" customWidth="1"/>
    <col min="9735" max="9735" width="5.85546875" customWidth="1"/>
    <col min="9736" max="9736" width="43.85546875" customWidth="1"/>
    <col min="9737" max="9737" width="14.140625" customWidth="1"/>
    <col min="9738" max="9738" width="13" customWidth="1"/>
    <col min="9739" max="9739" width="12.7109375" bestFit="1" customWidth="1"/>
    <col min="9740" max="9740" width="15.7109375" customWidth="1"/>
    <col min="9985" max="9985" width="5.7109375" customWidth="1"/>
    <col min="9986" max="9986" width="38.85546875" customWidth="1"/>
    <col min="9987" max="9987" width="14.7109375" customWidth="1"/>
    <col min="9988" max="9988" width="13.7109375" customWidth="1"/>
    <col min="9989" max="9989" width="12.7109375" bestFit="1" customWidth="1"/>
    <col min="9990" max="9990" width="13.85546875" customWidth="1"/>
    <col min="9991" max="9991" width="5.85546875" customWidth="1"/>
    <col min="9992" max="9992" width="43.85546875" customWidth="1"/>
    <col min="9993" max="9993" width="14.140625" customWidth="1"/>
    <col min="9994" max="9994" width="13" customWidth="1"/>
    <col min="9995" max="9995" width="12.7109375" bestFit="1" customWidth="1"/>
    <col min="9996" max="9996" width="15.7109375" customWidth="1"/>
    <col min="10241" max="10241" width="5.7109375" customWidth="1"/>
    <col min="10242" max="10242" width="38.85546875" customWidth="1"/>
    <col min="10243" max="10243" width="14.7109375" customWidth="1"/>
    <col min="10244" max="10244" width="13.7109375" customWidth="1"/>
    <col min="10245" max="10245" width="12.7109375" bestFit="1" customWidth="1"/>
    <col min="10246" max="10246" width="13.85546875" customWidth="1"/>
    <col min="10247" max="10247" width="5.85546875" customWidth="1"/>
    <col min="10248" max="10248" width="43.85546875" customWidth="1"/>
    <col min="10249" max="10249" width="14.140625" customWidth="1"/>
    <col min="10250" max="10250" width="13" customWidth="1"/>
    <col min="10251" max="10251" width="12.7109375" bestFit="1" customWidth="1"/>
    <col min="10252" max="10252" width="15.7109375" customWidth="1"/>
    <col min="10497" max="10497" width="5.7109375" customWidth="1"/>
    <col min="10498" max="10498" width="38.85546875" customWidth="1"/>
    <col min="10499" max="10499" width="14.7109375" customWidth="1"/>
    <col min="10500" max="10500" width="13.7109375" customWidth="1"/>
    <col min="10501" max="10501" width="12.7109375" bestFit="1" customWidth="1"/>
    <col min="10502" max="10502" width="13.85546875" customWidth="1"/>
    <col min="10503" max="10503" width="5.85546875" customWidth="1"/>
    <col min="10504" max="10504" width="43.85546875" customWidth="1"/>
    <col min="10505" max="10505" width="14.140625" customWidth="1"/>
    <col min="10506" max="10506" width="13" customWidth="1"/>
    <col min="10507" max="10507" width="12.7109375" bestFit="1" customWidth="1"/>
    <col min="10508" max="10508" width="15.7109375" customWidth="1"/>
    <col min="10753" max="10753" width="5.7109375" customWidth="1"/>
    <col min="10754" max="10754" width="38.85546875" customWidth="1"/>
    <col min="10755" max="10755" width="14.7109375" customWidth="1"/>
    <col min="10756" max="10756" width="13.7109375" customWidth="1"/>
    <col min="10757" max="10757" width="12.7109375" bestFit="1" customWidth="1"/>
    <col min="10758" max="10758" width="13.85546875" customWidth="1"/>
    <col min="10759" max="10759" width="5.85546875" customWidth="1"/>
    <col min="10760" max="10760" width="43.85546875" customWidth="1"/>
    <col min="10761" max="10761" width="14.140625" customWidth="1"/>
    <col min="10762" max="10762" width="13" customWidth="1"/>
    <col min="10763" max="10763" width="12.7109375" bestFit="1" customWidth="1"/>
    <col min="10764" max="10764" width="15.7109375" customWidth="1"/>
    <col min="11009" max="11009" width="5.7109375" customWidth="1"/>
    <col min="11010" max="11010" width="38.85546875" customWidth="1"/>
    <col min="11011" max="11011" width="14.7109375" customWidth="1"/>
    <col min="11012" max="11012" width="13.7109375" customWidth="1"/>
    <col min="11013" max="11013" width="12.7109375" bestFit="1" customWidth="1"/>
    <col min="11014" max="11014" width="13.85546875" customWidth="1"/>
    <col min="11015" max="11015" width="5.85546875" customWidth="1"/>
    <col min="11016" max="11016" width="43.85546875" customWidth="1"/>
    <col min="11017" max="11017" width="14.140625" customWidth="1"/>
    <col min="11018" max="11018" width="13" customWidth="1"/>
    <col min="11019" max="11019" width="12.7109375" bestFit="1" customWidth="1"/>
    <col min="11020" max="11020" width="15.7109375" customWidth="1"/>
    <col min="11265" max="11265" width="5.7109375" customWidth="1"/>
    <col min="11266" max="11266" width="38.85546875" customWidth="1"/>
    <col min="11267" max="11267" width="14.7109375" customWidth="1"/>
    <col min="11268" max="11268" width="13.7109375" customWidth="1"/>
    <col min="11269" max="11269" width="12.7109375" bestFit="1" customWidth="1"/>
    <col min="11270" max="11270" width="13.85546875" customWidth="1"/>
    <col min="11271" max="11271" width="5.85546875" customWidth="1"/>
    <col min="11272" max="11272" width="43.85546875" customWidth="1"/>
    <col min="11273" max="11273" width="14.140625" customWidth="1"/>
    <col min="11274" max="11274" width="13" customWidth="1"/>
    <col min="11275" max="11275" width="12.7109375" bestFit="1" customWidth="1"/>
    <col min="11276" max="11276" width="15.7109375" customWidth="1"/>
    <col min="11521" max="11521" width="5.7109375" customWidth="1"/>
    <col min="11522" max="11522" width="38.85546875" customWidth="1"/>
    <col min="11523" max="11523" width="14.7109375" customWidth="1"/>
    <col min="11524" max="11524" width="13.7109375" customWidth="1"/>
    <col min="11525" max="11525" width="12.7109375" bestFit="1" customWidth="1"/>
    <col min="11526" max="11526" width="13.85546875" customWidth="1"/>
    <col min="11527" max="11527" width="5.85546875" customWidth="1"/>
    <col min="11528" max="11528" width="43.85546875" customWidth="1"/>
    <col min="11529" max="11529" width="14.140625" customWidth="1"/>
    <col min="11530" max="11530" width="13" customWidth="1"/>
    <col min="11531" max="11531" width="12.7109375" bestFit="1" customWidth="1"/>
    <col min="11532" max="11532" width="15.7109375" customWidth="1"/>
    <col min="11777" max="11777" width="5.7109375" customWidth="1"/>
    <col min="11778" max="11778" width="38.85546875" customWidth="1"/>
    <col min="11779" max="11779" width="14.7109375" customWidth="1"/>
    <col min="11780" max="11780" width="13.7109375" customWidth="1"/>
    <col min="11781" max="11781" width="12.7109375" bestFit="1" customWidth="1"/>
    <col min="11782" max="11782" width="13.85546875" customWidth="1"/>
    <col min="11783" max="11783" width="5.85546875" customWidth="1"/>
    <col min="11784" max="11784" width="43.85546875" customWidth="1"/>
    <col min="11785" max="11785" width="14.140625" customWidth="1"/>
    <col min="11786" max="11786" width="13" customWidth="1"/>
    <col min="11787" max="11787" width="12.7109375" bestFit="1" customWidth="1"/>
    <col min="11788" max="11788" width="15.7109375" customWidth="1"/>
    <col min="12033" max="12033" width="5.7109375" customWidth="1"/>
    <col min="12034" max="12034" width="38.85546875" customWidth="1"/>
    <col min="12035" max="12035" width="14.7109375" customWidth="1"/>
    <col min="12036" max="12036" width="13.7109375" customWidth="1"/>
    <col min="12037" max="12037" width="12.7109375" bestFit="1" customWidth="1"/>
    <col min="12038" max="12038" width="13.85546875" customWidth="1"/>
    <col min="12039" max="12039" width="5.85546875" customWidth="1"/>
    <col min="12040" max="12040" width="43.85546875" customWidth="1"/>
    <col min="12041" max="12041" width="14.140625" customWidth="1"/>
    <col min="12042" max="12042" width="13" customWidth="1"/>
    <col min="12043" max="12043" width="12.7109375" bestFit="1" customWidth="1"/>
    <col min="12044" max="12044" width="15.7109375" customWidth="1"/>
    <col min="12289" max="12289" width="5.7109375" customWidth="1"/>
    <col min="12290" max="12290" width="38.85546875" customWidth="1"/>
    <col min="12291" max="12291" width="14.7109375" customWidth="1"/>
    <col min="12292" max="12292" width="13.7109375" customWidth="1"/>
    <col min="12293" max="12293" width="12.7109375" bestFit="1" customWidth="1"/>
    <col min="12294" max="12294" width="13.85546875" customWidth="1"/>
    <col min="12295" max="12295" width="5.85546875" customWidth="1"/>
    <col min="12296" max="12296" width="43.85546875" customWidth="1"/>
    <col min="12297" max="12297" width="14.140625" customWidth="1"/>
    <col min="12298" max="12298" width="13" customWidth="1"/>
    <col min="12299" max="12299" width="12.7109375" bestFit="1" customWidth="1"/>
    <col min="12300" max="12300" width="15.7109375" customWidth="1"/>
    <col min="12545" max="12545" width="5.7109375" customWidth="1"/>
    <col min="12546" max="12546" width="38.85546875" customWidth="1"/>
    <col min="12547" max="12547" width="14.7109375" customWidth="1"/>
    <col min="12548" max="12548" width="13.7109375" customWidth="1"/>
    <col min="12549" max="12549" width="12.7109375" bestFit="1" customWidth="1"/>
    <col min="12550" max="12550" width="13.85546875" customWidth="1"/>
    <col min="12551" max="12551" width="5.85546875" customWidth="1"/>
    <col min="12552" max="12552" width="43.85546875" customWidth="1"/>
    <col min="12553" max="12553" width="14.140625" customWidth="1"/>
    <col min="12554" max="12554" width="13" customWidth="1"/>
    <col min="12555" max="12555" width="12.7109375" bestFit="1" customWidth="1"/>
    <col min="12556" max="12556" width="15.7109375" customWidth="1"/>
    <col min="12801" max="12801" width="5.7109375" customWidth="1"/>
    <col min="12802" max="12802" width="38.85546875" customWidth="1"/>
    <col min="12803" max="12803" width="14.7109375" customWidth="1"/>
    <col min="12804" max="12804" width="13.7109375" customWidth="1"/>
    <col min="12805" max="12805" width="12.7109375" bestFit="1" customWidth="1"/>
    <col min="12806" max="12806" width="13.85546875" customWidth="1"/>
    <col min="12807" max="12807" width="5.85546875" customWidth="1"/>
    <col min="12808" max="12808" width="43.85546875" customWidth="1"/>
    <col min="12809" max="12809" width="14.140625" customWidth="1"/>
    <col min="12810" max="12810" width="13" customWidth="1"/>
    <col min="12811" max="12811" width="12.7109375" bestFit="1" customWidth="1"/>
    <col min="12812" max="12812" width="15.7109375" customWidth="1"/>
    <col min="13057" max="13057" width="5.7109375" customWidth="1"/>
    <col min="13058" max="13058" width="38.85546875" customWidth="1"/>
    <col min="13059" max="13059" width="14.7109375" customWidth="1"/>
    <col min="13060" max="13060" width="13.7109375" customWidth="1"/>
    <col min="13061" max="13061" width="12.7109375" bestFit="1" customWidth="1"/>
    <col min="13062" max="13062" width="13.85546875" customWidth="1"/>
    <col min="13063" max="13063" width="5.85546875" customWidth="1"/>
    <col min="13064" max="13064" width="43.85546875" customWidth="1"/>
    <col min="13065" max="13065" width="14.140625" customWidth="1"/>
    <col min="13066" max="13066" width="13" customWidth="1"/>
    <col min="13067" max="13067" width="12.7109375" bestFit="1" customWidth="1"/>
    <col min="13068" max="13068" width="15.7109375" customWidth="1"/>
    <col min="13313" max="13313" width="5.7109375" customWidth="1"/>
    <col min="13314" max="13314" width="38.85546875" customWidth="1"/>
    <col min="13315" max="13315" width="14.7109375" customWidth="1"/>
    <col min="13316" max="13316" width="13.7109375" customWidth="1"/>
    <col min="13317" max="13317" width="12.7109375" bestFit="1" customWidth="1"/>
    <col min="13318" max="13318" width="13.85546875" customWidth="1"/>
    <col min="13319" max="13319" width="5.85546875" customWidth="1"/>
    <col min="13320" max="13320" width="43.85546875" customWidth="1"/>
    <col min="13321" max="13321" width="14.140625" customWidth="1"/>
    <col min="13322" max="13322" width="13" customWidth="1"/>
    <col min="13323" max="13323" width="12.7109375" bestFit="1" customWidth="1"/>
    <col min="13324" max="13324" width="15.7109375" customWidth="1"/>
    <col min="13569" max="13569" width="5.7109375" customWidth="1"/>
    <col min="13570" max="13570" width="38.85546875" customWidth="1"/>
    <col min="13571" max="13571" width="14.7109375" customWidth="1"/>
    <col min="13572" max="13572" width="13.7109375" customWidth="1"/>
    <col min="13573" max="13573" width="12.7109375" bestFit="1" customWidth="1"/>
    <col min="13574" max="13574" width="13.85546875" customWidth="1"/>
    <col min="13575" max="13575" width="5.85546875" customWidth="1"/>
    <col min="13576" max="13576" width="43.85546875" customWidth="1"/>
    <col min="13577" max="13577" width="14.140625" customWidth="1"/>
    <col min="13578" max="13578" width="13" customWidth="1"/>
    <col min="13579" max="13579" width="12.7109375" bestFit="1" customWidth="1"/>
    <col min="13580" max="13580" width="15.7109375" customWidth="1"/>
    <col min="13825" max="13825" width="5.7109375" customWidth="1"/>
    <col min="13826" max="13826" width="38.85546875" customWidth="1"/>
    <col min="13827" max="13827" width="14.7109375" customWidth="1"/>
    <col min="13828" max="13828" width="13.7109375" customWidth="1"/>
    <col min="13829" max="13829" width="12.7109375" bestFit="1" customWidth="1"/>
    <col min="13830" max="13830" width="13.85546875" customWidth="1"/>
    <col min="13831" max="13831" width="5.85546875" customWidth="1"/>
    <col min="13832" max="13832" width="43.85546875" customWidth="1"/>
    <col min="13833" max="13833" width="14.140625" customWidth="1"/>
    <col min="13834" max="13834" width="13" customWidth="1"/>
    <col min="13835" max="13835" width="12.7109375" bestFit="1" customWidth="1"/>
    <col min="13836" max="13836" width="15.7109375" customWidth="1"/>
    <col min="14081" max="14081" width="5.7109375" customWidth="1"/>
    <col min="14082" max="14082" width="38.85546875" customWidth="1"/>
    <col min="14083" max="14083" width="14.7109375" customWidth="1"/>
    <col min="14084" max="14084" width="13.7109375" customWidth="1"/>
    <col min="14085" max="14085" width="12.7109375" bestFit="1" customWidth="1"/>
    <col min="14086" max="14086" width="13.85546875" customWidth="1"/>
    <col min="14087" max="14087" width="5.85546875" customWidth="1"/>
    <col min="14088" max="14088" width="43.85546875" customWidth="1"/>
    <col min="14089" max="14089" width="14.140625" customWidth="1"/>
    <col min="14090" max="14090" width="13" customWidth="1"/>
    <col min="14091" max="14091" width="12.7109375" bestFit="1" customWidth="1"/>
    <col min="14092" max="14092" width="15.7109375" customWidth="1"/>
    <col min="14337" max="14337" width="5.7109375" customWidth="1"/>
    <col min="14338" max="14338" width="38.85546875" customWidth="1"/>
    <col min="14339" max="14339" width="14.7109375" customWidth="1"/>
    <col min="14340" max="14340" width="13.7109375" customWidth="1"/>
    <col min="14341" max="14341" width="12.7109375" bestFit="1" customWidth="1"/>
    <col min="14342" max="14342" width="13.85546875" customWidth="1"/>
    <col min="14343" max="14343" width="5.85546875" customWidth="1"/>
    <col min="14344" max="14344" width="43.85546875" customWidth="1"/>
    <col min="14345" max="14345" width="14.140625" customWidth="1"/>
    <col min="14346" max="14346" width="13" customWidth="1"/>
    <col min="14347" max="14347" width="12.7109375" bestFit="1" customWidth="1"/>
    <col min="14348" max="14348" width="15.7109375" customWidth="1"/>
    <col min="14593" max="14593" width="5.7109375" customWidth="1"/>
    <col min="14594" max="14594" width="38.85546875" customWidth="1"/>
    <col min="14595" max="14595" width="14.7109375" customWidth="1"/>
    <col min="14596" max="14596" width="13.7109375" customWidth="1"/>
    <col min="14597" max="14597" width="12.7109375" bestFit="1" customWidth="1"/>
    <col min="14598" max="14598" width="13.85546875" customWidth="1"/>
    <col min="14599" max="14599" width="5.85546875" customWidth="1"/>
    <col min="14600" max="14600" width="43.85546875" customWidth="1"/>
    <col min="14601" max="14601" width="14.140625" customWidth="1"/>
    <col min="14602" max="14602" width="13" customWidth="1"/>
    <col min="14603" max="14603" width="12.7109375" bestFit="1" customWidth="1"/>
    <col min="14604" max="14604" width="15.7109375" customWidth="1"/>
    <col min="14849" max="14849" width="5.7109375" customWidth="1"/>
    <col min="14850" max="14850" width="38.85546875" customWidth="1"/>
    <col min="14851" max="14851" width="14.7109375" customWidth="1"/>
    <col min="14852" max="14852" width="13.7109375" customWidth="1"/>
    <col min="14853" max="14853" width="12.7109375" bestFit="1" customWidth="1"/>
    <col min="14854" max="14854" width="13.85546875" customWidth="1"/>
    <col min="14855" max="14855" width="5.85546875" customWidth="1"/>
    <col min="14856" max="14856" width="43.85546875" customWidth="1"/>
    <col min="14857" max="14857" width="14.140625" customWidth="1"/>
    <col min="14858" max="14858" width="13" customWidth="1"/>
    <col min="14859" max="14859" width="12.7109375" bestFit="1" customWidth="1"/>
    <col min="14860" max="14860" width="15.7109375" customWidth="1"/>
    <col min="15105" max="15105" width="5.7109375" customWidth="1"/>
    <col min="15106" max="15106" width="38.85546875" customWidth="1"/>
    <col min="15107" max="15107" width="14.7109375" customWidth="1"/>
    <col min="15108" max="15108" width="13.7109375" customWidth="1"/>
    <col min="15109" max="15109" width="12.7109375" bestFit="1" customWidth="1"/>
    <col min="15110" max="15110" width="13.85546875" customWidth="1"/>
    <col min="15111" max="15111" width="5.85546875" customWidth="1"/>
    <col min="15112" max="15112" width="43.85546875" customWidth="1"/>
    <col min="15113" max="15113" width="14.140625" customWidth="1"/>
    <col min="15114" max="15114" width="13" customWidth="1"/>
    <col min="15115" max="15115" width="12.7109375" bestFit="1" customWidth="1"/>
    <col min="15116" max="15116" width="15.7109375" customWidth="1"/>
    <col min="15361" max="15361" width="5.7109375" customWidth="1"/>
    <col min="15362" max="15362" width="38.85546875" customWidth="1"/>
    <col min="15363" max="15363" width="14.7109375" customWidth="1"/>
    <col min="15364" max="15364" width="13.7109375" customWidth="1"/>
    <col min="15365" max="15365" width="12.7109375" bestFit="1" customWidth="1"/>
    <col min="15366" max="15366" width="13.85546875" customWidth="1"/>
    <col min="15367" max="15367" width="5.85546875" customWidth="1"/>
    <col min="15368" max="15368" width="43.85546875" customWidth="1"/>
    <col min="15369" max="15369" width="14.140625" customWidth="1"/>
    <col min="15370" max="15370" width="13" customWidth="1"/>
    <col min="15371" max="15371" width="12.7109375" bestFit="1" customWidth="1"/>
    <col min="15372" max="15372" width="15.7109375" customWidth="1"/>
    <col min="15617" max="15617" width="5.7109375" customWidth="1"/>
    <col min="15618" max="15618" width="38.85546875" customWidth="1"/>
    <col min="15619" max="15619" width="14.7109375" customWidth="1"/>
    <col min="15620" max="15620" width="13.7109375" customWidth="1"/>
    <col min="15621" max="15621" width="12.7109375" bestFit="1" customWidth="1"/>
    <col min="15622" max="15622" width="13.85546875" customWidth="1"/>
    <col min="15623" max="15623" width="5.85546875" customWidth="1"/>
    <col min="15624" max="15624" width="43.85546875" customWidth="1"/>
    <col min="15625" max="15625" width="14.140625" customWidth="1"/>
    <col min="15626" max="15626" width="13" customWidth="1"/>
    <col min="15627" max="15627" width="12.7109375" bestFit="1" customWidth="1"/>
    <col min="15628" max="15628" width="15.7109375" customWidth="1"/>
    <col min="15873" max="15873" width="5.7109375" customWidth="1"/>
    <col min="15874" max="15874" width="38.85546875" customWidth="1"/>
    <col min="15875" max="15875" width="14.7109375" customWidth="1"/>
    <col min="15876" max="15876" width="13.7109375" customWidth="1"/>
    <col min="15877" max="15877" width="12.7109375" bestFit="1" customWidth="1"/>
    <col min="15878" max="15878" width="13.85546875" customWidth="1"/>
    <col min="15879" max="15879" width="5.85546875" customWidth="1"/>
    <col min="15880" max="15880" width="43.85546875" customWidth="1"/>
    <col min="15881" max="15881" width="14.140625" customWidth="1"/>
    <col min="15882" max="15882" width="13" customWidth="1"/>
    <col min="15883" max="15883" width="12.7109375" bestFit="1" customWidth="1"/>
    <col min="15884" max="15884" width="15.7109375" customWidth="1"/>
    <col min="16129" max="16129" width="5.7109375" customWidth="1"/>
    <col min="16130" max="16130" width="38.85546875" customWidth="1"/>
    <col min="16131" max="16131" width="14.7109375" customWidth="1"/>
    <col min="16132" max="16132" width="13.7109375" customWidth="1"/>
    <col min="16133" max="16133" width="12.7109375" bestFit="1" customWidth="1"/>
    <col min="16134" max="16134" width="13.85546875" customWidth="1"/>
    <col min="16135" max="16135" width="5.85546875" customWidth="1"/>
    <col min="16136" max="16136" width="43.85546875" customWidth="1"/>
    <col min="16137" max="16137" width="14.140625" customWidth="1"/>
    <col min="16138" max="16138" width="13" customWidth="1"/>
    <col min="16139" max="16139" width="12.7109375" bestFit="1" customWidth="1"/>
    <col min="16140" max="16140" width="15.7109375" customWidth="1"/>
  </cols>
  <sheetData>
    <row r="1" spans="1:14" x14ac:dyDescent="0.25">
      <c r="J1" s="89"/>
      <c r="K1" s="89"/>
      <c r="L1" s="89" t="s">
        <v>1662</v>
      </c>
    </row>
    <row r="2" spans="1:14" ht="59.1" customHeight="1" x14ac:dyDescent="0.25">
      <c r="A2" s="910" t="s">
        <v>305</v>
      </c>
      <c r="B2" s="912" t="s">
        <v>470</v>
      </c>
      <c r="C2" s="690" t="s">
        <v>1468</v>
      </c>
      <c r="D2" s="690" t="s">
        <v>1661</v>
      </c>
      <c r="E2" s="690" t="s">
        <v>1829</v>
      </c>
      <c r="F2" s="690" t="s">
        <v>1654</v>
      </c>
      <c r="G2" s="910" t="s">
        <v>305</v>
      </c>
      <c r="H2" s="912" t="s">
        <v>583</v>
      </c>
      <c r="I2" s="690" t="s">
        <v>1468</v>
      </c>
      <c r="J2" s="690" t="s">
        <v>1661</v>
      </c>
      <c r="K2" s="690" t="s">
        <v>1829</v>
      </c>
      <c r="L2" s="690" t="s">
        <v>1654</v>
      </c>
    </row>
    <row r="3" spans="1:14" x14ac:dyDescent="0.25">
      <c r="A3" s="500" t="s">
        <v>309</v>
      </c>
      <c r="B3" s="309" t="s">
        <v>310</v>
      </c>
      <c r="C3" s="501">
        <f>SUM(C4:C7)</f>
        <v>4177944000</v>
      </c>
      <c r="D3" s="501">
        <f>SUM(D4:D7)</f>
        <v>4515212000</v>
      </c>
      <c r="E3" s="501">
        <f>SUM(E4:E7)</f>
        <v>5117146952</v>
      </c>
      <c r="F3" s="501">
        <f>SUM(F4:F7)</f>
        <v>4579293251</v>
      </c>
      <c r="G3" s="500" t="s">
        <v>309</v>
      </c>
      <c r="H3" s="294" t="s">
        <v>584</v>
      </c>
      <c r="I3" s="110">
        <f>SUM(I4:I8)</f>
        <v>4177944000</v>
      </c>
      <c r="J3" s="110">
        <f>SUM(J4:J8)</f>
        <v>4655465000</v>
      </c>
      <c r="K3" s="110">
        <f>SUM(K4:K8)</f>
        <v>4238981802</v>
      </c>
      <c r="L3" s="110">
        <f>SUM(L4:L8)</f>
        <v>4551799716</v>
      </c>
      <c r="M3" s="915">
        <f>+F3/C3</f>
        <v>1.0960638177534212</v>
      </c>
      <c r="N3" s="915">
        <f>+L3/I3</f>
        <v>1.0894831802436797</v>
      </c>
    </row>
    <row r="4" spans="1:14" ht="30" x14ac:dyDescent="0.25">
      <c r="A4" s="911" t="s">
        <v>311</v>
      </c>
      <c r="B4" s="234" t="s">
        <v>312</v>
      </c>
      <c r="C4" s="235">
        <v>611832000</v>
      </c>
      <c r="D4" s="235">
        <v>709362000</v>
      </c>
      <c r="E4" s="235">
        <v>713514339</v>
      </c>
      <c r="F4" s="235">
        <f>+'[6]1A. Fő bev'!F5</f>
        <v>674769291</v>
      </c>
      <c r="G4" s="911" t="s">
        <v>311</v>
      </c>
      <c r="H4" s="916" t="s">
        <v>286</v>
      </c>
      <c r="I4" s="301">
        <v>1583866000</v>
      </c>
      <c r="J4" s="301">
        <v>1625876000</v>
      </c>
      <c r="K4" s="301">
        <v>1557175145</v>
      </c>
      <c r="L4" s="302">
        <f>+'[6]1B. Fő kiad'!F5</f>
        <v>1664186070</v>
      </c>
    </row>
    <row r="5" spans="1:14" ht="32.65" customHeight="1" x14ac:dyDescent="0.25">
      <c r="A5" s="911" t="s">
        <v>322</v>
      </c>
      <c r="B5" s="316" t="s">
        <v>485</v>
      </c>
      <c r="C5" s="235">
        <v>3317500000</v>
      </c>
      <c r="D5" s="235">
        <v>3547500000</v>
      </c>
      <c r="E5" s="235">
        <v>4003649505</v>
      </c>
      <c r="F5" s="235">
        <f>+'[6]1A. Fő bev'!F10</f>
        <v>3647000000</v>
      </c>
      <c r="G5" s="911" t="s">
        <v>322</v>
      </c>
      <c r="H5" s="337" t="s">
        <v>335</v>
      </c>
      <c r="I5" s="301">
        <v>305672000</v>
      </c>
      <c r="J5" s="301">
        <v>321910000</v>
      </c>
      <c r="K5" s="301">
        <v>313341639</v>
      </c>
      <c r="L5" s="302">
        <f>+'[6]1B. Fő kiad'!F6</f>
        <v>327439915</v>
      </c>
    </row>
    <row r="6" spans="1:14" ht="17.649999999999999" customHeight="1" x14ac:dyDescent="0.25">
      <c r="A6" s="911" t="s">
        <v>315</v>
      </c>
      <c r="B6" s="316" t="s">
        <v>314</v>
      </c>
      <c r="C6" s="235">
        <v>248612000</v>
      </c>
      <c r="D6" s="235">
        <v>258350000</v>
      </c>
      <c r="E6" s="235">
        <v>397029954</v>
      </c>
      <c r="F6" s="235">
        <f>+'[6]1A. Fő bev'!F17</f>
        <v>257523960</v>
      </c>
      <c r="G6" s="911" t="s">
        <v>315</v>
      </c>
      <c r="H6" s="916" t="s">
        <v>292</v>
      </c>
      <c r="I6" s="301">
        <v>1446546000</v>
      </c>
      <c r="J6" s="301">
        <v>1922140000</v>
      </c>
      <c r="K6" s="301">
        <v>1631214825</v>
      </c>
      <c r="L6" s="302">
        <f>+'[6]1B. Fő kiad'!F7</f>
        <v>1582950725</v>
      </c>
    </row>
    <row r="7" spans="1:14" ht="17.649999999999999" customHeight="1" x14ac:dyDescent="0.25">
      <c r="A7" s="911" t="s">
        <v>336</v>
      </c>
      <c r="B7" s="316" t="s">
        <v>316</v>
      </c>
      <c r="C7" s="235">
        <v>0</v>
      </c>
      <c r="D7" s="235">
        <v>0</v>
      </c>
      <c r="E7" s="235">
        <v>2953154</v>
      </c>
      <c r="F7" s="235">
        <f>+'[6]1A. Fő bev'!F26</f>
        <v>0</v>
      </c>
      <c r="G7" s="911" t="s">
        <v>336</v>
      </c>
      <c r="H7" s="916" t="s">
        <v>337</v>
      </c>
      <c r="I7" s="301">
        <v>34000000</v>
      </c>
      <c r="J7" s="301">
        <v>35795000</v>
      </c>
      <c r="K7" s="301">
        <v>26185484</v>
      </c>
      <c r="L7" s="302">
        <f>+'[6]1B. Fő kiad'!F8</f>
        <v>34000000</v>
      </c>
    </row>
    <row r="8" spans="1:14" ht="17.649999999999999" customHeight="1" x14ac:dyDescent="0.25">
      <c r="A8" s="316"/>
      <c r="B8" s="316"/>
      <c r="C8" s="316"/>
      <c r="D8" s="316"/>
      <c r="E8" s="316"/>
      <c r="F8" s="316"/>
      <c r="G8" s="911" t="s">
        <v>338</v>
      </c>
      <c r="H8" s="916" t="s">
        <v>339</v>
      </c>
      <c r="I8" s="301">
        <v>807860000</v>
      </c>
      <c r="J8" s="301">
        <v>749744000</v>
      </c>
      <c r="K8" s="301">
        <v>711064709</v>
      </c>
      <c r="L8" s="302">
        <f>+'[6]1B. Fő kiad'!F9</f>
        <v>943223006</v>
      </c>
    </row>
    <row r="9" spans="1:14" ht="17.649999999999999" customHeight="1" x14ac:dyDescent="0.25">
      <c r="A9" s="111"/>
      <c r="B9" s="112" t="s">
        <v>585</v>
      </c>
      <c r="C9" s="112">
        <f>IF(C3-I3&lt;0,I3-C3,0)</f>
        <v>0</v>
      </c>
      <c r="D9" s="112">
        <f>IF(D3-J3&lt;0,J3-D3,0)</f>
        <v>140253000</v>
      </c>
      <c r="E9" s="112">
        <f>IF(E3-K3&lt;0,K3-E3,0)</f>
        <v>0</v>
      </c>
      <c r="F9" s="112">
        <f>IF(F3-L3&lt;0,L3-F3,0)</f>
        <v>0</v>
      </c>
      <c r="G9" s="113"/>
      <c r="H9" s="114" t="s">
        <v>586</v>
      </c>
      <c r="I9" s="114">
        <f>IF(C3-I3&gt;0,C3-I3,0)</f>
        <v>0</v>
      </c>
      <c r="J9" s="114">
        <f>IF(D3-J3&gt;0,D3-J3,0)</f>
        <v>0</v>
      </c>
      <c r="K9" s="114">
        <f>IF(E3-K3&gt;0,E3-K3,0)</f>
        <v>878165150</v>
      </c>
      <c r="L9" s="114">
        <f>IF(F3-L3&gt;0,F3-L3,0)</f>
        <v>27493535</v>
      </c>
    </row>
    <row r="10" spans="1:14" ht="17.649999999999999" customHeight="1" x14ac:dyDescent="0.25">
      <c r="A10" s="500" t="s">
        <v>318</v>
      </c>
      <c r="B10" s="309" t="s">
        <v>319</v>
      </c>
      <c r="C10" s="501">
        <f>SUM(C11:C13)</f>
        <v>494027000</v>
      </c>
      <c r="D10" s="501">
        <f>SUM(D11:D13)</f>
        <v>533143000</v>
      </c>
      <c r="E10" s="501">
        <f>SUM(E11:E13)</f>
        <v>191738630</v>
      </c>
      <c r="F10" s="501">
        <f>SUM(F11:F13)</f>
        <v>550017655</v>
      </c>
      <c r="G10" s="500" t="s">
        <v>318</v>
      </c>
      <c r="H10" s="294" t="s">
        <v>587</v>
      </c>
      <c r="I10" s="110">
        <f>SUM(I11:I13)</f>
        <v>1396319000</v>
      </c>
      <c r="J10" s="110">
        <f>SUM(J11:J13)</f>
        <v>1713853000</v>
      </c>
      <c r="K10" s="110">
        <f>SUM(K11:K13)</f>
        <v>904922361</v>
      </c>
      <c r="L10" s="110">
        <f>SUM(L11:L13)</f>
        <v>1372050190</v>
      </c>
    </row>
    <row r="11" spans="1:14" ht="17.649999999999999" customHeight="1" x14ac:dyDescent="0.25">
      <c r="A11" s="911" t="s">
        <v>311</v>
      </c>
      <c r="B11" s="316" t="s">
        <v>320</v>
      </c>
      <c r="C11" s="235">
        <v>200000000</v>
      </c>
      <c r="D11" s="235">
        <v>239116000</v>
      </c>
      <c r="E11" s="235">
        <v>39116000</v>
      </c>
      <c r="F11" s="235">
        <f>+'[6]1A. Fő bev'!F30</f>
        <v>439116000</v>
      </c>
      <c r="G11" s="911" t="s">
        <v>311</v>
      </c>
      <c r="H11" s="916" t="s">
        <v>351</v>
      </c>
      <c r="I11" s="301">
        <v>957881000</v>
      </c>
      <c r="J11" s="301">
        <v>1281178000</v>
      </c>
      <c r="K11" s="301">
        <v>589778875</v>
      </c>
      <c r="L11" s="302">
        <f>+'[6]1B. Fő kiad'!F16</f>
        <v>1155840350</v>
      </c>
    </row>
    <row r="12" spans="1:14" ht="17.649999999999999" customHeight="1" x14ac:dyDescent="0.25">
      <c r="A12" s="911" t="s">
        <v>322</v>
      </c>
      <c r="B12" s="316" t="s">
        <v>257</v>
      </c>
      <c r="C12" s="235">
        <v>243000000</v>
      </c>
      <c r="D12" s="235">
        <v>243000000</v>
      </c>
      <c r="E12" s="235">
        <v>150767687</v>
      </c>
      <c r="F12" s="235">
        <f>+'[6]1A. Fő bev'!F34</f>
        <v>110000000</v>
      </c>
      <c r="G12" s="911" t="s">
        <v>322</v>
      </c>
      <c r="H12" s="916" t="s">
        <v>342</v>
      </c>
      <c r="I12" s="301">
        <v>437738000</v>
      </c>
      <c r="J12" s="301">
        <v>412914000</v>
      </c>
      <c r="K12" s="301">
        <v>306800872</v>
      </c>
      <c r="L12" s="302">
        <f>+'[6]1B. Fő kiad'!F17</f>
        <v>215509840</v>
      </c>
    </row>
    <row r="13" spans="1:14" ht="17.649999999999999" customHeight="1" x14ac:dyDescent="0.25">
      <c r="A13" s="911" t="s">
        <v>315</v>
      </c>
      <c r="B13" s="316" t="s">
        <v>325</v>
      </c>
      <c r="C13" s="235">
        <v>51027000</v>
      </c>
      <c r="D13" s="235">
        <v>51027000</v>
      </c>
      <c r="E13" s="235">
        <v>1854943</v>
      </c>
      <c r="F13" s="235">
        <f>+'[6]1A. Fő bev'!F39</f>
        <v>901655</v>
      </c>
      <c r="G13" s="911" t="s">
        <v>315</v>
      </c>
      <c r="H13" s="916" t="s">
        <v>343</v>
      </c>
      <c r="I13" s="301">
        <v>700000</v>
      </c>
      <c r="J13" s="301">
        <v>19761000</v>
      </c>
      <c r="K13" s="301">
        <v>8342614</v>
      </c>
      <c r="L13" s="302">
        <f>+'[6]1B. Fő kiad'!F18</f>
        <v>700000</v>
      </c>
    </row>
    <row r="14" spans="1:14" ht="17.649999999999999" customHeight="1" x14ac:dyDescent="0.25">
      <c r="A14" s="111"/>
      <c r="B14" s="111" t="s">
        <v>588</v>
      </c>
      <c r="C14" s="112">
        <f>IF(C10-I10&lt;0,I10-C10,0)</f>
        <v>902292000</v>
      </c>
      <c r="D14" s="112">
        <f>IF(D10-J10&lt;0,J10-D10,0)</f>
        <v>1180710000</v>
      </c>
      <c r="E14" s="112">
        <f>IF(E10-K10&lt;0,K10-E10,0)</f>
        <v>713183731</v>
      </c>
      <c r="F14" s="112">
        <f>IF(F10-L10&lt;0,L10-F10,0)</f>
        <v>822032535</v>
      </c>
      <c r="G14" s="115"/>
      <c r="H14" s="113" t="s">
        <v>589</v>
      </c>
      <c r="I14" s="114">
        <f>IF(C10-I10&gt;0,C10-I10,0)</f>
        <v>0</v>
      </c>
      <c r="J14" s="114">
        <f>IF(D10-J10&gt;0,D10-J10,0)</f>
        <v>0</v>
      </c>
      <c r="K14" s="114">
        <f>IF(E10-K10&gt;0,E10-K10,0)</f>
        <v>0</v>
      </c>
      <c r="L14" s="114">
        <f>IF(F10-L10&gt;0,F10-L10,0)</f>
        <v>0</v>
      </c>
    </row>
    <row r="15" spans="1:14" ht="17.649999999999999" customHeight="1" x14ac:dyDescent="0.25">
      <c r="A15" s="912"/>
      <c r="B15" s="317" t="s">
        <v>327</v>
      </c>
      <c r="C15" s="116">
        <f>C3+C10</f>
        <v>4671971000</v>
      </c>
      <c r="D15" s="116">
        <f>D3+D10</f>
        <v>5048355000</v>
      </c>
      <c r="E15" s="116">
        <f>E3+E10</f>
        <v>5308885582</v>
      </c>
      <c r="F15" s="116">
        <f>F3+F10</f>
        <v>5129310906</v>
      </c>
      <c r="G15" s="912"/>
      <c r="H15" s="317" t="s">
        <v>590</v>
      </c>
      <c r="I15" s="511">
        <f>I3+I10</f>
        <v>5574263000</v>
      </c>
      <c r="J15" s="511">
        <f>J3+J10</f>
        <v>6369318000</v>
      </c>
      <c r="K15" s="511">
        <f>K3+K10</f>
        <v>5143904163</v>
      </c>
      <c r="L15" s="511">
        <f>L3+L10</f>
        <v>5923849906</v>
      </c>
    </row>
    <row r="16" spans="1:14" ht="17.649999999999999" customHeight="1" x14ac:dyDescent="0.25">
      <c r="A16" s="117"/>
      <c r="B16" s="118" t="s">
        <v>591</v>
      </c>
      <c r="C16" s="118">
        <f>IF(I9+I14-C9-C14&lt;0,C9+C14-I9-I14,0)</f>
        <v>902292000</v>
      </c>
      <c r="D16" s="118">
        <f>IF(J9+J14-D9-D14&lt;0,D9+D14-J9-J14,0)</f>
        <v>1320963000</v>
      </c>
      <c r="E16" s="118">
        <f>IF(K9+K14-E9-E14&lt;0,E9+E14-K9-K14,0)</f>
        <v>0</v>
      </c>
      <c r="F16" s="118">
        <f>IF(L9+L14-F9-F14&lt;0,F9+F14-L9-L14,0)</f>
        <v>794539000</v>
      </c>
      <c r="G16" s="119"/>
      <c r="H16" s="120" t="s">
        <v>592</v>
      </c>
      <c r="I16" s="118">
        <f>IF(I9+I14-C9-C14&gt;0,I9+I14-C9-C14,0)</f>
        <v>0</v>
      </c>
      <c r="J16" s="118">
        <f>IF(J9+J14-D9-D14&gt;0,J9+J14-D9-D14,0)</f>
        <v>0</v>
      </c>
      <c r="K16" s="118">
        <f>IF(K9+K14-E9-E14&gt;0,K9+K14-E9-E14,0)</f>
        <v>164981419</v>
      </c>
      <c r="L16" s="118">
        <f>IF(L9+L14-F9-F14&gt;0,L9+L14-F9-F14,0)</f>
        <v>0</v>
      </c>
    </row>
    <row r="17" spans="1:12" ht="17.649999999999999" customHeight="1" x14ac:dyDescent="0.25">
      <c r="A17" s="500" t="s">
        <v>328</v>
      </c>
      <c r="B17" s="309" t="s">
        <v>329</v>
      </c>
      <c r="C17" s="501">
        <f>C18+C22</f>
        <v>1100000000</v>
      </c>
      <c r="D17" s="501">
        <f>D18+D22</f>
        <v>2001624000</v>
      </c>
      <c r="E17" s="501">
        <f>E18+E22</f>
        <v>2026439304</v>
      </c>
      <c r="F17" s="501">
        <f>F18+F22</f>
        <v>1000000000</v>
      </c>
      <c r="G17" s="500" t="s">
        <v>328</v>
      </c>
      <c r="H17" s="294" t="s">
        <v>593</v>
      </c>
      <c r="I17" s="110">
        <f>I18+I22</f>
        <v>197708000</v>
      </c>
      <c r="J17" s="110">
        <f>J18+J22</f>
        <v>680661000</v>
      </c>
      <c r="K17" s="110">
        <f>K18+K22</f>
        <v>500015199</v>
      </c>
      <c r="L17" s="110">
        <f>L18+L22</f>
        <v>205461000</v>
      </c>
    </row>
    <row r="18" spans="1:12" ht="17.649999999999999" customHeight="1" x14ac:dyDescent="0.25">
      <c r="A18" s="111"/>
      <c r="B18" s="112" t="s">
        <v>594</v>
      </c>
      <c r="C18" s="112">
        <f>C19+C20+C21</f>
        <v>1100000000</v>
      </c>
      <c r="D18" s="112">
        <f>D19+D20+D21</f>
        <v>2001624000</v>
      </c>
      <c r="E18" s="112">
        <f>E19+E20+E21</f>
        <v>2026439304</v>
      </c>
      <c r="F18" s="112">
        <f>F19+F20+F21</f>
        <v>1000000000</v>
      </c>
      <c r="G18" s="113"/>
      <c r="H18" s="114" t="s">
        <v>595</v>
      </c>
      <c r="I18" s="112">
        <f>I19+I20+I21</f>
        <v>197708000</v>
      </c>
      <c r="J18" s="112">
        <f>J19+J20+J21</f>
        <v>680661000</v>
      </c>
      <c r="K18" s="112">
        <f>K19+K20+K21</f>
        <v>500015199</v>
      </c>
      <c r="L18" s="112">
        <f>L19+L20+L21</f>
        <v>205461000</v>
      </c>
    </row>
    <row r="19" spans="1:12" ht="17.649999999999999" customHeight="1" x14ac:dyDescent="0.25">
      <c r="A19" s="911" t="s">
        <v>311</v>
      </c>
      <c r="B19" s="316" t="s">
        <v>368</v>
      </c>
      <c r="C19" s="235">
        <v>1100000000</v>
      </c>
      <c r="D19" s="235">
        <v>1518671162</v>
      </c>
      <c r="E19" s="235">
        <v>1518671162</v>
      </c>
      <c r="F19" s="235">
        <f>+'[6]1A. Fő bev'!F54</f>
        <v>1000000000</v>
      </c>
      <c r="G19" s="911" t="s">
        <v>311</v>
      </c>
      <c r="H19" s="916" t="str">
        <f>+'[6]1B. Fő kiad'!B27</f>
        <v>1.1. Hitel-, kölcsöntörlesztés államháztartáson kívülre</v>
      </c>
      <c r="I19" s="917">
        <v>180645000</v>
      </c>
      <c r="J19" s="917">
        <v>180645000</v>
      </c>
      <c r="K19" s="917"/>
      <c r="L19" s="917">
        <f>+'[6]1B. Fő kiad'!F27</f>
        <v>180645000</v>
      </c>
    </row>
    <row r="20" spans="1:12" ht="17.649999999999999" customHeight="1" x14ac:dyDescent="0.25">
      <c r="A20" s="911" t="s">
        <v>322</v>
      </c>
      <c r="B20" s="316" t="s">
        <v>666</v>
      </c>
      <c r="C20" s="235">
        <v>0</v>
      </c>
      <c r="D20" s="235">
        <v>0</v>
      </c>
      <c r="E20" s="235">
        <v>0</v>
      </c>
      <c r="F20" s="235">
        <f>+'[6]1A. Fő bev'!F56</f>
        <v>0</v>
      </c>
      <c r="G20" s="911" t="s">
        <v>322</v>
      </c>
      <c r="H20" s="916" t="s">
        <v>1641</v>
      </c>
      <c r="I20" s="917">
        <v>0</v>
      </c>
      <c r="J20" s="917">
        <v>0</v>
      </c>
      <c r="K20" s="917">
        <v>0</v>
      </c>
      <c r="L20" s="917">
        <f>+'[6]1B. Fő kiad'!F32</f>
        <v>0</v>
      </c>
    </row>
    <row r="21" spans="1:12" ht="17.649999999999999" customHeight="1" x14ac:dyDescent="0.25">
      <c r="A21" s="911" t="s">
        <v>315</v>
      </c>
      <c r="B21" s="316" t="s">
        <v>1484</v>
      </c>
      <c r="C21" s="235">
        <v>0</v>
      </c>
      <c r="D21" s="235">
        <v>482952838</v>
      </c>
      <c r="E21" s="235">
        <v>507768142</v>
      </c>
      <c r="F21" s="235">
        <f>+'[6]1A. Fő bev'!F53</f>
        <v>0</v>
      </c>
      <c r="G21" s="911" t="s">
        <v>315</v>
      </c>
      <c r="H21" s="916" t="s">
        <v>1484</v>
      </c>
      <c r="I21" s="917">
        <v>17063000</v>
      </c>
      <c r="J21" s="917">
        <v>500016000</v>
      </c>
      <c r="K21" s="917">
        <v>500015199</v>
      </c>
      <c r="L21" s="918">
        <f>+'[6]1B. Fő kiad'!F29</f>
        <v>24816000</v>
      </c>
    </row>
    <row r="22" spans="1:12" ht="17.649999999999999" customHeight="1" x14ac:dyDescent="0.25">
      <c r="A22" s="111"/>
      <c r="B22" s="112" t="s">
        <v>598</v>
      </c>
      <c r="C22" s="112">
        <f>C23+C24</f>
        <v>0</v>
      </c>
      <c r="D22" s="112">
        <f>D23+D24</f>
        <v>0</v>
      </c>
      <c r="E22" s="112">
        <f>E23+E24</f>
        <v>0</v>
      </c>
      <c r="F22" s="112">
        <f>F23+F24</f>
        <v>0</v>
      </c>
      <c r="G22" s="113"/>
      <c r="H22" s="114" t="s">
        <v>599</v>
      </c>
      <c r="I22" s="114">
        <f>I23</f>
        <v>0</v>
      </c>
      <c r="J22" s="114">
        <f>J23</f>
        <v>0</v>
      </c>
      <c r="K22" s="114">
        <f>K23</f>
        <v>0</v>
      </c>
      <c r="L22" s="114">
        <f>L23</f>
        <v>0</v>
      </c>
    </row>
    <row r="23" spans="1:12" ht="17.649999999999999" customHeight="1" x14ac:dyDescent="0.25">
      <c r="A23" s="911" t="s">
        <v>311</v>
      </c>
      <c r="B23" s="316" t="s">
        <v>330</v>
      </c>
      <c r="C23" s="235">
        <v>0</v>
      </c>
      <c r="D23" s="235">
        <v>0</v>
      </c>
      <c r="E23" s="235">
        <v>0</v>
      </c>
      <c r="F23" s="235">
        <f>+'[6]1A. Fő bev'!F48</f>
        <v>0</v>
      </c>
      <c r="G23" s="911" t="s">
        <v>311</v>
      </c>
      <c r="H23" s="916" t="s">
        <v>596</v>
      </c>
      <c r="I23" s="917">
        <v>0</v>
      </c>
      <c r="J23" s="301">
        <v>0</v>
      </c>
      <c r="K23" s="301">
        <v>0</v>
      </c>
      <c r="L23" s="301">
        <v>0</v>
      </c>
    </row>
    <row r="24" spans="1:12" ht="17.649999999999999" customHeight="1" x14ac:dyDescent="0.25">
      <c r="A24" s="911" t="s">
        <v>322</v>
      </c>
      <c r="B24" s="316" t="s">
        <v>545</v>
      </c>
      <c r="C24" s="235">
        <v>0</v>
      </c>
      <c r="D24" s="235">
        <v>0</v>
      </c>
      <c r="E24" s="235">
        <v>0</v>
      </c>
      <c r="F24" s="235">
        <f>+'[6]1A. Fő bev'!F57</f>
        <v>0</v>
      </c>
      <c r="G24" s="911" t="s">
        <v>322</v>
      </c>
      <c r="H24" s="916" t="s">
        <v>597</v>
      </c>
      <c r="I24" s="917">
        <v>0</v>
      </c>
      <c r="J24" s="301">
        <v>0</v>
      </c>
      <c r="K24" s="301">
        <v>0</v>
      </c>
      <c r="L24" s="301">
        <v>0</v>
      </c>
    </row>
    <row r="25" spans="1:12" ht="17.649999999999999" customHeight="1" x14ac:dyDescent="0.25">
      <c r="A25" s="513"/>
      <c r="B25" s="320" t="s">
        <v>333</v>
      </c>
      <c r="C25" s="292">
        <f>C15+C17</f>
        <v>5771971000</v>
      </c>
      <c r="D25" s="292">
        <f>D15+D17</f>
        <v>7049979000</v>
      </c>
      <c r="E25" s="292">
        <f>E15+E17</f>
        <v>7335324886</v>
      </c>
      <c r="F25" s="292">
        <f>F15+F17</f>
        <v>6129310906</v>
      </c>
      <c r="G25" s="513"/>
      <c r="H25" s="320" t="s">
        <v>344</v>
      </c>
      <c r="I25" s="514">
        <f>I15+I17</f>
        <v>5771971000</v>
      </c>
      <c r="J25" s="514">
        <f>J15+J17</f>
        <v>7049979000</v>
      </c>
      <c r="K25" s="514">
        <f>K15+K17</f>
        <v>5643919362</v>
      </c>
      <c r="L25" s="514">
        <f>L15+L17</f>
        <v>6129310906</v>
      </c>
    </row>
    <row r="26" spans="1:12" ht="17.649999999999999" customHeight="1" x14ac:dyDescent="0.25">
      <c r="A26" s="105"/>
      <c r="B26" s="106"/>
      <c r="C26" s="107"/>
      <c r="D26" s="107"/>
      <c r="E26" s="107"/>
      <c r="F26" s="107"/>
      <c r="G26" s="105"/>
      <c r="H26" s="108"/>
      <c r="I26" s="109"/>
      <c r="J26" s="919">
        <f>+D25-J25</f>
        <v>0</v>
      </c>
      <c r="K26" s="920"/>
      <c r="L26" s="920">
        <f>+F25-L25</f>
        <v>0</v>
      </c>
    </row>
    <row r="27" spans="1:12" ht="17.649999999999999" customHeight="1" x14ac:dyDescent="0.25">
      <c r="A27" s="32"/>
      <c r="B27" s="33"/>
      <c r="C27" s="34"/>
      <c r="D27" s="34"/>
      <c r="E27" s="34"/>
      <c r="F27" s="34"/>
      <c r="G27" s="35"/>
      <c r="H27" s="90"/>
      <c r="I27" s="100"/>
      <c r="J27" s="921"/>
      <c r="K27" s="921"/>
      <c r="L27" s="921"/>
    </row>
    <row r="28" spans="1:12" ht="17.649999999999999" customHeight="1" x14ac:dyDescent="0.25">
      <c r="A28" s="35"/>
      <c r="B28" s="36"/>
      <c r="C28" s="44"/>
      <c r="D28" s="44"/>
      <c r="E28" s="44"/>
      <c r="F28" s="44"/>
      <c r="G28" s="35"/>
      <c r="H28" s="99"/>
      <c r="I28" s="45"/>
      <c r="J28" s="919"/>
      <c r="K28" s="919"/>
      <c r="L28" s="919"/>
    </row>
    <row r="29" spans="1:12" ht="17.649999999999999" customHeight="1" x14ac:dyDescent="0.25">
      <c r="A29" s="35"/>
      <c r="B29" s="36"/>
      <c r="C29" s="44"/>
      <c r="D29" s="44"/>
      <c r="E29" s="44"/>
      <c r="F29" s="44"/>
      <c r="G29" s="35"/>
      <c r="H29" s="99"/>
      <c r="I29" s="45"/>
      <c r="J29" s="919"/>
      <c r="K29" s="919"/>
      <c r="L29" s="919"/>
    </row>
    <row r="30" spans="1:12" ht="17.649999999999999" customHeight="1" x14ac:dyDescent="0.25">
      <c r="A30" s="35"/>
      <c r="B30" s="36"/>
      <c r="C30" s="44"/>
      <c r="D30" s="44"/>
      <c r="E30" s="44"/>
      <c r="F30" s="44"/>
      <c r="G30" s="35"/>
      <c r="H30" s="99"/>
      <c r="I30" s="45"/>
      <c r="J30" s="919"/>
      <c r="K30" s="919"/>
      <c r="L30" s="919"/>
    </row>
    <row r="31" spans="1:12" ht="17.649999999999999" customHeight="1" x14ac:dyDescent="0.25">
      <c r="A31" s="35"/>
      <c r="B31" s="36"/>
      <c r="C31" s="44"/>
      <c r="D31" s="44"/>
      <c r="E31" s="44"/>
      <c r="F31" s="44"/>
      <c r="G31" s="35"/>
      <c r="H31" s="101"/>
      <c r="I31" s="45"/>
      <c r="J31" s="919"/>
      <c r="K31" s="919"/>
      <c r="L31" s="919"/>
    </row>
    <row r="32" spans="1:12" ht="17.649999999999999" customHeight="1" x14ac:dyDescent="0.25">
      <c r="A32" s="35"/>
      <c r="B32" s="36"/>
      <c r="C32" s="44"/>
      <c r="D32" s="44"/>
      <c r="E32" s="44"/>
      <c r="F32" s="44"/>
      <c r="G32" s="35"/>
      <c r="H32" s="101"/>
      <c r="I32" s="45"/>
      <c r="J32" s="919"/>
      <c r="K32" s="919"/>
      <c r="L32" s="919"/>
    </row>
    <row r="33" spans="1:12" ht="17.649999999999999" customHeight="1" x14ac:dyDescent="0.25">
      <c r="A33" s="35"/>
      <c r="B33" s="36"/>
      <c r="C33" s="44"/>
      <c r="D33" s="44"/>
      <c r="E33" s="44"/>
      <c r="F33" s="44"/>
      <c r="G33" s="35"/>
      <c r="H33" s="101"/>
      <c r="I33" s="45"/>
      <c r="J33" s="919"/>
      <c r="K33" s="919"/>
      <c r="L33" s="919"/>
    </row>
    <row r="34" spans="1:12" ht="17.649999999999999" customHeight="1" x14ac:dyDescent="0.25">
      <c r="A34" s="35"/>
      <c r="B34" s="36"/>
      <c r="C34" s="44"/>
      <c r="D34" s="44"/>
      <c r="E34" s="44"/>
      <c r="F34" s="44"/>
      <c r="G34" s="35"/>
      <c r="H34" s="99"/>
      <c r="I34" s="45"/>
      <c r="J34" s="919"/>
      <c r="K34" s="919"/>
      <c r="L34" s="919"/>
    </row>
    <row r="35" spans="1:12" ht="17.649999999999999" customHeight="1" x14ac:dyDescent="0.25">
      <c r="A35" s="35"/>
      <c r="B35" s="36"/>
      <c r="C35" s="44"/>
      <c r="D35" s="44"/>
      <c r="E35" s="44"/>
      <c r="F35" s="44"/>
      <c r="G35" s="35"/>
      <c r="H35" s="99"/>
      <c r="I35" s="45"/>
      <c r="J35" s="919"/>
      <c r="K35" s="919"/>
      <c r="L35" s="919"/>
    </row>
    <row r="36" spans="1:12" ht="17.649999999999999" customHeight="1" x14ac:dyDescent="0.25">
      <c r="A36" s="32"/>
      <c r="B36" s="33"/>
      <c r="C36" s="34"/>
      <c r="D36" s="34"/>
      <c r="E36" s="34"/>
      <c r="F36" s="34"/>
      <c r="G36" s="35"/>
      <c r="H36" s="99"/>
      <c r="I36" s="45"/>
      <c r="J36" s="919"/>
      <c r="K36" s="919"/>
      <c r="L36" s="919"/>
    </row>
    <row r="37" spans="1:12" ht="17.649999999999999" customHeight="1" x14ac:dyDescent="0.25">
      <c r="A37" s="35"/>
      <c r="B37" s="36"/>
      <c r="C37" s="44"/>
      <c r="D37" s="44"/>
      <c r="E37" s="44"/>
      <c r="F37" s="44"/>
      <c r="G37" s="35"/>
      <c r="H37" s="99"/>
      <c r="I37" s="45"/>
      <c r="J37" s="919"/>
      <c r="K37" s="919"/>
      <c r="L37" s="919"/>
    </row>
    <row r="38" spans="1:12" ht="17.649999999999999" customHeight="1" x14ac:dyDescent="0.25">
      <c r="A38" s="35"/>
      <c r="B38" s="36"/>
      <c r="C38" s="44"/>
      <c r="D38" s="44"/>
      <c r="E38" s="44"/>
      <c r="F38" s="44"/>
      <c r="G38" s="35"/>
      <c r="H38" s="99"/>
      <c r="I38" s="45"/>
      <c r="J38" s="919"/>
      <c r="K38" s="919"/>
      <c r="L38" s="919"/>
    </row>
    <row r="39" spans="1:12" ht="17.649999999999999" customHeight="1" x14ac:dyDescent="0.25">
      <c r="G39" s="35"/>
      <c r="H39" s="99"/>
      <c r="I39" s="45"/>
      <c r="J39" s="919"/>
      <c r="K39" s="919"/>
      <c r="L39" s="919"/>
    </row>
    <row r="40" spans="1:12" ht="17.649999999999999" customHeight="1" x14ac:dyDescent="0.25">
      <c r="G40" s="35"/>
      <c r="H40" s="99"/>
      <c r="I40" s="45"/>
      <c r="J40" s="919"/>
      <c r="K40" s="919"/>
      <c r="L40" s="919"/>
    </row>
    <row r="41" spans="1:12" ht="17.649999999999999" customHeight="1" x14ac:dyDescent="0.25">
      <c r="A41" s="35"/>
      <c r="B41" s="38"/>
      <c r="C41" s="37"/>
      <c r="D41" s="37"/>
      <c r="E41" s="37"/>
      <c r="F41" s="37"/>
      <c r="G41" s="35"/>
      <c r="H41" s="99"/>
      <c r="I41" s="45"/>
      <c r="J41" s="919"/>
      <c r="K41" s="919"/>
      <c r="L41" s="919"/>
    </row>
    <row r="42" spans="1:12" ht="17.649999999999999" customHeight="1" x14ac:dyDescent="0.25">
      <c r="A42" s="35"/>
      <c r="B42" s="38"/>
      <c r="C42" s="37"/>
      <c r="D42" s="37"/>
      <c r="E42" s="37"/>
      <c r="F42" s="37"/>
      <c r="G42" s="35"/>
      <c r="H42" s="99"/>
      <c r="I42" s="45"/>
      <c r="J42" s="919"/>
      <c r="K42" s="919"/>
      <c r="L42" s="919"/>
    </row>
    <row r="43" spans="1:12" ht="17.649999999999999" customHeight="1" x14ac:dyDescent="0.25">
      <c r="A43" s="35"/>
      <c r="B43" s="38"/>
      <c r="C43" s="37"/>
      <c r="D43" s="37"/>
      <c r="E43" s="37"/>
      <c r="F43" s="37"/>
      <c r="G43" s="35"/>
      <c r="H43" s="90"/>
      <c r="I43" s="91"/>
      <c r="J43" s="922"/>
      <c r="K43" s="922"/>
      <c r="L43" s="922"/>
    </row>
    <row r="44" spans="1:12" ht="17.649999999999999" customHeight="1" x14ac:dyDescent="0.25">
      <c r="G44" s="35"/>
      <c r="H44" s="99"/>
      <c r="I44" s="45"/>
      <c r="J44" s="919"/>
      <c r="K44" s="919"/>
      <c r="L44" s="919"/>
    </row>
    <row r="45" spans="1:12" ht="17.649999999999999" customHeight="1" x14ac:dyDescent="0.25">
      <c r="A45" s="35"/>
      <c r="B45" s="38"/>
      <c r="C45" s="37"/>
      <c r="D45" s="37"/>
      <c r="E45" s="37"/>
      <c r="F45" s="37"/>
      <c r="G45" s="35"/>
      <c r="H45" s="99"/>
      <c r="I45" s="45"/>
      <c r="J45" s="919"/>
      <c r="K45" s="919"/>
      <c r="L45" s="919"/>
    </row>
    <row r="46" spans="1:12" ht="17.649999999999999" customHeight="1" x14ac:dyDescent="0.25">
      <c r="A46" s="35"/>
      <c r="B46" s="38"/>
      <c r="C46" s="37"/>
      <c r="D46" s="39"/>
      <c r="E46" s="39"/>
      <c r="F46" s="39"/>
    </row>
    <row r="47" spans="1:12" ht="17.649999999999999" customHeight="1" x14ac:dyDescent="0.25">
      <c r="A47" s="35"/>
      <c r="B47" s="38"/>
      <c r="C47" s="37"/>
      <c r="D47" s="39"/>
      <c r="E47" s="39"/>
      <c r="F47" s="39"/>
    </row>
    <row r="48" spans="1:12" ht="17.649999999999999" customHeight="1" x14ac:dyDescent="0.25">
      <c r="A48" s="35"/>
      <c r="B48" s="38"/>
      <c r="C48" s="37"/>
      <c r="D48" s="39"/>
      <c r="E48" s="39"/>
      <c r="F48" s="39"/>
    </row>
    <row r="49" spans="1:12" ht="17.649999999999999" customHeight="1" x14ac:dyDescent="0.25"/>
    <row r="50" spans="1:12" ht="17.649999999999999" customHeight="1" x14ac:dyDescent="0.25">
      <c r="A50" s="35"/>
      <c r="B50" s="38"/>
      <c r="C50" s="37"/>
      <c r="D50" s="37"/>
      <c r="E50" s="37"/>
      <c r="F50" s="37"/>
      <c r="G50" s="35"/>
      <c r="H50" s="90"/>
      <c r="I50" s="91"/>
      <c r="J50" s="922"/>
      <c r="K50" s="922"/>
      <c r="L50" s="922"/>
    </row>
    <row r="51" spans="1:12" ht="17.649999999999999" customHeight="1" x14ac:dyDescent="0.25">
      <c r="A51" s="35"/>
      <c r="B51" s="38"/>
      <c r="C51" s="37"/>
      <c r="D51" s="37"/>
      <c r="E51" s="37"/>
      <c r="F51" s="37"/>
      <c r="G51" s="35"/>
      <c r="H51" s="90"/>
      <c r="I51" s="91"/>
      <c r="J51" s="922"/>
      <c r="K51" s="922"/>
      <c r="L51" s="922"/>
    </row>
    <row r="52" spans="1:12" ht="17.649999999999999" customHeight="1" x14ac:dyDescent="0.25">
      <c r="G52" s="35"/>
      <c r="H52" s="90"/>
      <c r="I52" s="91"/>
      <c r="J52" s="922"/>
      <c r="K52" s="922"/>
      <c r="L52" s="922"/>
    </row>
    <row r="53" spans="1:12" ht="17.649999999999999" customHeight="1" x14ac:dyDescent="0.25">
      <c r="G53" s="35"/>
      <c r="H53" s="90"/>
      <c r="I53" s="91"/>
      <c r="J53" s="922"/>
      <c r="K53" s="922"/>
      <c r="L53" s="922"/>
    </row>
    <row r="54" spans="1:12" ht="17.649999999999999" customHeight="1" x14ac:dyDescent="0.25">
      <c r="G54" s="35"/>
      <c r="H54" s="99"/>
      <c r="I54" s="45"/>
      <c r="J54" s="919"/>
      <c r="K54" s="919"/>
      <c r="L54" s="919"/>
    </row>
    <row r="55" spans="1:12" ht="17.649999999999999" customHeight="1" x14ac:dyDescent="0.25">
      <c r="A55" s="35"/>
      <c r="B55" s="38"/>
      <c r="C55" s="37"/>
      <c r="D55" s="37"/>
      <c r="E55" s="37"/>
      <c r="F55" s="37"/>
      <c r="G55" s="35"/>
      <c r="H55" s="99"/>
      <c r="I55" s="45"/>
      <c r="J55" s="919"/>
      <c r="K55" s="919"/>
      <c r="L55" s="919"/>
    </row>
    <row r="56" spans="1:12" ht="17.649999999999999" customHeight="1" x14ac:dyDescent="0.25">
      <c r="A56" s="35"/>
      <c r="B56" s="93"/>
      <c r="C56" s="37"/>
      <c r="D56" s="37"/>
      <c r="E56" s="37"/>
      <c r="F56" s="37"/>
      <c r="G56" s="35"/>
      <c r="H56" s="90"/>
      <c r="I56" s="91"/>
      <c r="J56" s="922"/>
      <c r="K56" s="922"/>
      <c r="L56" s="922"/>
    </row>
    <row r="57" spans="1:12" ht="17.649999999999999" customHeight="1" x14ac:dyDescent="0.25">
      <c r="A57" s="35"/>
      <c r="B57" s="93"/>
      <c r="C57" s="37"/>
      <c r="D57" s="37"/>
      <c r="E57" s="37"/>
      <c r="F57" s="37"/>
      <c r="G57" s="35"/>
      <c r="H57" s="99"/>
      <c r="I57" s="45"/>
      <c r="J57" s="919"/>
      <c r="K57" s="919"/>
      <c r="L57" s="919"/>
    </row>
    <row r="58" spans="1:12" ht="17.649999999999999" customHeight="1" x14ac:dyDescent="0.25">
      <c r="A58" s="35"/>
      <c r="B58" s="38"/>
      <c r="C58" s="37"/>
      <c r="D58" s="37"/>
      <c r="E58" s="37"/>
      <c r="F58" s="37"/>
      <c r="G58" s="35"/>
      <c r="H58" s="99"/>
      <c r="I58" s="45"/>
      <c r="J58" s="919"/>
      <c r="K58" s="919"/>
      <c r="L58" s="919"/>
    </row>
    <row r="59" spans="1:12" ht="17.649999999999999" customHeight="1" x14ac:dyDescent="0.25">
      <c r="A59" s="35"/>
      <c r="B59" s="38"/>
      <c r="C59" s="37"/>
      <c r="D59" s="37"/>
      <c r="E59" s="37"/>
      <c r="F59" s="37"/>
      <c r="G59" s="35"/>
      <c r="H59" s="90"/>
      <c r="I59" s="91"/>
      <c r="J59" s="922"/>
      <c r="K59" s="922"/>
      <c r="L59" s="922"/>
    </row>
    <row r="60" spans="1:12" ht="17.649999999999999" customHeight="1" x14ac:dyDescent="0.25">
      <c r="A60" s="35"/>
      <c r="B60" s="38"/>
      <c r="C60" s="37"/>
      <c r="D60" s="39"/>
      <c r="E60" s="39"/>
      <c r="F60" s="39"/>
    </row>
    <row r="61" spans="1:12" ht="17.649999999999999" customHeight="1" x14ac:dyDescent="0.25">
      <c r="A61" s="35"/>
      <c r="B61" s="38"/>
      <c r="C61" s="37"/>
      <c r="D61" s="39"/>
      <c r="E61" s="39"/>
      <c r="F61" s="39"/>
    </row>
    <row r="62" spans="1:12" ht="17.649999999999999" customHeight="1" x14ac:dyDescent="0.25"/>
    <row r="63" spans="1:12" ht="17.649999999999999" customHeight="1" x14ac:dyDescent="0.25">
      <c r="A63" s="35"/>
      <c r="B63" s="38"/>
      <c r="C63" s="37"/>
      <c r="D63" s="37"/>
      <c r="E63" s="37"/>
      <c r="F63" s="37"/>
      <c r="G63" s="35"/>
      <c r="H63" s="102"/>
      <c r="I63" s="103"/>
      <c r="J63" s="923"/>
      <c r="K63" s="923"/>
      <c r="L63" s="923"/>
    </row>
    <row r="64" spans="1:12" ht="17.649999999999999" customHeight="1" x14ac:dyDescent="0.25">
      <c r="A64" s="35"/>
      <c r="B64" s="38"/>
      <c r="C64" s="37"/>
      <c r="D64" s="37"/>
      <c r="E64" s="37"/>
      <c r="F64" s="37"/>
      <c r="G64" s="35"/>
      <c r="H64" s="99"/>
      <c r="I64" s="104"/>
      <c r="J64" s="924"/>
      <c r="K64" s="924"/>
      <c r="L64" s="924"/>
    </row>
    <row r="65" spans="7:12" ht="17.649999999999999" customHeight="1" x14ac:dyDescent="0.25">
      <c r="G65" s="35"/>
      <c r="H65" s="99"/>
      <c r="I65" s="104"/>
      <c r="J65" s="924"/>
      <c r="K65" s="924"/>
      <c r="L65" s="924"/>
    </row>
    <row r="66" spans="7:12" ht="17.649999999999999" customHeight="1" x14ac:dyDescent="0.25">
      <c r="G66" s="35"/>
      <c r="H66" s="102"/>
      <c r="I66" s="103"/>
      <c r="J66" s="923"/>
      <c r="K66" s="923"/>
      <c r="L66" s="923"/>
    </row>
    <row r="67" spans="7:12" ht="17.649999999999999" customHeight="1" x14ac:dyDescent="0.25">
      <c r="G67" s="35"/>
      <c r="H67" s="102"/>
      <c r="I67" s="103"/>
      <c r="J67" s="923"/>
      <c r="K67" s="923"/>
      <c r="L67" s="923"/>
    </row>
    <row r="68" spans="7:12" ht="17.649999999999999" customHeight="1" x14ac:dyDescent="0.25">
      <c r="G68" s="35"/>
      <c r="H68" s="102"/>
      <c r="I68" s="103"/>
      <c r="J68" s="923"/>
      <c r="K68" s="923"/>
      <c r="L68" s="923"/>
    </row>
    <row r="69" spans="7:12" ht="17.649999999999999" customHeight="1" x14ac:dyDescent="0.25">
      <c r="G69" s="35"/>
      <c r="H69" s="102"/>
      <c r="I69" s="103"/>
      <c r="J69" s="923"/>
      <c r="K69" s="923"/>
      <c r="L69" s="923"/>
    </row>
    <row r="70" spans="7:12" ht="17.649999999999999" customHeight="1" x14ac:dyDescent="0.25">
      <c r="G70" s="35"/>
      <c r="H70" s="102"/>
      <c r="I70" s="103"/>
      <c r="J70" s="923"/>
      <c r="K70" s="923"/>
      <c r="L70" s="923"/>
    </row>
    <row r="71" spans="7:12" ht="17.649999999999999" customHeight="1" x14ac:dyDescent="0.25"/>
    <row r="72" spans="7:12" ht="17.649999999999999" customHeight="1" x14ac:dyDescent="0.25">
      <c r="G72" s="35"/>
      <c r="H72" s="102"/>
      <c r="I72" s="103"/>
      <c r="J72" s="923"/>
      <c r="K72" s="923"/>
      <c r="L72" s="923"/>
    </row>
    <row r="73" spans="7:12" ht="17.649999999999999" customHeight="1" x14ac:dyDescent="0.25">
      <c r="G73" s="35"/>
      <c r="H73" s="102"/>
      <c r="I73" s="103"/>
      <c r="J73" s="923"/>
      <c r="K73" s="923"/>
      <c r="L73" s="923"/>
    </row>
    <row r="74" spans="7:12" ht="17.649999999999999" customHeight="1" x14ac:dyDescent="0.25"/>
  </sheetData>
  <printOptions horizontalCentered="1"/>
  <pageMargins left="0.47244094488188981" right="0.43307086614173229" top="0.74803149606299213" bottom="0.74803149606299213" header="0.31496062992125984" footer="0.31496062992125984"/>
  <pageSetup paperSize="9" scale="67" orientation="landscape" r:id="rId1"/>
  <headerFooter>
    <oddHeader>&amp;C&amp;"-,Félkövér"&amp;16Törökbálint Város Önkormányzat költségvetési mérlege 2020. év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R47"/>
  <sheetViews>
    <sheetView view="pageBreakPreview" topLeftCell="A36" zoomScale="95" zoomScaleNormal="100" zoomScaleSheetLayoutView="95" workbookViewId="0">
      <selection activeCell="R38" sqref="R38"/>
    </sheetView>
  </sheetViews>
  <sheetFormatPr defaultRowHeight="15" x14ac:dyDescent="0.25"/>
  <cols>
    <col min="1" max="1" width="7.140625" style="30" customWidth="1"/>
    <col min="2" max="2" width="51" customWidth="1"/>
    <col min="3" max="8" width="14.7109375" hidden="1" customWidth="1"/>
    <col min="9" max="14" width="14.7109375" customWidth="1"/>
    <col min="15" max="17" width="14.7109375" hidden="1" customWidth="1"/>
  </cols>
  <sheetData>
    <row r="1" spans="1:17" x14ac:dyDescent="0.25">
      <c r="E1" s="31"/>
      <c r="H1" s="31"/>
      <c r="K1" s="31"/>
      <c r="N1" s="31" t="s">
        <v>1662</v>
      </c>
      <c r="Q1" s="31"/>
    </row>
    <row r="2" spans="1:17" ht="20.45" customHeight="1" x14ac:dyDescent="0.25">
      <c r="A2" s="304" t="s">
        <v>303</v>
      </c>
      <c r="B2" s="304" t="s">
        <v>1423</v>
      </c>
      <c r="C2" s="518"/>
      <c r="D2" s="518"/>
      <c r="E2" s="518"/>
      <c r="F2" s="518"/>
      <c r="G2" s="518"/>
      <c r="H2" s="518"/>
      <c r="I2" s="518"/>
      <c r="J2" s="518"/>
      <c r="K2" s="518"/>
      <c r="L2" s="518"/>
      <c r="M2" s="518"/>
      <c r="N2" s="518"/>
      <c r="O2" s="518"/>
      <c r="P2" s="518"/>
      <c r="Q2" s="518"/>
    </row>
    <row r="3" spans="1:17" ht="19.149999999999999" customHeight="1" x14ac:dyDescent="0.25">
      <c r="A3" s="304" t="s">
        <v>304</v>
      </c>
      <c r="B3" s="304" t="s">
        <v>1471</v>
      </c>
      <c r="C3" s="518"/>
      <c r="D3" s="518"/>
      <c r="E3" s="518"/>
      <c r="F3" s="518"/>
      <c r="G3" s="518"/>
      <c r="H3" s="518"/>
      <c r="I3" s="518"/>
      <c r="J3" s="518"/>
      <c r="K3" s="518"/>
      <c r="L3" s="518"/>
      <c r="M3" s="518"/>
      <c r="N3" s="518"/>
      <c r="O3" s="518"/>
      <c r="P3" s="518"/>
      <c r="Q3" s="518"/>
    </row>
    <row r="4" spans="1:17" ht="39.4" customHeight="1" x14ac:dyDescent="0.25">
      <c r="A4" s="938" t="s">
        <v>305</v>
      </c>
      <c r="B4" s="965" t="s">
        <v>306</v>
      </c>
      <c r="C4" s="939" t="s">
        <v>1654</v>
      </c>
      <c r="D4" s="936"/>
      <c r="E4" s="940"/>
      <c r="F4" s="939" t="s">
        <v>1760</v>
      </c>
      <c r="G4" s="936"/>
      <c r="H4" s="940"/>
      <c r="I4" s="939" t="s">
        <v>1795</v>
      </c>
      <c r="J4" s="936"/>
      <c r="K4" s="940"/>
      <c r="L4" s="939" t="s">
        <v>1803</v>
      </c>
      <c r="M4" s="936"/>
      <c r="N4" s="940"/>
      <c r="O4" s="962" t="s">
        <v>1806</v>
      </c>
      <c r="P4" s="936"/>
      <c r="Q4" s="940"/>
    </row>
    <row r="5" spans="1:17" ht="30" x14ac:dyDescent="0.25">
      <c r="A5" s="938"/>
      <c r="B5" s="965"/>
      <c r="C5" s="516" t="s">
        <v>1300</v>
      </c>
      <c r="D5" s="516" t="s">
        <v>1301</v>
      </c>
      <c r="E5" s="516" t="s">
        <v>550</v>
      </c>
      <c r="F5" s="690" t="s">
        <v>1300</v>
      </c>
      <c r="G5" s="690" t="s">
        <v>1301</v>
      </c>
      <c r="H5" s="690" t="s">
        <v>550</v>
      </c>
      <c r="I5" s="690" t="s">
        <v>1300</v>
      </c>
      <c r="J5" s="690" t="s">
        <v>1301</v>
      </c>
      <c r="K5" s="690" t="s">
        <v>550</v>
      </c>
      <c r="L5" s="690" t="s">
        <v>1300</v>
      </c>
      <c r="M5" s="690" t="s">
        <v>1301</v>
      </c>
      <c r="N5" s="690" t="s">
        <v>550</v>
      </c>
      <c r="O5" s="690" t="s">
        <v>1300</v>
      </c>
      <c r="P5" s="690" t="s">
        <v>1301</v>
      </c>
      <c r="Q5" s="690" t="s">
        <v>550</v>
      </c>
    </row>
    <row r="6" spans="1:17" x14ac:dyDescent="0.25">
      <c r="A6" s="305"/>
      <c r="B6" s="306" t="s">
        <v>307</v>
      </c>
      <c r="C6" s="307">
        <v>24</v>
      </c>
      <c r="D6" s="307"/>
      <c r="E6" s="307">
        <f t="shared" ref="E6:E46" si="0">SUM(C6:D6)</f>
        <v>24</v>
      </c>
      <c r="F6" s="307">
        <v>24</v>
      </c>
      <c r="G6" s="307"/>
      <c r="H6" s="307">
        <f t="shared" ref="H6:H46" si="1">SUM(F6:G6)</f>
        <v>24</v>
      </c>
      <c r="I6" s="307">
        <v>24</v>
      </c>
      <c r="J6" s="307"/>
      <c r="K6" s="307">
        <f t="shared" ref="K6:K46" si="2">SUM(I6:J6)</f>
        <v>24</v>
      </c>
      <c r="L6" s="307">
        <v>24</v>
      </c>
      <c r="M6" s="307"/>
      <c r="N6" s="307">
        <f t="shared" ref="N6:N46" si="3">SUM(L6:M6)</f>
        <v>24</v>
      </c>
      <c r="O6" s="307">
        <v>24</v>
      </c>
      <c r="P6" s="307"/>
      <c r="Q6" s="307">
        <f t="shared" ref="Q6:Q46" si="4">SUM(O6:P6)</f>
        <v>24</v>
      </c>
    </row>
    <row r="7" spans="1:17" x14ac:dyDescent="0.25">
      <c r="A7" s="305"/>
      <c r="B7" s="306" t="s">
        <v>308</v>
      </c>
      <c r="C7" s="307"/>
      <c r="D7" s="307"/>
      <c r="E7" s="307">
        <f t="shared" si="0"/>
        <v>0</v>
      </c>
      <c r="F7" s="307"/>
      <c r="G7" s="307"/>
      <c r="H7" s="307">
        <f t="shared" si="1"/>
        <v>0</v>
      </c>
      <c r="I7" s="307"/>
      <c r="J7" s="307"/>
      <c r="K7" s="307">
        <f t="shared" si="2"/>
        <v>0</v>
      </c>
      <c r="L7" s="307"/>
      <c r="M7" s="307"/>
      <c r="N7" s="307">
        <f t="shared" si="3"/>
        <v>0</v>
      </c>
      <c r="O7" s="307"/>
      <c r="P7" s="307"/>
      <c r="Q7" s="307">
        <f t="shared" si="4"/>
        <v>0</v>
      </c>
    </row>
    <row r="8" spans="1:17" x14ac:dyDescent="0.25">
      <c r="A8" s="308" t="s">
        <v>309</v>
      </c>
      <c r="B8" s="309" t="s">
        <v>310</v>
      </c>
      <c r="C8" s="310">
        <f>C9+C11+C20</f>
        <v>7700000</v>
      </c>
      <c r="D8" s="310">
        <f>D9+D11+D20</f>
        <v>0</v>
      </c>
      <c r="E8" s="310">
        <f t="shared" si="0"/>
        <v>7700000</v>
      </c>
      <c r="F8" s="501">
        <f>F9+F11+F20</f>
        <v>7700000</v>
      </c>
      <c r="G8" s="501">
        <f>G9+G11+G20</f>
        <v>0</v>
      </c>
      <c r="H8" s="501">
        <f t="shared" si="1"/>
        <v>7700000</v>
      </c>
      <c r="I8" s="501">
        <f>I9+I11+I20</f>
        <v>7700000</v>
      </c>
      <c r="J8" s="501">
        <f>J9+J11+J20</f>
        <v>0</v>
      </c>
      <c r="K8" s="501">
        <f t="shared" si="2"/>
        <v>7700000</v>
      </c>
      <c r="L8" s="501">
        <f>L9+L11+L20</f>
        <v>7700000</v>
      </c>
      <c r="M8" s="501">
        <f>M9+M11+M20</f>
        <v>0</v>
      </c>
      <c r="N8" s="501">
        <f t="shared" si="3"/>
        <v>7700000</v>
      </c>
      <c r="O8" s="501">
        <f>O9+O11+O20</f>
        <v>5788879</v>
      </c>
      <c r="P8" s="501">
        <f>P9+P11+P20</f>
        <v>0</v>
      </c>
      <c r="Q8" s="501">
        <f t="shared" si="4"/>
        <v>5788879</v>
      </c>
    </row>
    <row r="9" spans="1:17" x14ac:dyDescent="0.25">
      <c r="A9" s="311" t="s">
        <v>311</v>
      </c>
      <c r="B9" s="312" t="s">
        <v>312</v>
      </c>
      <c r="C9" s="313">
        <f>C10</f>
        <v>0</v>
      </c>
      <c r="D9" s="313">
        <f>D10</f>
        <v>0</v>
      </c>
      <c r="E9" s="313">
        <f t="shared" si="0"/>
        <v>0</v>
      </c>
      <c r="F9" s="503">
        <f>F10</f>
        <v>0</v>
      </c>
      <c r="G9" s="503">
        <f>G10</f>
        <v>0</v>
      </c>
      <c r="H9" s="503">
        <f t="shared" si="1"/>
        <v>0</v>
      </c>
      <c r="I9" s="503">
        <f>I10</f>
        <v>0</v>
      </c>
      <c r="J9" s="503">
        <f>J10</f>
        <v>0</v>
      </c>
      <c r="K9" s="503">
        <f t="shared" si="2"/>
        <v>0</v>
      </c>
      <c r="L9" s="503">
        <f>L10</f>
        <v>0</v>
      </c>
      <c r="M9" s="503">
        <f>M10</f>
        <v>0</v>
      </c>
      <c r="N9" s="503">
        <f t="shared" si="3"/>
        <v>0</v>
      </c>
      <c r="O9" s="503">
        <f>O10</f>
        <v>0</v>
      </c>
      <c r="P9" s="503">
        <f>P10</f>
        <v>0</v>
      </c>
      <c r="Q9" s="503">
        <f t="shared" si="4"/>
        <v>0</v>
      </c>
    </row>
    <row r="10" spans="1:17" ht="30.2" hidden="1" customHeight="1" x14ac:dyDescent="0.25">
      <c r="A10" s="346"/>
      <c r="B10" s="314" t="s">
        <v>313</v>
      </c>
      <c r="C10" s="235">
        <v>0</v>
      </c>
      <c r="D10" s="235">
        <v>0</v>
      </c>
      <c r="E10" s="235">
        <f t="shared" si="0"/>
        <v>0</v>
      </c>
      <c r="F10" s="235">
        <v>0</v>
      </c>
      <c r="G10" s="235">
        <v>0</v>
      </c>
      <c r="H10" s="235">
        <f t="shared" si="1"/>
        <v>0</v>
      </c>
      <c r="I10" s="235">
        <v>0</v>
      </c>
      <c r="J10" s="235">
        <v>0</v>
      </c>
      <c r="K10" s="235">
        <f t="shared" si="2"/>
        <v>0</v>
      </c>
      <c r="L10" s="235">
        <v>0</v>
      </c>
      <c r="M10" s="235">
        <v>0</v>
      </c>
      <c r="N10" s="235">
        <f t="shared" si="3"/>
        <v>0</v>
      </c>
      <c r="O10" s="235">
        <v>0</v>
      </c>
      <c r="P10" s="235">
        <v>0</v>
      </c>
      <c r="Q10" s="235">
        <f t="shared" si="4"/>
        <v>0</v>
      </c>
    </row>
    <row r="11" spans="1:17" x14ac:dyDescent="0.25">
      <c r="A11" s="311" t="s">
        <v>322</v>
      </c>
      <c r="B11" s="312" t="s">
        <v>314</v>
      </c>
      <c r="C11" s="313">
        <f>C12+C13+C14+C15+C16+C17+C18+C19</f>
        <v>7700000</v>
      </c>
      <c r="D11" s="313">
        <f>D12+D13+D14+D15+D16+D17+D18+D19</f>
        <v>0</v>
      </c>
      <c r="E11" s="313">
        <f t="shared" si="0"/>
        <v>7700000</v>
      </c>
      <c r="F11" s="503">
        <f>F12+F13+F14+F15+F16+F17+F18+F19</f>
        <v>7700000</v>
      </c>
      <c r="G11" s="503">
        <f>G12+G13+G14+G15+G16+G17+G18+G19</f>
        <v>0</v>
      </c>
      <c r="H11" s="503">
        <f t="shared" si="1"/>
        <v>7700000</v>
      </c>
      <c r="I11" s="503">
        <f>I12+I13+I14+I15+I16+I17+I18+I19</f>
        <v>7700000</v>
      </c>
      <c r="J11" s="503">
        <f>J12+J13+J14+J15+J16+J17+J18+J19</f>
        <v>0</v>
      </c>
      <c r="K11" s="503">
        <f t="shared" si="2"/>
        <v>7700000</v>
      </c>
      <c r="L11" s="503">
        <f>L12+L13+L14+L15+L16+L17+L18+L19</f>
        <v>7700000</v>
      </c>
      <c r="M11" s="503">
        <f>M12+M13+M14+M15+M16+M17+M18+M19</f>
        <v>0</v>
      </c>
      <c r="N11" s="503">
        <f t="shared" si="3"/>
        <v>7700000</v>
      </c>
      <c r="O11" s="503">
        <f>O12+O13+O14+O15+O16+O17+O18+O19</f>
        <v>5788879</v>
      </c>
      <c r="P11" s="503">
        <f>P12+P13+P14+P15+P16+P17+P18+P19</f>
        <v>0</v>
      </c>
      <c r="Q11" s="503">
        <f t="shared" si="4"/>
        <v>5788879</v>
      </c>
    </row>
    <row r="12" spans="1:17" x14ac:dyDescent="0.25">
      <c r="A12" s="346"/>
      <c r="B12" s="314" t="s">
        <v>651</v>
      </c>
      <c r="C12" s="235">
        <v>0</v>
      </c>
      <c r="D12" s="235">
        <v>0</v>
      </c>
      <c r="E12" s="235">
        <f t="shared" si="0"/>
        <v>0</v>
      </c>
      <c r="F12" s="235">
        <v>0</v>
      </c>
      <c r="G12" s="235">
        <v>0</v>
      </c>
      <c r="H12" s="235">
        <f t="shared" si="1"/>
        <v>0</v>
      </c>
      <c r="I12" s="235">
        <v>0</v>
      </c>
      <c r="J12" s="235">
        <v>0</v>
      </c>
      <c r="K12" s="235">
        <f t="shared" si="2"/>
        <v>0</v>
      </c>
      <c r="L12" s="235">
        <v>0</v>
      </c>
      <c r="M12" s="235">
        <v>0</v>
      </c>
      <c r="N12" s="235">
        <f t="shared" si="3"/>
        <v>0</v>
      </c>
      <c r="O12" s="235">
        <v>0</v>
      </c>
      <c r="P12" s="235">
        <v>0</v>
      </c>
      <c r="Q12" s="235">
        <f t="shared" si="4"/>
        <v>0</v>
      </c>
    </row>
    <row r="13" spans="1:17" x14ac:dyDescent="0.25">
      <c r="A13" s="346"/>
      <c r="B13" s="314" t="s">
        <v>652</v>
      </c>
      <c r="C13" s="235">
        <v>0</v>
      </c>
      <c r="D13" s="235">
        <v>0</v>
      </c>
      <c r="E13" s="235">
        <f t="shared" si="0"/>
        <v>0</v>
      </c>
      <c r="F13" s="235">
        <v>0</v>
      </c>
      <c r="G13" s="235">
        <v>0</v>
      </c>
      <c r="H13" s="235">
        <f t="shared" si="1"/>
        <v>0</v>
      </c>
      <c r="I13" s="235">
        <v>0</v>
      </c>
      <c r="J13" s="235">
        <v>0</v>
      </c>
      <c r="K13" s="235">
        <f t="shared" si="2"/>
        <v>0</v>
      </c>
      <c r="L13" s="235">
        <v>0</v>
      </c>
      <c r="M13" s="235">
        <v>0</v>
      </c>
      <c r="N13" s="235">
        <f t="shared" si="3"/>
        <v>0</v>
      </c>
      <c r="O13" s="235">
        <v>0</v>
      </c>
      <c r="P13" s="235">
        <v>0</v>
      </c>
      <c r="Q13" s="235">
        <f t="shared" si="4"/>
        <v>0</v>
      </c>
    </row>
    <row r="14" spans="1:17" x14ac:dyDescent="0.25">
      <c r="A14" s="346"/>
      <c r="B14" s="314" t="s">
        <v>659</v>
      </c>
      <c r="C14" s="235">
        <v>0</v>
      </c>
      <c r="D14" s="235">
        <v>0</v>
      </c>
      <c r="E14" s="235">
        <f t="shared" si="0"/>
        <v>0</v>
      </c>
      <c r="F14" s="235">
        <v>0</v>
      </c>
      <c r="G14" s="235">
        <v>0</v>
      </c>
      <c r="H14" s="235">
        <f t="shared" si="1"/>
        <v>0</v>
      </c>
      <c r="I14" s="235">
        <v>0</v>
      </c>
      <c r="J14" s="235">
        <v>0</v>
      </c>
      <c r="K14" s="235">
        <f t="shared" si="2"/>
        <v>0</v>
      </c>
      <c r="L14" s="235">
        <v>0</v>
      </c>
      <c r="M14" s="235">
        <v>0</v>
      </c>
      <c r="N14" s="235">
        <f t="shared" si="3"/>
        <v>0</v>
      </c>
      <c r="O14" s="235">
        <v>0</v>
      </c>
      <c r="P14" s="235">
        <v>0</v>
      </c>
      <c r="Q14" s="235">
        <f t="shared" si="4"/>
        <v>0</v>
      </c>
    </row>
    <row r="15" spans="1:17" x14ac:dyDescent="0.25">
      <c r="A15" s="346"/>
      <c r="B15" s="314" t="s">
        <v>660</v>
      </c>
      <c r="C15" s="235">
        <v>7000000</v>
      </c>
      <c r="D15" s="235">
        <v>0</v>
      </c>
      <c r="E15" s="235">
        <f t="shared" si="0"/>
        <v>7000000</v>
      </c>
      <c r="F15" s="235">
        <v>7000000</v>
      </c>
      <c r="G15" s="235">
        <v>0</v>
      </c>
      <c r="H15" s="235">
        <f t="shared" si="1"/>
        <v>7000000</v>
      </c>
      <c r="I15" s="235">
        <v>7000000</v>
      </c>
      <c r="J15" s="235">
        <v>0</v>
      </c>
      <c r="K15" s="235">
        <f t="shared" si="2"/>
        <v>7000000</v>
      </c>
      <c r="L15" s="235">
        <v>7000000</v>
      </c>
      <c r="M15" s="235">
        <v>0</v>
      </c>
      <c r="N15" s="235">
        <f t="shared" si="3"/>
        <v>7000000</v>
      </c>
      <c r="O15" s="235">
        <v>5239055</v>
      </c>
      <c r="P15" s="235">
        <v>0</v>
      </c>
      <c r="Q15" s="235">
        <f t="shared" si="4"/>
        <v>5239055</v>
      </c>
    </row>
    <row r="16" spans="1:17" x14ac:dyDescent="0.25">
      <c r="A16" s="346"/>
      <c r="B16" s="314" t="s">
        <v>661</v>
      </c>
      <c r="C16" s="235">
        <v>700000</v>
      </c>
      <c r="D16" s="235">
        <v>0</v>
      </c>
      <c r="E16" s="235">
        <f t="shared" si="0"/>
        <v>700000</v>
      </c>
      <c r="F16" s="235">
        <v>700000</v>
      </c>
      <c r="G16" s="235">
        <v>0</v>
      </c>
      <c r="H16" s="235">
        <f t="shared" si="1"/>
        <v>700000</v>
      </c>
      <c r="I16" s="235">
        <v>700000</v>
      </c>
      <c r="J16" s="235">
        <v>0</v>
      </c>
      <c r="K16" s="235">
        <f t="shared" si="2"/>
        <v>700000</v>
      </c>
      <c r="L16" s="235">
        <v>700000</v>
      </c>
      <c r="M16" s="235">
        <v>0</v>
      </c>
      <c r="N16" s="235">
        <f t="shared" si="3"/>
        <v>700000</v>
      </c>
      <c r="O16" s="235">
        <v>521399</v>
      </c>
      <c r="P16" s="235">
        <v>0</v>
      </c>
      <c r="Q16" s="235">
        <f t="shared" si="4"/>
        <v>521399</v>
      </c>
    </row>
    <row r="17" spans="1:17" x14ac:dyDescent="0.25">
      <c r="A17" s="346"/>
      <c r="B17" s="314" t="s">
        <v>662</v>
      </c>
      <c r="C17" s="235">
        <v>0</v>
      </c>
      <c r="D17" s="235">
        <v>0</v>
      </c>
      <c r="E17" s="235">
        <f t="shared" si="0"/>
        <v>0</v>
      </c>
      <c r="F17" s="235">
        <v>0</v>
      </c>
      <c r="G17" s="235">
        <v>0</v>
      </c>
      <c r="H17" s="235">
        <f t="shared" si="1"/>
        <v>0</v>
      </c>
      <c r="I17" s="235">
        <v>0</v>
      </c>
      <c r="J17" s="235">
        <v>0</v>
      </c>
      <c r="K17" s="235">
        <f t="shared" si="2"/>
        <v>0</v>
      </c>
      <c r="L17" s="235">
        <v>0</v>
      </c>
      <c r="M17" s="235">
        <v>0</v>
      </c>
      <c r="N17" s="235">
        <f t="shared" si="3"/>
        <v>0</v>
      </c>
      <c r="O17" s="235">
        <v>0</v>
      </c>
      <c r="P17" s="235">
        <v>0</v>
      </c>
      <c r="Q17" s="235">
        <f t="shared" si="4"/>
        <v>0</v>
      </c>
    </row>
    <row r="18" spans="1:17" x14ac:dyDescent="0.25">
      <c r="A18" s="346"/>
      <c r="B18" s="314" t="s">
        <v>663</v>
      </c>
      <c r="C18" s="235">
        <v>0</v>
      </c>
      <c r="D18" s="235">
        <v>0</v>
      </c>
      <c r="E18" s="235">
        <f t="shared" si="0"/>
        <v>0</v>
      </c>
      <c r="F18" s="235">
        <v>0</v>
      </c>
      <c r="G18" s="235">
        <v>0</v>
      </c>
      <c r="H18" s="235">
        <f t="shared" si="1"/>
        <v>0</v>
      </c>
      <c r="I18" s="235">
        <v>0</v>
      </c>
      <c r="J18" s="235">
        <v>0</v>
      </c>
      <c r="K18" s="235">
        <f t="shared" si="2"/>
        <v>0</v>
      </c>
      <c r="L18" s="235">
        <v>0</v>
      </c>
      <c r="M18" s="235">
        <v>0</v>
      </c>
      <c r="N18" s="235">
        <f t="shared" si="3"/>
        <v>0</v>
      </c>
      <c r="O18" s="235">
        <v>6</v>
      </c>
      <c r="P18" s="235">
        <v>0</v>
      </c>
      <c r="Q18" s="235">
        <f t="shared" si="4"/>
        <v>6</v>
      </c>
    </row>
    <row r="19" spans="1:17" x14ac:dyDescent="0.25">
      <c r="A19" s="346"/>
      <c r="B19" s="314" t="s">
        <v>664</v>
      </c>
      <c r="C19" s="235">
        <v>0</v>
      </c>
      <c r="D19" s="235">
        <v>0</v>
      </c>
      <c r="E19" s="235">
        <f t="shared" si="0"/>
        <v>0</v>
      </c>
      <c r="F19" s="235">
        <v>0</v>
      </c>
      <c r="G19" s="235">
        <v>0</v>
      </c>
      <c r="H19" s="235">
        <f t="shared" si="1"/>
        <v>0</v>
      </c>
      <c r="I19" s="235">
        <v>0</v>
      </c>
      <c r="J19" s="235">
        <v>0</v>
      </c>
      <c r="K19" s="235">
        <f t="shared" si="2"/>
        <v>0</v>
      </c>
      <c r="L19" s="235">
        <v>0</v>
      </c>
      <c r="M19" s="235">
        <v>0</v>
      </c>
      <c r="N19" s="235">
        <f t="shared" si="3"/>
        <v>0</v>
      </c>
      <c r="O19" s="235">
        <v>28419</v>
      </c>
      <c r="P19" s="235">
        <v>0</v>
      </c>
      <c r="Q19" s="235">
        <f t="shared" si="4"/>
        <v>28419</v>
      </c>
    </row>
    <row r="20" spans="1:17" x14ac:dyDescent="0.25">
      <c r="A20" s="311" t="s">
        <v>315</v>
      </c>
      <c r="B20" s="312" t="s">
        <v>316</v>
      </c>
      <c r="C20" s="313">
        <f>SUM(C21:C21)</f>
        <v>0</v>
      </c>
      <c r="D20" s="313">
        <f>SUM(D21:D21)</f>
        <v>0</v>
      </c>
      <c r="E20" s="313">
        <f t="shared" si="0"/>
        <v>0</v>
      </c>
      <c r="F20" s="503">
        <f>SUM(F21:F21)</f>
        <v>0</v>
      </c>
      <c r="G20" s="503">
        <f>SUM(G21:G21)</f>
        <v>0</v>
      </c>
      <c r="H20" s="503">
        <f t="shared" si="1"/>
        <v>0</v>
      </c>
      <c r="I20" s="503">
        <f>SUM(I21:I21)</f>
        <v>0</v>
      </c>
      <c r="J20" s="503">
        <f>SUM(J21:J21)</f>
        <v>0</v>
      </c>
      <c r="K20" s="503">
        <f t="shared" si="2"/>
        <v>0</v>
      </c>
      <c r="L20" s="503">
        <f>SUM(L21:L21)</f>
        <v>0</v>
      </c>
      <c r="M20" s="503">
        <f>SUM(M21:M21)</f>
        <v>0</v>
      </c>
      <c r="N20" s="503">
        <f t="shared" si="3"/>
        <v>0</v>
      </c>
      <c r="O20" s="503">
        <f>SUM(O21:O21)</f>
        <v>0</v>
      </c>
      <c r="P20" s="503">
        <f>SUM(P21:P21)</f>
        <v>0</v>
      </c>
      <c r="Q20" s="503">
        <f t="shared" si="4"/>
        <v>0</v>
      </c>
    </row>
    <row r="21" spans="1:17" ht="15" hidden="1" customHeight="1" x14ac:dyDescent="0.25">
      <c r="A21" s="346"/>
      <c r="B21" s="314" t="s">
        <v>317</v>
      </c>
      <c r="C21" s="235">
        <v>0</v>
      </c>
      <c r="D21" s="235">
        <v>0</v>
      </c>
      <c r="E21" s="235">
        <f t="shared" si="0"/>
        <v>0</v>
      </c>
      <c r="F21" s="235">
        <v>0</v>
      </c>
      <c r="G21" s="235">
        <v>0</v>
      </c>
      <c r="H21" s="235">
        <f t="shared" si="1"/>
        <v>0</v>
      </c>
      <c r="I21" s="235">
        <v>0</v>
      </c>
      <c r="J21" s="235">
        <v>0</v>
      </c>
      <c r="K21" s="235">
        <f t="shared" si="2"/>
        <v>0</v>
      </c>
      <c r="L21" s="235">
        <v>0</v>
      </c>
      <c r="M21" s="235">
        <v>0</v>
      </c>
      <c r="N21" s="235">
        <f t="shared" si="3"/>
        <v>0</v>
      </c>
      <c r="O21" s="235">
        <v>0</v>
      </c>
      <c r="P21" s="235">
        <v>0</v>
      </c>
      <c r="Q21" s="235">
        <f t="shared" si="4"/>
        <v>0</v>
      </c>
    </row>
    <row r="22" spans="1:17" x14ac:dyDescent="0.25">
      <c r="A22" s="308" t="s">
        <v>318</v>
      </c>
      <c r="B22" s="309" t="s">
        <v>319</v>
      </c>
      <c r="C22" s="310">
        <f>C23+C25+C28</f>
        <v>0</v>
      </c>
      <c r="D22" s="310">
        <f>D23+D25+D28</f>
        <v>0</v>
      </c>
      <c r="E22" s="310">
        <f t="shared" si="0"/>
        <v>0</v>
      </c>
      <c r="F22" s="501">
        <f>F23+F25+F28</f>
        <v>0</v>
      </c>
      <c r="G22" s="501">
        <f>G23+G25+G28</f>
        <v>0</v>
      </c>
      <c r="H22" s="501">
        <f t="shared" si="1"/>
        <v>0</v>
      </c>
      <c r="I22" s="501">
        <f>I23+I25+I28</f>
        <v>0</v>
      </c>
      <c r="J22" s="501">
        <f>J23+J25+J28</f>
        <v>0</v>
      </c>
      <c r="K22" s="501">
        <f t="shared" si="2"/>
        <v>0</v>
      </c>
      <c r="L22" s="501">
        <f>L23+L25+L28</f>
        <v>0</v>
      </c>
      <c r="M22" s="501">
        <f>M23+M25+M28</f>
        <v>0</v>
      </c>
      <c r="N22" s="501">
        <f t="shared" si="3"/>
        <v>0</v>
      </c>
      <c r="O22" s="501">
        <f>O23+O25+O28</f>
        <v>0</v>
      </c>
      <c r="P22" s="501">
        <f>P23+P25+P28</f>
        <v>0</v>
      </c>
      <c r="Q22" s="501">
        <f t="shared" si="4"/>
        <v>0</v>
      </c>
    </row>
    <row r="23" spans="1:17" ht="15" hidden="1" customHeight="1" x14ac:dyDescent="0.25">
      <c r="A23" s="311" t="s">
        <v>311</v>
      </c>
      <c r="B23" s="312" t="s">
        <v>320</v>
      </c>
      <c r="C23" s="313">
        <f>SUM(C24:C24)</f>
        <v>0</v>
      </c>
      <c r="D23" s="313">
        <f>SUM(D24:D24)</f>
        <v>0</v>
      </c>
      <c r="E23" s="313">
        <f t="shared" si="0"/>
        <v>0</v>
      </c>
      <c r="F23" s="503">
        <f>SUM(F24:F24)</f>
        <v>0</v>
      </c>
      <c r="G23" s="503">
        <f>SUM(G24:G24)</f>
        <v>0</v>
      </c>
      <c r="H23" s="503">
        <f t="shared" si="1"/>
        <v>0</v>
      </c>
      <c r="I23" s="503">
        <f>SUM(I24:I24)</f>
        <v>0</v>
      </c>
      <c r="J23" s="503">
        <f>SUM(J24:J24)</f>
        <v>0</v>
      </c>
      <c r="K23" s="503">
        <f t="shared" si="2"/>
        <v>0</v>
      </c>
      <c r="L23" s="503">
        <f>SUM(L24:L24)</f>
        <v>0</v>
      </c>
      <c r="M23" s="503">
        <f>SUM(M24:M24)</f>
        <v>0</v>
      </c>
      <c r="N23" s="503">
        <f t="shared" si="3"/>
        <v>0</v>
      </c>
      <c r="O23" s="503">
        <f>SUM(O24:O24)</f>
        <v>0</v>
      </c>
      <c r="P23" s="503">
        <f>SUM(P24:P24)</f>
        <v>0</v>
      </c>
      <c r="Q23" s="503">
        <f t="shared" si="4"/>
        <v>0</v>
      </c>
    </row>
    <row r="24" spans="1:17" ht="30" hidden="1" customHeight="1" x14ac:dyDescent="0.25">
      <c r="A24" s="346"/>
      <c r="B24" s="234" t="s">
        <v>321</v>
      </c>
      <c r="C24" s="235">
        <v>0</v>
      </c>
      <c r="D24" s="235">
        <v>0</v>
      </c>
      <c r="E24" s="235">
        <f t="shared" si="0"/>
        <v>0</v>
      </c>
      <c r="F24" s="235">
        <v>0</v>
      </c>
      <c r="G24" s="235">
        <v>0</v>
      </c>
      <c r="H24" s="235">
        <f t="shared" si="1"/>
        <v>0</v>
      </c>
      <c r="I24" s="235">
        <v>0</v>
      </c>
      <c r="J24" s="235">
        <v>0</v>
      </c>
      <c r="K24" s="235">
        <f t="shared" si="2"/>
        <v>0</v>
      </c>
      <c r="L24" s="235">
        <v>0</v>
      </c>
      <c r="M24" s="235">
        <v>0</v>
      </c>
      <c r="N24" s="235">
        <f t="shared" si="3"/>
        <v>0</v>
      </c>
      <c r="O24" s="235">
        <v>0</v>
      </c>
      <c r="P24" s="235">
        <v>0</v>
      </c>
      <c r="Q24" s="235">
        <f t="shared" si="4"/>
        <v>0</v>
      </c>
    </row>
    <row r="25" spans="1:17" ht="15" hidden="1" customHeight="1" x14ac:dyDescent="0.25">
      <c r="A25" s="311" t="s">
        <v>322</v>
      </c>
      <c r="B25" s="312" t="s">
        <v>257</v>
      </c>
      <c r="C25" s="313">
        <f>SUM(C26:C27)</f>
        <v>0</v>
      </c>
      <c r="D25" s="313">
        <f>SUM(D26:D27)</f>
        <v>0</v>
      </c>
      <c r="E25" s="313">
        <f t="shared" si="0"/>
        <v>0</v>
      </c>
      <c r="F25" s="503">
        <f>SUM(F26:F27)</f>
        <v>0</v>
      </c>
      <c r="G25" s="503">
        <f>SUM(G26:G27)</f>
        <v>0</v>
      </c>
      <c r="H25" s="503">
        <f t="shared" si="1"/>
        <v>0</v>
      </c>
      <c r="I25" s="503">
        <f>SUM(I26:I27)</f>
        <v>0</v>
      </c>
      <c r="J25" s="503">
        <f>SUM(J26:J27)</f>
        <v>0</v>
      </c>
      <c r="K25" s="503">
        <f t="shared" si="2"/>
        <v>0</v>
      </c>
      <c r="L25" s="503">
        <f>SUM(L26:L27)</f>
        <v>0</v>
      </c>
      <c r="M25" s="503">
        <f>SUM(M26:M27)</f>
        <v>0</v>
      </c>
      <c r="N25" s="503">
        <f t="shared" si="3"/>
        <v>0</v>
      </c>
      <c r="O25" s="503">
        <f>SUM(O26:O27)</f>
        <v>0</v>
      </c>
      <c r="P25" s="503">
        <f>SUM(P26:P27)</f>
        <v>0</v>
      </c>
      <c r="Q25" s="503">
        <f t="shared" si="4"/>
        <v>0</v>
      </c>
    </row>
    <row r="26" spans="1:17" ht="15" hidden="1" customHeight="1" x14ac:dyDescent="0.25">
      <c r="A26" s="346"/>
      <c r="B26" s="316" t="s">
        <v>323</v>
      </c>
      <c r="C26" s="235">
        <v>0</v>
      </c>
      <c r="D26" s="235">
        <v>0</v>
      </c>
      <c r="E26" s="235">
        <f t="shared" si="0"/>
        <v>0</v>
      </c>
      <c r="F26" s="235">
        <v>0</v>
      </c>
      <c r="G26" s="235">
        <v>0</v>
      </c>
      <c r="H26" s="235">
        <f t="shared" si="1"/>
        <v>0</v>
      </c>
      <c r="I26" s="235">
        <v>0</v>
      </c>
      <c r="J26" s="235">
        <v>0</v>
      </c>
      <c r="K26" s="235">
        <f t="shared" si="2"/>
        <v>0</v>
      </c>
      <c r="L26" s="235">
        <v>0</v>
      </c>
      <c r="M26" s="235">
        <v>0</v>
      </c>
      <c r="N26" s="235">
        <f t="shared" si="3"/>
        <v>0</v>
      </c>
      <c r="O26" s="235">
        <v>0</v>
      </c>
      <c r="P26" s="235">
        <v>0</v>
      </c>
      <c r="Q26" s="235">
        <f t="shared" si="4"/>
        <v>0</v>
      </c>
    </row>
    <row r="27" spans="1:17" ht="15" hidden="1" customHeight="1" x14ac:dyDescent="0.25">
      <c r="A27" s="346"/>
      <c r="B27" s="316" t="s">
        <v>324</v>
      </c>
      <c r="C27" s="235">
        <v>0</v>
      </c>
      <c r="D27" s="235">
        <v>0</v>
      </c>
      <c r="E27" s="235">
        <f t="shared" si="0"/>
        <v>0</v>
      </c>
      <c r="F27" s="235">
        <v>0</v>
      </c>
      <c r="G27" s="235">
        <v>0</v>
      </c>
      <c r="H27" s="235">
        <f t="shared" si="1"/>
        <v>0</v>
      </c>
      <c r="I27" s="235">
        <v>0</v>
      </c>
      <c r="J27" s="235">
        <v>0</v>
      </c>
      <c r="K27" s="235">
        <f t="shared" si="2"/>
        <v>0</v>
      </c>
      <c r="L27" s="235">
        <v>0</v>
      </c>
      <c r="M27" s="235">
        <v>0</v>
      </c>
      <c r="N27" s="235">
        <f t="shared" si="3"/>
        <v>0</v>
      </c>
      <c r="O27" s="235">
        <v>0</v>
      </c>
      <c r="P27" s="235">
        <v>0</v>
      </c>
      <c r="Q27" s="235">
        <f t="shared" si="4"/>
        <v>0</v>
      </c>
    </row>
    <row r="28" spans="1:17" ht="15" hidden="1" customHeight="1" x14ac:dyDescent="0.25">
      <c r="A28" s="311" t="s">
        <v>315</v>
      </c>
      <c r="B28" s="312" t="s">
        <v>325</v>
      </c>
      <c r="C28" s="313">
        <f>SUM(C29:C29)</f>
        <v>0</v>
      </c>
      <c r="D28" s="313">
        <f>SUM(D29:D29)</f>
        <v>0</v>
      </c>
      <c r="E28" s="313">
        <f t="shared" si="0"/>
        <v>0</v>
      </c>
      <c r="F28" s="503">
        <f>SUM(F29:F29)</f>
        <v>0</v>
      </c>
      <c r="G28" s="503">
        <f>SUM(G29:G29)</f>
        <v>0</v>
      </c>
      <c r="H28" s="503">
        <f t="shared" si="1"/>
        <v>0</v>
      </c>
      <c r="I28" s="503">
        <f>SUM(I29:I29)</f>
        <v>0</v>
      </c>
      <c r="J28" s="503">
        <f>SUM(J29:J29)</f>
        <v>0</v>
      </c>
      <c r="K28" s="503">
        <f t="shared" si="2"/>
        <v>0</v>
      </c>
      <c r="L28" s="503">
        <f>SUM(L29:L29)</f>
        <v>0</v>
      </c>
      <c r="M28" s="503">
        <f>SUM(M29:M29)</f>
        <v>0</v>
      </c>
      <c r="N28" s="503">
        <f t="shared" si="3"/>
        <v>0</v>
      </c>
      <c r="O28" s="503">
        <f>SUM(O29:O29)</f>
        <v>0</v>
      </c>
      <c r="P28" s="503">
        <f>SUM(P29:P29)</f>
        <v>0</v>
      </c>
      <c r="Q28" s="503">
        <f t="shared" si="4"/>
        <v>0</v>
      </c>
    </row>
    <row r="29" spans="1:17" ht="15" hidden="1" customHeight="1" x14ac:dyDescent="0.25">
      <c r="A29" s="346"/>
      <c r="B29" s="316" t="s">
        <v>326</v>
      </c>
      <c r="C29" s="235">
        <v>0</v>
      </c>
      <c r="D29" s="235">
        <v>0</v>
      </c>
      <c r="E29" s="235">
        <f t="shared" si="0"/>
        <v>0</v>
      </c>
      <c r="F29" s="235">
        <v>0</v>
      </c>
      <c r="G29" s="235">
        <v>0</v>
      </c>
      <c r="H29" s="235">
        <f t="shared" si="1"/>
        <v>0</v>
      </c>
      <c r="I29" s="235">
        <v>0</v>
      </c>
      <c r="J29" s="235">
        <v>0</v>
      </c>
      <c r="K29" s="235">
        <f t="shared" si="2"/>
        <v>0</v>
      </c>
      <c r="L29" s="235">
        <v>0</v>
      </c>
      <c r="M29" s="235">
        <v>0</v>
      </c>
      <c r="N29" s="235">
        <f t="shared" si="3"/>
        <v>0</v>
      </c>
      <c r="O29" s="235">
        <v>0</v>
      </c>
      <c r="P29" s="235">
        <v>0</v>
      </c>
      <c r="Q29" s="235">
        <f t="shared" si="4"/>
        <v>0</v>
      </c>
    </row>
    <row r="30" spans="1:17" x14ac:dyDescent="0.25">
      <c r="A30" s="344"/>
      <c r="B30" s="317" t="s">
        <v>327</v>
      </c>
      <c r="C30" s="318">
        <f>C22+C8</f>
        <v>7700000</v>
      </c>
      <c r="D30" s="318">
        <f>D22+D8</f>
        <v>0</v>
      </c>
      <c r="E30" s="318">
        <f t="shared" si="0"/>
        <v>7700000</v>
      </c>
      <c r="F30" s="511">
        <f>F22+F8</f>
        <v>7700000</v>
      </c>
      <c r="G30" s="511">
        <f>G22+G8</f>
        <v>0</v>
      </c>
      <c r="H30" s="511">
        <f t="shared" si="1"/>
        <v>7700000</v>
      </c>
      <c r="I30" s="511">
        <f>I22+I8</f>
        <v>7700000</v>
      </c>
      <c r="J30" s="511">
        <f>J22+J8</f>
        <v>0</v>
      </c>
      <c r="K30" s="511">
        <f t="shared" si="2"/>
        <v>7700000</v>
      </c>
      <c r="L30" s="511">
        <f>L22+L8</f>
        <v>7700000</v>
      </c>
      <c r="M30" s="511">
        <f>M22+M8</f>
        <v>0</v>
      </c>
      <c r="N30" s="511">
        <f t="shared" si="3"/>
        <v>7700000</v>
      </c>
      <c r="O30" s="511">
        <f>O22+O8</f>
        <v>5788879</v>
      </c>
      <c r="P30" s="511">
        <f>P22+P8</f>
        <v>0</v>
      </c>
      <c r="Q30" s="511">
        <f t="shared" si="4"/>
        <v>5788879</v>
      </c>
    </row>
    <row r="31" spans="1:17" x14ac:dyDescent="0.25">
      <c r="A31" s="308" t="s">
        <v>328</v>
      </c>
      <c r="B31" s="309" t="s">
        <v>329</v>
      </c>
      <c r="C31" s="310">
        <f>C32</f>
        <v>143668720</v>
      </c>
      <c r="D31" s="310">
        <f>D32</f>
        <v>0</v>
      </c>
      <c r="E31" s="310">
        <f t="shared" si="0"/>
        <v>143668720</v>
      </c>
      <c r="F31" s="501">
        <f>F32</f>
        <v>147871090</v>
      </c>
      <c r="G31" s="501">
        <f>G32</f>
        <v>0</v>
      </c>
      <c r="H31" s="501">
        <f t="shared" si="1"/>
        <v>147871090</v>
      </c>
      <c r="I31" s="501">
        <f>I32</f>
        <v>145803915</v>
      </c>
      <c r="J31" s="501">
        <f>J32</f>
        <v>0</v>
      </c>
      <c r="K31" s="501">
        <f t="shared" si="2"/>
        <v>145803915</v>
      </c>
      <c r="L31" s="501">
        <f>L32</f>
        <v>145803915</v>
      </c>
      <c r="M31" s="501">
        <f>M32</f>
        <v>0</v>
      </c>
      <c r="N31" s="501">
        <f t="shared" si="3"/>
        <v>145803915</v>
      </c>
      <c r="O31" s="501">
        <f>O32</f>
        <v>136258075</v>
      </c>
      <c r="P31" s="501">
        <f>P32</f>
        <v>0</v>
      </c>
      <c r="Q31" s="501">
        <f t="shared" si="4"/>
        <v>136258075</v>
      </c>
    </row>
    <row r="32" spans="1:17" x14ac:dyDescent="0.25">
      <c r="A32" s="311" t="s">
        <v>311</v>
      </c>
      <c r="B32" s="312" t="s">
        <v>330</v>
      </c>
      <c r="C32" s="313">
        <f>SUM(C33:C34)</f>
        <v>143668720</v>
      </c>
      <c r="D32" s="313">
        <f>SUM(D33:D34)</f>
        <v>0</v>
      </c>
      <c r="E32" s="313">
        <f t="shared" si="0"/>
        <v>143668720</v>
      </c>
      <c r="F32" s="503">
        <f>SUM(F33:F34)</f>
        <v>147871090</v>
      </c>
      <c r="G32" s="503">
        <f>SUM(G33:G34)</f>
        <v>0</v>
      </c>
      <c r="H32" s="503">
        <f t="shared" si="1"/>
        <v>147871090</v>
      </c>
      <c r="I32" s="503">
        <f>SUM(I33:I34)</f>
        <v>145803915</v>
      </c>
      <c r="J32" s="503">
        <f>SUM(J33:J34)</f>
        <v>0</v>
      </c>
      <c r="K32" s="503">
        <f t="shared" si="2"/>
        <v>145803915</v>
      </c>
      <c r="L32" s="503">
        <f>SUM(L33:L34)</f>
        <v>145803915</v>
      </c>
      <c r="M32" s="503">
        <f>SUM(M33:M34)</f>
        <v>0</v>
      </c>
      <c r="N32" s="503">
        <f t="shared" si="3"/>
        <v>145803915</v>
      </c>
      <c r="O32" s="503">
        <f>SUM(O33:O34)</f>
        <v>136258075</v>
      </c>
      <c r="P32" s="503">
        <f>SUM(P33:P34)</f>
        <v>0</v>
      </c>
      <c r="Q32" s="503">
        <f t="shared" si="4"/>
        <v>136258075</v>
      </c>
    </row>
    <row r="33" spans="1:18" x14ac:dyDescent="0.25">
      <c r="A33" s="346"/>
      <c r="B33" s="316" t="s">
        <v>331</v>
      </c>
      <c r="C33" s="235">
        <v>0</v>
      </c>
      <c r="D33" s="235">
        <v>0</v>
      </c>
      <c r="E33" s="235">
        <f t="shared" si="0"/>
        <v>0</v>
      </c>
      <c r="F33" s="235">
        <v>4202370</v>
      </c>
      <c r="G33" s="235">
        <v>0</v>
      </c>
      <c r="H33" s="235">
        <f t="shared" si="1"/>
        <v>4202370</v>
      </c>
      <c r="I33" s="235">
        <v>4202370</v>
      </c>
      <c r="J33" s="235">
        <v>0</v>
      </c>
      <c r="K33" s="235">
        <f t="shared" si="2"/>
        <v>4202370</v>
      </c>
      <c r="L33" s="235">
        <v>4202370</v>
      </c>
      <c r="M33" s="235">
        <v>0</v>
      </c>
      <c r="N33" s="235">
        <f t="shared" si="3"/>
        <v>4202370</v>
      </c>
      <c r="O33" s="235">
        <v>4202370</v>
      </c>
      <c r="P33" s="235">
        <v>0</v>
      </c>
      <c r="Q33" s="235">
        <f t="shared" si="4"/>
        <v>4202370</v>
      </c>
    </row>
    <row r="34" spans="1:18" x14ac:dyDescent="0.25">
      <c r="A34" s="346"/>
      <c r="B34" s="316" t="s">
        <v>332</v>
      </c>
      <c r="C34" s="235">
        <f>C36+C42-C30-C33</f>
        <v>143668720</v>
      </c>
      <c r="D34" s="235">
        <f>D36+D42-D30-D33</f>
        <v>0</v>
      </c>
      <c r="E34" s="235">
        <f t="shared" si="0"/>
        <v>143668720</v>
      </c>
      <c r="F34" s="235">
        <f>F36+F42-F30-F33</f>
        <v>143668720</v>
      </c>
      <c r="G34" s="235">
        <f>G36+G42-G30-G33</f>
        <v>0</v>
      </c>
      <c r="H34" s="235">
        <f t="shared" si="1"/>
        <v>143668720</v>
      </c>
      <c r="I34" s="235">
        <f>I36+I42-I30-I33</f>
        <v>141601545</v>
      </c>
      <c r="J34" s="235">
        <f>J36+J42-J30-J33</f>
        <v>0</v>
      </c>
      <c r="K34" s="235">
        <f t="shared" si="2"/>
        <v>141601545</v>
      </c>
      <c r="L34" s="235">
        <f>L36+L42-L30-L33</f>
        <v>141601545</v>
      </c>
      <c r="M34" s="235">
        <f>M36+M42-M30-M33</f>
        <v>0</v>
      </c>
      <c r="N34" s="235">
        <f t="shared" si="3"/>
        <v>141601545</v>
      </c>
      <c r="O34" s="235">
        <v>132055705</v>
      </c>
      <c r="P34" s="235">
        <f>P36+P42-P30-P33</f>
        <v>0</v>
      </c>
      <c r="Q34" s="235">
        <f t="shared" si="4"/>
        <v>132055705</v>
      </c>
    </row>
    <row r="35" spans="1:18" x14ac:dyDescent="0.25">
      <c r="A35" s="319"/>
      <c r="B35" s="320" t="s">
        <v>333</v>
      </c>
      <c r="C35" s="292">
        <f>C31+C22+C8</f>
        <v>151368720</v>
      </c>
      <c r="D35" s="292">
        <f>D31+D22+D8</f>
        <v>0</v>
      </c>
      <c r="E35" s="292">
        <f t="shared" si="0"/>
        <v>151368720</v>
      </c>
      <c r="F35" s="292">
        <f>F31+F22+F8</f>
        <v>155571090</v>
      </c>
      <c r="G35" s="292">
        <f>G31+G22+G8</f>
        <v>0</v>
      </c>
      <c r="H35" s="292">
        <f t="shared" si="1"/>
        <v>155571090</v>
      </c>
      <c r="I35" s="292">
        <f>I31+I22+I8</f>
        <v>153503915</v>
      </c>
      <c r="J35" s="292">
        <f>J31+J22+J8</f>
        <v>0</v>
      </c>
      <c r="K35" s="292">
        <f t="shared" si="2"/>
        <v>153503915</v>
      </c>
      <c r="L35" s="292">
        <f>L31+L22+L8</f>
        <v>153503915</v>
      </c>
      <c r="M35" s="292">
        <f>M31+M22+M8</f>
        <v>0</v>
      </c>
      <c r="N35" s="292">
        <f t="shared" si="3"/>
        <v>153503915</v>
      </c>
      <c r="O35" s="292">
        <f>O31+O22+O8</f>
        <v>142046954</v>
      </c>
      <c r="P35" s="292">
        <f>P31+P22+P8</f>
        <v>0</v>
      </c>
      <c r="Q35" s="292">
        <f t="shared" si="4"/>
        <v>142046954</v>
      </c>
    </row>
    <row r="36" spans="1:18" x14ac:dyDescent="0.25">
      <c r="A36" s="308" t="s">
        <v>309</v>
      </c>
      <c r="B36" s="309" t="s">
        <v>334</v>
      </c>
      <c r="C36" s="310">
        <f>SUM(C37:C41)</f>
        <v>150098720</v>
      </c>
      <c r="D36" s="310">
        <f>SUM(D37:D41)</f>
        <v>0</v>
      </c>
      <c r="E36" s="310">
        <f t="shared" si="0"/>
        <v>150098720</v>
      </c>
      <c r="F36" s="501">
        <f>SUM(F37:F41)</f>
        <v>154301090</v>
      </c>
      <c r="G36" s="501">
        <f>SUM(G37:G41)</f>
        <v>0</v>
      </c>
      <c r="H36" s="501">
        <f t="shared" si="1"/>
        <v>154301090</v>
      </c>
      <c r="I36" s="501">
        <f>SUM(I37:I41)</f>
        <v>152233915</v>
      </c>
      <c r="J36" s="501">
        <f>SUM(J37:J41)</f>
        <v>0</v>
      </c>
      <c r="K36" s="501">
        <f t="shared" si="2"/>
        <v>152233915</v>
      </c>
      <c r="L36" s="501">
        <f>SUM(L37:L41)</f>
        <v>152233915</v>
      </c>
      <c r="M36" s="501">
        <f>SUM(M37:M41)</f>
        <v>0</v>
      </c>
      <c r="N36" s="501">
        <f t="shared" si="3"/>
        <v>152233915</v>
      </c>
      <c r="O36" s="501">
        <f>SUM(O37:O41)</f>
        <v>137462098</v>
      </c>
      <c r="P36" s="501">
        <f>SUM(P37:P41)</f>
        <v>0</v>
      </c>
      <c r="Q36" s="501">
        <f t="shared" si="4"/>
        <v>137462098</v>
      </c>
      <c r="R36" s="39">
        <f>+N36-K36</f>
        <v>0</v>
      </c>
    </row>
    <row r="37" spans="1:18" x14ac:dyDescent="0.25">
      <c r="A37" s="311" t="s">
        <v>311</v>
      </c>
      <c r="B37" s="312" t="s">
        <v>286</v>
      </c>
      <c r="C37" s="313">
        <f>'5 GSZNR fel'!E137+'5 GSZNR fel'!E143</f>
        <v>97000000</v>
      </c>
      <c r="D37" s="313">
        <f>'5 GSZNR fel'!D137+'5 GSZNR fel'!D143</f>
        <v>0</v>
      </c>
      <c r="E37" s="313">
        <f t="shared" si="0"/>
        <v>97000000</v>
      </c>
      <c r="F37" s="503">
        <f>'5 GSZNR fel'!H137+'5 GSZNR fel'!H143</f>
        <v>97000000</v>
      </c>
      <c r="G37" s="503">
        <f>'5 GSZNR fel'!G137+'5 GSZNR fel'!G143</f>
        <v>0</v>
      </c>
      <c r="H37" s="503">
        <f t="shared" si="1"/>
        <v>97000000</v>
      </c>
      <c r="I37" s="503">
        <f>'5 GSZNR fel'!K137+'5 GSZNR fel'!K143</f>
        <v>97000000</v>
      </c>
      <c r="J37" s="503">
        <f>'5 GSZNR fel'!J137+'5 GSZNR fel'!J143</f>
        <v>0</v>
      </c>
      <c r="K37" s="503">
        <f t="shared" si="2"/>
        <v>97000000</v>
      </c>
      <c r="L37" s="503">
        <f>'5 GSZNR fel'!N137+'5 GSZNR fel'!N143</f>
        <v>97268483</v>
      </c>
      <c r="M37" s="503">
        <f>'5 GSZNR fel'!M137+'5 GSZNR fel'!M143</f>
        <v>0</v>
      </c>
      <c r="N37" s="503">
        <f t="shared" si="3"/>
        <v>97268483</v>
      </c>
      <c r="O37" s="503">
        <f>'5 GSZNR fel'!Q137+'5 GSZNR fel'!Q143</f>
        <v>97268483</v>
      </c>
      <c r="P37" s="503">
        <f>'5 GSZNR fel'!P137+'5 GSZNR fel'!P143</f>
        <v>0</v>
      </c>
      <c r="Q37" s="503">
        <f t="shared" si="4"/>
        <v>97268483</v>
      </c>
      <c r="R37" s="39">
        <f t="shared" ref="R37:R46" si="5">+N37-K37</f>
        <v>268483</v>
      </c>
    </row>
    <row r="38" spans="1:18" x14ac:dyDescent="0.25">
      <c r="A38" s="311" t="s">
        <v>322</v>
      </c>
      <c r="B38" s="312" t="s">
        <v>335</v>
      </c>
      <c r="C38" s="313">
        <f>'5 GSZNR fel'!E138+'5 GSZNR fel'!E144</f>
        <v>18593440</v>
      </c>
      <c r="D38" s="313">
        <f>'5 GSZNR fel'!D138+'5 GSZNR fel'!D144</f>
        <v>0</v>
      </c>
      <c r="E38" s="623">
        <f t="shared" si="0"/>
        <v>18593440</v>
      </c>
      <c r="F38" s="503">
        <f>'5 GSZNR fel'!H138+'5 GSZNR fel'!H144</f>
        <v>18593440</v>
      </c>
      <c r="G38" s="503">
        <f>'5 GSZNR fel'!G138+'5 GSZNR fel'!G144</f>
        <v>0</v>
      </c>
      <c r="H38" s="623">
        <f t="shared" si="1"/>
        <v>18593440</v>
      </c>
      <c r="I38" s="503">
        <f>'5 GSZNR fel'!K138+'5 GSZNR fel'!K144</f>
        <v>18593440</v>
      </c>
      <c r="J38" s="503">
        <f>'5 GSZNR fel'!J138+'5 GSZNR fel'!J144</f>
        <v>0</v>
      </c>
      <c r="K38" s="623">
        <f t="shared" si="2"/>
        <v>18593440</v>
      </c>
      <c r="L38" s="503">
        <f>'5 GSZNR fel'!N138+'5 GSZNR fel'!N144</f>
        <v>18324957</v>
      </c>
      <c r="M38" s="503">
        <f>'5 GSZNR fel'!M138+'5 GSZNR fel'!M144</f>
        <v>0</v>
      </c>
      <c r="N38" s="623">
        <f t="shared" si="3"/>
        <v>18324957</v>
      </c>
      <c r="O38" s="503">
        <f>'5 GSZNR fel'!Q138+'5 GSZNR fel'!Q144</f>
        <v>16490298</v>
      </c>
      <c r="P38" s="503">
        <f>'5 GSZNR fel'!P138+'5 GSZNR fel'!P144</f>
        <v>0</v>
      </c>
      <c r="Q38" s="623">
        <f t="shared" si="4"/>
        <v>16490298</v>
      </c>
      <c r="R38" s="39">
        <f t="shared" si="5"/>
        <v>-268483</v>
      </c>
    </row>
    <row r="39" spans="1:18" x14ac:dyDescent="0.25">
      <c r="A39" s="311" t="s">
        <v>315</v>
      </c>
      <c r="B39" s="312" t="s">
        <v>292</v>
      </c>
      <c r="C39" s="313">
        <f>'5 GSZNR fel'!E139+'5 GSZNR fel'!E145</f>
        <v>34505280</v>
      </c>
      <c r="D39" s="313">
        <f>'5 GSZNR fel'!D139+'5 GSZNR fel'!D145</f>
        <v>0</v>
      </c>
      <c r="E39" s="623">
        <f t="shared" si="0"/>
        <v>34505280</v>
      </c>
      <c r="F39" s="503">
        <f>'5 GSZNR fel'!H139+'5 GSZNR fel'!H145</f>
        <v>34519785</v>
      </c>
      <c r="G39" s="503">
        <f>'5 GSZNR fel'!G139+'5 GSZNR fel'!G145</f>
        <v>0</v>
      </c>
      <c r="H39" s="623">
        <f t="shared" si="1"/>
        <v>34519785</v>
      </c>
      <c r="I39" s="503">
        <f>'5 GSZNR fel'!K139+'5 GSZNR fel'!K145</f>
        <v>32452610</v>
      </c>
      <c r="J39" s="503">
        <f>'5 GSZNR fel'!J139+'5 GSZNR fel'!J145</f>
        <v>0</v>
      </c>
      <c r="K39" s="623">
        <f t="shared" si="2"/>
        <v>32452610</v>
      </c>
      <c r="L39" s="503">
        <f>'5 GSZNR fel'!N139+'5 GSZNR fel'!N145+'5 GSZNR fel'!N148</f>
        <v>32452610</v>
      </c>
      <c r="M39" s="503">
        <f>'5 GSZNR fel'!M139+'5 GSZNR fel'!M145</f>
        <v>0</v>
      </c>
      <c r="N39" s="623">
        <f t="shared" si="3"/>
        <v>32452610</v>
      </c>
      <c r="O39" s="503">
        <f>'5 GSZNR fel'!Q139+'5 GSZNR fel'!Q145+'5 GSZNR fel'!Q148</f>
        <v>19515452</v>
      </c>
      <c r="P39" s="503">
        <f>'5 GSZNR fel'!P139+'5 GSZNR fel'!P145</f>
        <v>0</v>
      </c>
      <c r="Q39" s="623">
        <f t="shared" si="4"/>
        <v>19515452</v>
      </c>
      <c r="R39" s="39">
        <f t="shared" si="5"/>
        <v>0</v>
      </c>
    </row>
    <row r="40" spans="1:18" x14ac:dyDescent="0.25">
      <c r="A40" s="311" t="s">
        <v>336</v>
      </c>
      <c r="B40" s="312" t="s">
        <v>337</v>
      </c>
      <c r="C40" s="313">
        <v>0</v>
      </c>
      <c r="D40" s="313">
        <v>0</v>
      </c>
      <c r="E40" s="313">
        <f t="shared" si="0"/>
        <v>0</v>
      </c>
      <c r="F40" s="503">
        <v>0</v>
      </c>
      <c r="G40" s="503">
        <v>0</v>
      </c>
      <c r="H40" s="503">
        <f t="shared" si="1"/>
        <v>0</v>
      </c>
      <c r="I40" s="503">
        <v>0</v>
      </c>
      <c r="J40" s="503">
        <v>0</v>
      </c>
      <c r="K40" s="503">
        <f t="shared" si="2"/>
        <v>0</v>
      </c>
      <c r="L40" s="503">
        <v>0</v>
      </c>
      <c r="M40" s="503">
        <v>0</v>
      </c>
      <c r="N40" s="503">
        <f t="shared" si="3"/>
        <v>0</v>
      </c>
      <c r="O40" s="503">
        <v>0</v>
      </c>
      <c r="P40" s="503">
        <v>0</v>
      </c>
      <c r="Q40" s="503">
        <f t="shared" si="4"/>
        <v>0</v>
      </c>
      <c r="R40" s="39">
        <f t="shared" si="5"/>
        <v>0</v>
      </c>
    </row>
    <row r="41" spans="1:18" x14ac:dyDescent="0.25">
      <c r="A41" s="311" t="s">
        <v>338</v>
      </c>
      <c r="B41" s="312" t="s">
        <v>339</v>
      </c>
      <c r="C41" s="313">
        <f>+'5 GSZNR fel'!E140</f>
        <v>0</v>
      </c>
      <c r="D41" s="313">
        <v>0</v>
      </c>
      <c r="E41" s="313">
        <f t="shared" si="0"/>
        <v>0</v>
      </c>
      <c r="F41" s="503">
        <f>+'5 GSZNR fel'!H140</f>
        <v>4187865</v>
      </c>
      <c r="G41" s="503">
        <v>0</v>
      </c>
      <c r="H41" s="503">
        <f t="shared" si="1"/>
        <v>4187865</v>
      </c>
      <c r="I41" s="503">
        <f>+'5 GSZNR fel'!K140</f>
        <v>4187865</v>
      </c>
      <c r="J41" s="503">
        <v>0</v>
      </c>
      <c r="K41" s="503">
        <f t="shared" si="2"/>
        <v>4187865</v>
      </c>
      <c r="L41" s="503">
        <f>+'5 GSZNR fel'!N140</f>
        <v>4187865</v>
      </c>
      <c r="M41" s="503">
        <v>0</v>
      </c>
      <c r="N41" s="503">
        <f t="shared" si="3"/>
        <v>4187865</v>
      </c>
      <c r="O41" s="503">
        <f>+'5 GSZNR fel'!Q140</f>
        <v>4187865</v>
      </c>
      <c r="P41" s="503">
        <v>0</v>
      </c>
      <c r="Q41" s="503">
        <f t="shared" si="4"/>
        <v>4187865</v>
      </c>
      <c r="R41" s="39">
        <f t="shared" si="5"/>
        <v>0</v>
      </c>
    </row>
    <row r="42" spans="1:18" x14ac:dyDescent="0.25">
      <c r="A42" s="308" t="s">
        <v>318</v>
      </c>
      <c r="B42" s="309" t="s">
        <v>340</v>
      </c>
      <c r="C42" s="310">
        <f>SUM(C43:C45)</f>
        <v>1270000</v>
      </c>
      <c r="D42" s="310">
        <f>SUM(D43:D45)</f>
        <v>0</v>
      </c>
      <c r="E42" s="310">
        <f t="shared" si="0"/>
        <v>1270000</v>
      </c>
      <c r="F42" s="501">
        <f>SUM(F43:F45)</f>
        <v>1270000</v>
      </c>
      <c r="G42" s="501">
        <f>SUM(G43:G45)</f>
        <v>0</v>
      </c>
      <c r="H42" s="501">
        <f t="shared" si="1"/>
        <v>1270000</v>
      </c>
      <c r="I42" s="501">
        <f>SUM(I43:I45)</f>
        <v>1270000</v>
      </c>
      <c r="J42" s="501">
        <f>SUM(J43:J45)</f>
        <v>0</v>
      </c>
      <c r="K42" s="501">
        <f t="shared" si="2"/>
        <v>1270000</v>
      </c>
      <c r="L42" s="501">
        <f>SUM(L43:L45)</f>
        <v>1270000</v>
      </c>
      <c r="M42" s="501">
        <f>SUM(M43:M45)</f>
        <v>0</v>
      </c>
      <c r="N42" s="501">
        <f t="shared" si="3"/>
        <v>1270000</v>
      </c>
      <c r="O42" s="501">
        <f>SUM(O43:O45)</f>
        <v>1210346</v>
      </c>
      <c r="P42" s="501">
        <f>SUM(P43:P45)</f>
        <v>0</v>
      </c>
      <c r="Q42" s="501">
        <f t="shared" si="4"/>
        <v>1210346</v>
      </c>
      <c r="R42" s="39">
        <f t="shared" si="5"/>
        <v>0</v>
      </c>
    </row>
    <row r="43" spans="1:18" x14ac:dyDescent="0.25">
      <c r="A43" s="311" t="s">
        <v>311</v>
      </c>
      <c r="B43" s="312" t="s">
        <v>341</v>
      </c>
      <c r="C43" s="313">
        <f>'5 GSZNR fel'!E141+'5 GSZNR fel'!E146</f>
        <v>1270000</v>
      </c>
      <c r="D43" s="313">
        <f>'5 GSZNR fel'!D141+'5 GSZNR fel'!D146</f>
        <v>0</v>
      </c>
      <c r="E43" s="313">
        <f t="shared" si="0"/>
        <v>1270000</v>
      </c>
      <c r="F43" s="503">
        <f>'5 GSZNR fel'!H141+'5 GSZNR fel'!H146</f>
        <v>1270000</v>
      </c>
      <c r="G43" s="503">
        <f>'5 GSZNR fel'!G141+'5 GSZNR fel'!G146</f>
        <v>0</v>
      </c>
      <c r="H43" s="503">
        <f t="shared" si="1"/>
        <v>1270000</v>
      </c>
      <c r="I43" s="503">
        <f>'5 GSZNR fel'!K141+'5 GSZNR fel'!K146</f>
        <v>1270000</v>
      </c>
      <c r="J43" s="503">
        <f>'5 GSZNR fel'!J141+'5 GSZNR fel'!J146</f>
        <v>0</v>
      </c>
      <c r="K43" s="503">
        <f t="shared" si="2"/>
        <v>1270000</v>
      </c>
      <c r="L43" s="503">
        <f>'5 GSZNR fel'!N141+'5 GSZNR fel'!N146</f>
        <v>1270000</v>
      </c>
      <c r="M43" s="503">
        <f>'5 GSZNR fel'!M141+'5 GSZNR fel'!M146</f>
        <v>0</v>
      </c>
      <c r="N43" s="503">
        <f t="shared" si="3"/>
        <v>1270000</v>
      </c>
      <c r="O43" s="503">
        <f>'5 GSZNR fel'!Q141+'5 GSZNR fel'!Q146</f>
        <v>1210346</v>
      </c>
      <c r="P43" s="503">
        <f>'5 GSZNR fel'!P141+'5 GSZNR fel'!P146</f>
        <v>0</v>
      </c>
      <c r="Q43" s="503">
        <f t="shared" si="4"/>
        <v>1210346</v>
      </c>
      <c r="R43" s="39">
        <f t="shared" si="5"/>
        <v>0</v>
      </c>
    </row>
    <row r="44" spans="1:18" x14ac:dyDescent="0.25">
      <c r="A44" s="311" t="s">
        <v>322</v>
      </c>
      <c r="B44" s="312" t="s">
        <v>342</v>
      </c>
      <c r="C44" s="313">
        <v>0</v>
      </c>
      <c r="D44" s="313">
        <v>0</v>
      </c>
      <c r="E44" s="313">
        <f t="shared" si="0"/>
        <v>0</v>
      </c>
      <c r="F44" s="503">
        <v>0</v>
      </c>
      <c r="G44" s="503">
        <v>0</v>
      </c>
      <c r="H44" s="503">
        <f t="shared" si="1"/>
        <v>0</v>
      </c>
      <c r="I44" s="503">
        <v>0</v>
      </c>
      <c r="J44" s="503">
        <v>0</v>
      </c>
      <c r="K44" s="503">
        <f t="shared" si="2"/>
        <v>0</v>
      </c>
      <c r="L44" s="503">
        <v>0</v>
      </c>
      <c r="M44" s="503">
        <v>0</v>
      </c>
      <c r="N44" s="503">
        <f t="shared" si="3"/>
        <v>0</v>
      </c>
      <c r="O44" s="503">
        <v>0</v>
      </c>
      <c r="P44" s="503">
        <v>0</v>
      </c>
      <c r="Q44" s="503">
        <f t="shared" si="4"/>
        <v>0</v>
      </c>
      <c r="R44" s="39">
        <f t="shared" si="5"/>
        <v>0</v>
      </c>
    </row>
    <row r="45" spans="1:18" x14ac:dyDescent="0.25">
      <c r="A45" s="311" t="s">
        <v>315</v>
      </c>
      <c r="B45" s="312" t="s">
        <v>343</v>
      </c>
      <c r="C45" s="313">
        <f>'5 GSZNR fel'!C146+'5 GSZNR fel'!C153</f>
        <v>0</v>
      </c>
      <c r="D45" s="313">
        <v>0</v>
      </c>
      <c r="E45" s="313">
        <f t="shared" si="0"/>
        <v>0</v>
      </c>
      <c r="F45" s="503">
        <f>'5 GSZNR fel'!F146+'5 GSZNR fel'!F153</f>
        <v>0</v>
      </c>
      <c r="G45" s="503">
        <v>0</v>
      </c>
      <c r="H45" s="503">
        <f t="shared" si="1"/>
        <v>0</v>
      </c>
      <c r="I45" s="503">
        <f>'5 GSZNR fel'!I146+'5 GSZNR fel'!I153</f>
        <v>0</v>
      </c>
      <c r="J45" s="503">
        <v>0</v>
      </c>
      <c r="K45" s="503">
        <f t="shared" si="2"/>
        <v>0</v>
      </c>
      <c r="L45" s="503">
        <f>'5 GSZNR fel'!L146+'5 GSZNR fel'!L153</f>
        <v>0</v>
      </c>
      <c r="M45" s="503">
        <v>0</v>
      </c>
      <c r="N45" s="503">
        <f t="shared" si="3"/>
        <v>0</v>
      </c>
      <c r="O45" s="503">
        <f>'5 GSZNR fel'!O146+'5 GSZNR fel'!O153</f>
        <v>0</v>
      </c>
      <c r="P45" s="503">
        <v>0</v>
      </c>
      <c r="Q45" s="503">
        <f t="shared" si="4"/>
        <v>0</v>
      </c>
      <c r="R45" s="39">
        <f t="shared" si="5"/>
        <v>0</v>
      </c>
    </row>
    <row r="46" spans="1:18" x14ac:dyDescent="0.25">
      <c r="A46" s="319"/>
      <c r="B46" s="320" t="s">
        <v>344</v>
      </c>
      <c r="C46" s="292">
        <f>C36+C42</f>
        <v>151368720</v>
      </c>
      <c r="D46" s="292">
        <f>D36+D42</f>
        <v>0</v>
      </c>
      <c r="E46" s="292">
        <f t="shared" si="0"/>
        <v>151368720</v>
      </c>
      <c r="F46" s="292">
        <f>F36+F42</f>
        <v>155571090</v>
      </c>
      <c r="G46" s="292">
        <f>G36+G42</f>
        <v>0</v>
      </c>
      <c r="H46" s="292">
        <f t="shared" si="1"/>
        <v>155571090</v>
      </c>
      <c r="I46" s="292">
        <f>I36+I42</f>
        <v>153503915</v>
      </c>
      <c r="J46" s="292">
        <f>J36+J42</f>
        <v>0</v>
      </c>
      <c r="K46" s="292">
        <f t="shared" si="2"/>
        <v>153503915</v>
      </c>
      <c r="L46" s="292">
        <f>L36+L42</f>
        <v>153503915</v>
      </c>
      <c r="M46" s="292">
        <f>M36+M42</f>
        <v>0</v>
      </c>
      <c r="N46" s="292">
        <f t="shared" si="3"/>
        <v>153503915</v>
      </c>
      <c r="O46" s="292">
        <f>O36+O42</f>
        <v>138672444</v>
      </c>
      <c r="P46" s="292">
        <f>P36+P42</f>
        <v>0</v>
      </c>
      <c r="Q46" s="292">
        <f t="shared" si="4"/>
        <v>138672444</v>
      </c>
      <c r="R46" s="39">
        <f t="shared" si="5"/>
        <v>0</v>
      </c>
    </row>
    <row r="47" spans="1:18" x14ac:dyDescent="0.25">
      <c r="H47" s="39">
        <f>+H46-E46</f>
        <v>4202370</v>
      </c>
      <c r="K47" s="39">
        <f>+K46-H46</f>
        <v>-2067175</v>
      </c>
      <c r="N47" s="39">
        <f>+N46-K46</f>
        <v>0</v>
      </c>
      <c r="Q47" s="39">
        <f>+Q46-N46</f>
        <v>-14831471</v>
      </c>
    </row>
  </sheetData>
  <mergeCells count="7">
    <mergeCell ref="L4:N4"/>
    <mergeCell ref="O4:Q4"/>
    <mergeCell ref="A4:A5"/>
    <mergeCell ref="B4:B5"/>
    <mergeCell ref="C4:E4"/>
    <mergeCell ref="F4:H4"/>
    <mergeCell ref="I4:K4"/>
  </mergeCells>
  <printOptions horizontalCentered="1"/>
  <pageMargins left="0.19685039370078741" right="0.19685039370078741" top="0.98425196850393704" bottom="0.19685039370078741" header="0.31496062992125984" footer="0.31496062992125984"/>
  <pageSetup paperSize="9" scale="75" fitToWidth="0" fitToHeight="0" orientation="landscape" copies="2" r:id="rId1"/>
  <headerFooter>
    <oddHeader>&amp;L4/G.  melléklet a ......./2021. (.................) önkormányzati rendelethez&amp;C&amp;"-,Félkövér"&amp;16
A Szérűskert Bölcsőde 2020. évi bevételei és kiadásai jogcímenként és feladatonként</oddHeader>
    <oddFooter>&amp;C&amp;P&amp;R&amp;D,&amp;T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IR186"/>
  <sheetViews>
    <sheetView zoomScale="150" zoomScaleNormal="150" zoomScaleSheetLayoutView="100" workbookViewId="0">
      <pane ySplit="4" topLeftCell="A183" activePane="bottomLeft" state="frozen"/>
      <selection pane="bottomLeft" activeCell="A187" sqref="A187"/>
    </sheetView>
  </sheetViews>
  <sheetFormatPr defaultColWidth="11.7109375" defaultRowHeight="14.1" customHeight="1" x14ac:dyDescent="0.25"/>
  <cols>
    <col min="1" max="1" width="5.7109375" style="4" customWidth="1"/>
    <col min="2" max="2" width="7.7109375" style="4" customWidth="1"/>
    <col min="3" max="3" width="30.7109375" style="5" customWidth="1"/>
    <col min="4" max="5" width="10.85546875" style="6" customWidth="1"/>
    <col min="6" max="6" width="9.85546875" style="6" bestFit="1" customWidth="1"/>
    <col min="7" max="7" width="9.85546875" style="6" customWidth="1"/>
    <col min="8" max="8" width="10.7109375" style="6" customWidth="1"/>
    <col min="9" max="9" width="12" style="6" customWidth="1"/>
    <col min="10" max="16384" width="11.7109375" style="5"/>
  </cols>
  <sheetData>
    <row r="1" spans="1:9" s="1" customFormat="1" ht="12.75" customHeight="1" x14ac:dyDescent="0.25">
      <c r="A1" s="974" t="s">
        <v>258</v>
      </c>
      <c r="B1" s="974"/>
      <c r="C1" s="974"/>
      <c r="D1" s="974"/>
      <c r="E1" s="974"/>
      <c r="F1" s="974"/>
      <c r="G1" s="974"/>
      <c r="H1" s="974"/>
      <c r="I1" s="974"/>
    </row>
    <row r="2" spans="1:9" s="1" customFormat="1" ht="14.1" customHeight="1" x14ac:dyDescent="0.25">
      <c r="A2" s="974" t="s">
        <v>0</v>
      </c>
      <c r="B2" s="975" t="s">
        <v>1</v>
      </c>
      <c r="C2" s="974" t="s">
        <v>2</v>
      </c>
      <c r="D2" s="976" t="s">
        <v>260</v>
      </c>
      <c r="E2" s="969" t="s">
        <v>259</v>
      </c>
      <c r="F2" s="971" t="s">
        <v>261</v>
      </c>
      <c r="G2" s="972"/>
      <c r="H2" s="971" t="s">
        <v>262</v>
      </c>
      <c r="I2" s="972"/>
    </row>
    <row r="3" spans="1:9" s="3" customFormat="1" ht="25.5" customHeight="1" x14ac:dyDescent="0.25">
      <c r="A3" s="974"/>
      <c r="B3" s="975"/>
      <c r="C3" s="974"/>
      <c r="D3" s="976"/>
      <c r="E3" s="970"/>
      <c r="F3" s="2" t="s">
        <v>263</v>
      </c>
      <c r="G3" s="2" t="s">
        <v>259</v>
      </c>
      <c r="H3" s="2" t="s">
        <v>260</v>
      </c>
      <c r="I3" s="2" t="s">
        <v>259</v>
      </c>
    </row>
    <row r="4" spans="1:9" ht="5.65" customHeight="1" x14ac:dyDescent="0.25"/>
    <row r="5" spans="1:9" ht="14.1" customHeight="1" x14ac:dyDescent="0.25">
      <c r="A5" s="973" t="s">
        <v>3</v>
      </c>
      <c r="B5" s="973"/>
      <c r="C5" s="973"/>
      <c r="D5" s="973"/>
      <c r="E5" s="973"/>
      <c r="F5" s="973"/>
      <c r="G5" s="973"/>
      <c r="H5" s="973"/>
      <c r="I5" s="973"/>
    </row>
    <row r="6" spans="1:9" s="3" customFormat="1" ht="12.75" customHeight="1" x14ac:dyDescent="0.25">
      <c r="A6" s="7" t="s">
        <v>4</v>
      </c>
      <c r="B6" s="7" t="s">
        <v>5</v>
      </c>
      <c r="C6" s="8" t="s">
        <v>6</v>
      </c>
      <c r="D6" s="9">
        <f>F6+H6</f>
        <v>34533</v>
      </c>
      <c r="E6" s="9">
        <f>G6+I6</f>
        <v>35647</v>
      </c>
      <c r="F6" s="10">
        <v>34533</v>
      </c>
      <c r="G6" s="10">
        <f>SUM(G7:G19)</f>
        <v>35647</v>
      </c>
      <c r="H6" s="10">
        <v>0</v>
      </c>
      <c r="I6" s="10">
        <f>SUM(I7:I19)</f>
        <v>0</v>
      </c>
    </row>
    <row r="7" spans="1:9" s="15" customFormat="1" ht="11.45" customHeight="1" x14ac:dyDescent="0.25">
      <c r="A7" s="11"/>
      <c r="B7" s="11"/>
      <c r="C7" s="12" t="s">
        <v>266</v>
      </c>
      <c r="D7" s="13"/>
      <c r="E7" s="13"/>
      <c r="F7" s="14"/>
      <c r="G7" s="14">
        <v>1541</v>
      </c>
      <c r="H7" s="14"/>
      <c r="I7" s="14"/>
    </row>
    <row r="8" spans="1:9" s="15" customFormat="1" ht="11.45" customHeight="1" x14ac:dyDescent="0.25">
      <c r="A8" s="11"/>
      <c r="B8" s="11"/>
      <c r="C8" s="12" t="s">
        <v>267</v>
      </c>
      <c r="D8" s="13"/>
      <c r="E8" s="13"/>
      <c r="F8" s="14"/>
      <c r="G8" s="14">
        <v>3283</v>
      </c>
      <c r="H8" s="14"/>
      <c r="I8" s="14"/>
    </row>
    <row r="9" spans="1:9" s="15" customFormat="1" ht="11.45" customHeight="1" x14ac:dyDescent="0.25">
      <c r="A9" s="11"/>
      <c r="B9" s="11"/>
      <c r="C9" s="12" t="s">
        <v>268</v>
      </c>
      <c r="D9" s="13"/>
      <c r="E9" s="13"/>
      <c r="F9" s="14"/>
      <c r="G9" s="14">
        <v>3489</v>
      </c>
      <c r="H9" s="14"/>
      <c r="I9" s="14"/>
    </row>
    <row r="10" spans="1:9" s="15" customFormat="1" ht="11.45" customHeight="1" x14ac:dyDescent="0.25">
      <c r="A10" s="11"/>
      <c r="B10" s="11"/>
      <c r="C10" s="12" t="s">
        <v>269</v>
      </c>
      <c r="D10" s="13"/>
      <c r="E10" s="13"/>
      <c r="F10" s="14"/>
      <c r="G10" s="14">
        <v>3497</v>
      </c>
      <c r="H10" s="14"/>
      <c r="I10" s="14"/>
    </row>
    <row r="11" spans="1:9" s="15" customFormat="1" ht="11.45" customHeight="1" x14ac:dyDescent="0.25">
      <c r="A11" s="11"/>
      <c r="B11" s="11"/>
      <c r="C11" s="12" t="s">
        <v>270</v>
      </c>
      <c r="D11" s="13"/>
      <c r="E11" s="13"/>
      <c r="F11" s="14"/>
      <c r="G11" s="14">
        <f>1699+7*12</f>
        <v>1783</v>
      </c>
      <c r="H11" s="14"/>
      <c r="I11" s="14"/>
    </row>
    <row r="12" spans="1:9" s="15" customFormat="1" ht="11.45" customHeight="1" x14ac:dyDescent="0.25">
      <c r="A12" s="11"/>
      <c r="B12" s="11"/>
      <c r="C12" s="12" t="s">
        <v>271</v>
      </c>
      <c r="D12" s="13"/>
      <c r="E12" s="13"/>
      <c r="F12" s="14"/>
      <c r="G12" s="14">
        <v>1541</v>
      </c>
      <c r="H12" s="14"/>
      <c r="I12" s="14"/>
    </row>
    <row r="13" spans="1:9" s="15" customFormat="1" ht="11.45" customHeight="1" x14ac:dyDescent="0.25">
      <c r="A13" s="11"/>
      <c r="B13" s="11"/>
      <c r="C13" s="12" t="s">
        <v>272</v>
      </c>
      <c r="D13" s="13"/>
      <c r="E13" s="13"/>
      <c r="F13" s="14"/>
      <c r="G13" s="14">
        <f>2704+7*12</f>
        <v>2788</v>
      </c>
      <c r="H13" s="14"/>
      <c r="I13" s="14"/>
    </row>
    <row r="14" spans="1:9" s="15" customFormat="1" ht="11.45" customHeight="1" x14ac:dyDescent="0.25">
      <c r="A14" s="11"/>
      <c r="B14" s="11"/>
      <c r="C14" s="12" t="s">
        <v>273</v>
      </c>
      <c r="D14" s="13"/>
      <c r="E14" s="13"/>
      <c r="F14" s="14"/>
      <c r="G14" s="14">
        <v>3806</v>
      </c>
      <c r="H14" s="14"/>
      <c r="I14" s="14"/>
    </row>
    <row r="15" spans="1:9" s="15" customFormat="1" ht="11.45" customHeight="1" x14ac:dyDescent="0.25">
      <c r="A15" s="11"/>
      <c r="B15" s="11"/>
      <c r="C15" s="12" t="s">
        <v>265</v>
      </c>
      <c r="D15" s="13"/>
      <c r="E15" s="13"/>
      <c r="F15" s="14"/>
      <c r="G15" s="14">
        <v>771</v>
      </c>
      <c r="H15" s="14"/>
      <c r="I15" s="14"/>
    </row>
    <row r="16" spans="1:9" s="15" customFormat="1" ht="11.45" customHeight="1" x14ac:dyDescent="0.25">
      <c r="A16" s="11"/>
      <c r="B16" s="11"/>
      <c r="C16" s="12" t="s">
        <v>274</v>
      </c>
      <c r="D16" s="13"/>
      <c r="E16" s="13"/>
      <c r="F16" s="14"/>
      <c r="G16" s="14">
        <v>4621</v>
      </c>
      <c r="H16" s="14"/>
      <c r="I16" s="14"/>
    </row>
    <row r="17" spans="1:9" s="15" customFormat="1" ht="11.45" customHeight="1" x14ac:dyDescent="0.25">
      <c r="A17" s="11"/>
      <c r="B17" s="11"/>
      <c r="C17" s="12" t="s">
        <v>275</v>
      </c>
      <c r="D17" s="13"/>
      <c r="E17" s="13"/>
      <c r="F17" s="14"/>
      <c r="G17" s="14">
        <v>1541</v>
      </c>
      <c r="H17" s="14"/>
      <c r="I17" s="14"/>
    </row>
    <row r="18" spans="1:9" s="15" customFormat="1" ht="11.45" customHeight="1" x14ac:dyDescent="0.25">
      <c r="A18" s="11"/>
      <c r="B18" s="11"/>
      <c r="C18" s="12" t="s">
        <v>276</v>
      </c>
      <c r="D18" s="13"/>
      <c r="E18" s="13"/>
      <c r="F18" s="14"/>
      <c r="G18" s="14">
        <v>3798</v>
      </c>
      <c r="H18" s="14"/>
      <c r="I18" s="14"/>
    </row>
    <row r="19" spans="1:9" s="15" customFormat="1" ht="11.45" customHeight="1" x14ac:dyDescent="0.25">
      <c r="A19" s="11"/>
      <c r="B19" s="11"/>
      <c r="C19" s="12" t="s">
        <v>277</v>
      </c>
      <c r="D19" s="13"/>
      <c r="E19" s="13"/>
      <c r="F19" s="14"/>
      <c r="G19" s="14">
        <v>3188</v>
      </c>
      <c r="H19" s="14"/>
      <c r="I19" s="14"/>
    </row>
    <row r="20" spans="1:9" s="3" customFormat="1" ht="12.75" customHeight="1" x14ac:dyDescent="0.25">
      <c r="A20" s="7" t="s">
        <v>7</v>
      </c>
      <c r="B20" s="7" t="s">
        <v>8</v>
      </c>
      <c r="C20" s="8" t="s">
        <v>9</v>
      </c>
      <c r="D20" s="9">
        <f t="shared" ref="D20:E22" si="0">F20+H20</f>
        <v>0</v>
      </c>
      <c r="E20" s="9">
        <f t="shared" si="0"/>
        <v>0</v>
      </c>
      <c r="F20" s="10">
        <v>0</v>
      </c>
      <c r="G20" s="10">
        <v>0</v>
      </c>
      <c r="H20" s="10">
        <v>0</v>
      </c>
      <c r="I20" s="10">
        <v>0</v>
      </c>
    </row>
    <row r="21" spans="1:9" s="3" customFormat="1" ht="12.75" customHeight="1" x14ac:dyDescent="0.25">
      <c r="A21" s="7" t="s">
        <v>10</v>
      </c>
      <c r="B21" s="7" t="s">
        <v>11</v>
      </c>
      <c r="C21" s="8" t="s">
        <v>12</v>
      </c>
      <c r="D21" s="9">
        <f t="shared" si="0"/>
        <v>0</v>
      </c>
      <c r="E21" s="9">
        <f t="shared" si="0"/>
        <v>0</v>
      </c>
      <c r="F21" s="10">
        <v>0</v>
      </c>
      <c r="G21" s="10">
        <v>0</v>
      </c>
      <c r="H21" s="10">
        <v>0</v>
      </c>
      <c r="I21" s="10">
        <v>0</v>
      </c>
    </row>
    <row r="22" spans="1:9" s="3" customFormat="1" ht="12.75" customHeight="1" x14ac:dyDescent="0.25">
      <c r="A22" s="7" t="s">
        <v>13</v>
      </c>
      <c r="B22" s="7" t="s">
        <v>14</v>
      </c>
      <c r="C22" s="8" t="s">
        <v>15</v>
      </c>
      <c r="D22" s="9">
        <f t="shared" si="0"/>
        <v>1000</v>
      </c>
      <c r="E22" s="9">
        <f t="shared" si="0"/>
        <v>900</v>
      </c>
      <c r="F22" s="10">
        <f>SUM(F23:F24)</f>
        <v>1000</v>
      </c>
      <c r="G22" s="10">
        <f>SUM(G23:G24)</f>
        <v>900</v>
      </c>
      <c r="H22" s="10">
        <v>0</v>
      </c>
      <c r="I22" s="10">
        <f>SUM(I23:I24)</f>
        <v>0</v>
      </c>
    </row>
    <row r="23" spans="1:9" s="15" customFormat="1" ht="11.45" customHeight="1" x14ac:dyDescent="0.25">
      <c r="A23" s="11"/>
      <c r="B23" s="11"/>
      <c r="C23" s="12" t="s">
        <v>16</v>
      </c>
      <c r="D23" s="13"/>
      <c r="E23" s="13"/>
      <c r="F23" s="14">
        <v>700</v>
      </c>
      <c r="G23" s="14">
        <v>600</v>
      </c>
      <c r="H23" s="14"/>
      <c r="I23" s="14"/>
    </row>
    <row r="24" spans="1:9" s="15" customFormat="1" ht="11.45" customHeight="1" x14ac:dyDescent="0.25">
      <c r="A24" s="11"/>
      <c r="B24" s="11"/>
      <c r="C24" s="12" t="s">
        <v>17</v>
      </c>
      <c r="D24" s="13"/>
      <c r="E24" s="13"/>
      <c r="F24" s="14">
        <v>300</v>
      </c>
      <c r="G24" s="14">
        <v>300</v>
      </c>
      <c r="H24" s="14"/>
      <c r="I24" s="14"/>
    </row>
    <row r="25" spans="1:9" s="3" customFormat="1" ht="12.75" customHeight="1" x14ac:dyDescent="0.25">
      <c r="A25" s="7" t="s">
        <v>18</v>
      </c>
      <c r="B25" s="7" t="s">
        <v>19</v>
      </c>
      <c r="C25" s="8" t="s">
        <v>20</v>
      </c>
      <c r="D25" s="9">
        <f t="shared" ref="D25:E27" si="1">F25+H25</f>
        <v>0</v>
      </c>
      <c r="E25" s="9">
        <f t="shared" si="1"/>
        <v>0</v>
      </c>
      <c r="F25" s="10">
        <v>0</v>
      </c>
      <c r="G25" s="10">
        <v>0</v>
      </c>
      <c r="H25" s="10">
        <v>0</v>
      </c>
      <c r="I25" s="10">
        <v>0</v>
      </c>
    </row>
    <row r="26" spans="1:9" s="3" customFormat="1" ht="12.75" customHeight="1" x14ac:dyDescent="0.25">
      <c r="A26" s="7" t="s">
        <v>21</v>
      </c>
      <c r="B26" s="7" t="s">
        <v>22</v>
      </c>
      <c r="C26" s="8" t="s">
        <v>23</v>
      </c>
      <c r="D26" s="9">
        <f t="shared" si="1"/>
        <v>895</v>
      </c>
      <c r="E26" s="9">
        <f t="shared" si="1"/>
        <v>0</v>
      </c>
      <c r="F26" s="10">
        <v>895</v>
      </c>
      <c r="G26" s="10">
        <v>0</v>
      </c>
      <c r="H26" s="10">
        <v>0</v>
      </c>
      <c r="I26" s="10">
        <v>0</v>
      </c>
    </row>
    <row r="27" spans="1:9" s="3" customFormat="1" ht="12.75" customHeight="1" x14ac:dyDescent="0.25">
      <c r="A27" s="7" t="s">
        <v>24</v>
      </c>
      <c r="B27" s="7" t="s">
        <v>25</v>
      </c>
      <c r="C27" s="8" t="s">
        <v>26</v>
      </c>
      <c r="D27" s="9">
        <f t="shared" si="1"/>
        <v>1200</v>
      </c>
      <c r="E27" s="9">
        <f t="shared" si="1"/>
        <v>1200</v>
      </c>
      <c r="F27" s="10">
        <v>1200</v>
      </c>
      <c r="G27" s="10">
        <f>G28</f>
        <v>1200</v>
      </c>
      <c r="H27" s="10">
        <v>0</v>
      </c>
      <c r="I27" s="10">
        <f>I28</f>
        <v>0</v>
      </c>
    </row>
    <row r="28" spans="1:9" s="15" customFormat="1" ht="11.45" customHeight="1" x14ac:dyDescent="0.25">
      <c r="A28" s="11"/>
      <c r="B28" s="11"/>
      <c r="C28" s="12" t="s">
        <v>278</v>
      </c>
      <c r="D28" s="13"/>
      <c r="E28" s="13"/>
      <c r="F28" s="14"/>
      <c r="G28" s="14">
        <f>ROUND(12.5*8000*12/1000,0)</f>
        <v>1200</v>
      </c>
      <c r="H28" s="14"/>
      <c r="I28" s="14"/>
    </row>
    <row r="29" spans="1:9" s="3" customFormat="1" ht="12.75" customHeight="1" x14ac:dyDescent="0.25">
      <c r="A29" s="7" t="s">
        <v>27</v>
      </c>
      <c r="B29" s="7" t="s">
        <v>28</v>
      </c>
      <c r="C29" s="8" t="s">
        <v>29</v>
      </c>
      <c r="D29" s="9">
        <f t="shared" ref="D29:E31" si="2">F29+H29</f>
        <v>0</v>
      </c>
      <c r="E29" s="9">
        <f t="shared" si="2"/>
        <v>0</v>
      </c>
      <c r="F29" s="10">
        <v>0</v>
      </c>
      <c r="G29" s="10">
        <v>0</v>
      </c>
      <c r="H29" s="10">
        <v>0</v>
      </c>
      <c r="I29" s="10">
        <v>0</v>
      </c>
    </row>
    <row r="30" spans="1:9" s="3" customFormat="1" ht="12.75" customHeight="1" x14ac:dyDescent="0.25">
      <c r="A30" s="7" t="s">
        <v>30</v>
      </c>
      <c r="B30" s="7" t="s">
        <v>31</v>
      </c>
      <c r="C30" s="8" t="s">
        <v>32</v>
      </c>
      <c r="D30" s="9">
        <f t="shared" si="2"/>
        <v>250</v>
      </c>
      <c r="E30" s="9">
        <f t="shared" si="2"/>
        <v>250</v>
      </c>
      <c r="F30" s="10">
        <v>250</v>
      </c>
      <c r="G30" s="10">
        <v>250</v>
      </c>
      <c r="H30" s="10">
        <v>0</v>
      </c>
      <c r="I30" s="10">
        <v>0</v>
      </c>
    </row>
    <row r="31" spans="1:9" s="3" customFormat="1" ht="12.75" customHeight="1" x14ac:dyDescent="0.25">
      <c r="A31" s="7" t="s">
        <v>33</v>
      </c>
      <c r="B31" s="7" t="s">
        <v>34</v>
      </c>
      <c r="C31" s="8" t="s">
        <v>35</v>
      </c>
      <c r="D31" s="9">
        <f t="shared" si="2"/>
        <v>0</v>
      </c>
      <c r="E31" s="9">
        <f t="shared" si="2"/>
        <v>276</v>
      </c>
      <c r="F31" s="10">
        <v>0</v>
      </c>
      <c r="G31" s="10">
        <f>G32+G33</f>
        <v>276</v>
      </c>
      <c r="H31" s="10">
        <v>0</v>
      </c>
      <c r="I31" s="10">
        <f>I32</f>
        <v>0</v>
      </c>
    </row>
    <row r="32" spans="1:9" s="3" customFormat="1" ht="12.75" customHeight="1" x14ac:dyDescent="0.25">
      <c r="A32" s="11"/>
      <c r="B32" s="11"/>
      <c r="C32" s="12" t="s">
        <v>279</v>
      </c>
      <c r="D32" s="13"/>
      <c r="E32" s="13"/>
      <c r="F32" s="14"/>
      <c r="G32" s="14">
        <v>120</v>
      </c>
      <c r="H32" s="14"/>
      <c r="I32" s="14"/>
    </row>
    <row r="33" spans="1:9" s="3" customFormat="1" ht="12.75" customHeight="1" x14ac:dyDescent="0.25">
      <c r="A33" s="11"/>
      <c r="B33" s="11"/>
      <c r="C33" s="12" t="s">
        <v>1266</v>
      </c>
      <c r="D33" s="13"/>
      <c r="E33" s="13"/>
      <c r="F33" s="14"/>
      <c r="G33" s="14">
        <v>156</v>
      </c>
      <c r="H33" s="14"/>
      <c r="I33" s="14"/>
    </row>
    <row r="34" spans="1:9" s="3" customFormat="1" ht="12.75" customHeight="1" x14ac:dyDescent="0.25">
      <c r="A34" s="7" t="s">
        <v>36</v>
      </c>
      <c r="B34" s="7" t="s">
        <v>37</v>
      </c>
      <c r="C34" s="8" t="s">
        <v>38</v>
      </c>
      <c r="D34" s="9">
        <f>F34+H34</f>
        <v>0</v>
      </c>
      <c r="E34" s="9">
        <f>G34+I34</f>
        <v>0</v>
      </c>
      <c r="F34" s="10">
        <v>0</v>
      </c>
      <c r="G34" s="10">
        <v>0</v>
      </c>
      <c r="H34" s="10">
        <v>0</v>
      </c>
      <c r="I34" s="10">
        <v>0</v>
      </c>
    </row>
    <row r="35" spans="1:9" s="3" customFormat="1" ht="12.75" customHeight="1" x14ac:dyDescent="0.25">
      <c r="A35" s="7" t="s">
        <v>39</v>
      </c>
      <c r="B35" s="7" t="s">
        <v>40</v>
      </c>
      <c r="C35" s="8" t="s">
        <v>41</v>
      </c>
      <c r="D35" s="9">
        <f>F35+H35</f>
        <v>173</v>
      </c>
      <c r="E35" s="9">
        <f>G35+I35</f>
        <v>143</v>
      </c>
      <c r="F35" s="10">
        <f>F36</f>
        <v>173</v>
      </c>
      <c r="G35" s="10">
        <f>G36</f>
        <v>143</v>
      </c>
      <c r="H35" s="10">
        <f>H36</f>
        <v>0</v>
      </c>
      <c r="I35" s="10">
        <f>I36</f>
        <v>0</v>
      </c>
    </row>
    <row r="36" spans="1:9" s="3" customFormat="1" ht="12.75" customHeight="1" x14ac:dyDescent="0.25">
      <c r="A36" s="11"/>
      <c r="B36" s="11"/>
      <c r="C36" s="12" t="s">
        <v>280</v>
      </c>
      <c r="D36" s="13"/>
      <c r="E36" s="13"/>
      <c r="F36" s="14">
        <v>173</v>
      </c>
      <c r="G36" s="14">
        <f>ROUND(G6*0.004,0)</f>
        <v>143</v>
      </c>
      <c r="H36" s="14"/>
      <c r="I36" s="14"/>
    </row>
    <row r="37" spans="1:9" s="3" customFormat="1" ht="12.75" customHeight="1" x14ac:dyDescent="0.25">
      <c r="A37" s="7" t="s">
        <v>42</v>
      </c>
      <c r="B37" s="7" t="s">
        <v>43</v>
      </c>
      <c r="C37" s="8" t="s">
        <v>44</v>
      </c>
      <c r="D37" s="9">
        <f>F37+H37</f>
        <v>300</v>
      </c>
      <c r="E37" s="9">
        <f>G37+I37</f>
        <v>1390</v>
      </c>
      <c r="F37" s="10">
        <v>300</v>
      </c>
      <c r="G37" s="10">
        <f>G38+G39</f>
        <v>1390</v>
      </c>
      <c r="H37" s="10">
        <v>0</v>
      </c>
      <c r="I37" s="10">
        <f>I38</f>
        <v>0</v>
      </c>
    </row>
    <row r="38" spans="1:9" s="15" customFormat="1" ht="11.45" customHeight="1" x14ac:dyDescent="0.25">
      <c r="A38" s="11"/>
      <c r="B38" s="11"/>
      <c r="C38" s="12" t="s">
        <v>281</v>
      </c>
      <c r="D38" s="13"/>
      <c r="E38" s="13"/>
      <c r="F38" s="14"/>
      <c r="G38" s="14">
        <v>325</v>
      </c>
      <c r="H38" s="14"/>
      <c r="I38" s="14"/>
    </row>
    <row r="39" spans="1:9" s="15" customFormat="1" ht="11.45" customHeight="1" x14ac:dyDescent="0.25">
      <c r="A39" s="11"/>
      <c r="B39" s="11"/>
      <c r="C39" s="12" t="s">
        <v>1267</v>
      </c>
      <c r="D39" s="13"/>
      <c r="E39" s="13"/>
      <c r="F39" s="14"/>
      <c r="G39" s="14">
        <v>1065</v>
      </c>
      <c r="H39" s="14"/>
      <c r="I39" s="14"/>
    </row>
    <row r="40" spans="1:9" s="3" customFormat="1" ht="12.75" customHeight="1" x14ac:dyDescent="0.25">
      <c r="A40" s="16" t="s">
        <v>45</v>
      </c>
      <c r="B40" s="16" t="s">
        <v>46</v>
      </c>
      <c r="C40" s="17" t="s">
        <v>47</v>
      </c>
      <c r="D40" s="18">
        <f t="shared" ref="D40:I40" si="3">D6+D20+D21+D22+D25+D26+D27+D29+D30+D31+D34+D35+D37</f>
        <v>38351</v>
      </c>
      <c r="E40" s="18">
        <f t="shared" si="3"/>
        <v>39806</v>
      </c>
      <c r="F40" s="18">
        <f t="shared" si="3"/>
        <v>38351</v>
      </c>
      <c r="G40" s="18">
        <f t="shared" si="3"/>
        <v>39806</v>
      </c>
      <c r="H40" s="18">
        <f t="shared" si="3"/>
        <v>0</v>
      </c>
      <c r="I40" s="18">
        <f t="shared" si="3"/>
        <v>0</v>
      </c>
    </row>
    <row r="41" spans="1:9" s="3" customFormat="1" ht="12.75" customHeight="1" x14ac:dyDescent="0.25">
      <c r="A41" s="7" t="s">
        <v>48</v>
      </c>
      <c r="B41" s="7" t="s">
        <v>49</v>
      </c>
      <c r="C41" s="8" t="s">
        <v>50</v>
      </c>
      <c r="D41" s="9">
        <f>F41+H41</f>
        <v>0</v>
      </c>
      <c r="E41" s="9">
        <f>G41+I41</f>
        <v>0</v>
      </c>
      <c r="F41" s="10">
        <v>0</v>
      </c>
      <c r="G41" s="10">
        <v>0</v>
      </c>
      <c r="H41" s="10">
        <v>0</v>
      </c>
      <c r="I41" s="10">
        <v>0</v>
      </c>
    </row>
    <row r="42" spans="1:9" s="3" customFormat="1" ht="12.75" customHeight="1" x14ac:dyDescent="0.25">
      <c r="A42" s="7" t="s">
        <v>51</v>
      </c>
      <c r="B42" s="7" t="s">
        <v>52</v>
      </c>
      <c r="C42" s="8" t="s">
        <v>53</v>
      </c>
      <c r="D42" s="9">
        <f>F42+H42</f>
        <v>300</v>
      </c>
      <c r="E42" s="9">
        <f>G42+I42</f>
        <v>300</v>
      </c>
      <c r="F42" s="10">
        <f>F43</f>
        <v>300</v>
      </c>
      <c r="G42" s="10">
        <f>G43</f>
        <v>300</v>
      </c>
      <c r="H42" s="10">
        <f>H43</f>
        <v>0</v>
      </c>
      <c r="I42" s="10">
        <f>I43</f>
        <v>0</v>
      </c>
    </row>
    <row r="43" spans="1:9" s="15" customFormat="1" ht="11.45" customHeight="1" x14ac:dyDescent="0.25">
      <c r="A43" s="11"/>
      <c r="B43" s="11"/>
      <c r="C43" s="12" t="s">
        <v>282</v>
      </c>
      <c r="D43" s="13"/>
      <c r="E43" s="13"/>
      <c r="F43" s="14">
        <v>300</v>
      </c>
      <c r="G43" s="14">
        <v>300</v>
      </c>
      <c r="H43" s="14"/>
      <c r="I43" s="14"/>
    </row>
    <row r="44" spans="1:9" s="3" customFormat="1" ht="12.75" customHeight="1" x14ac:dyDescent="0.25">
      <c r="A44" s="7" t="s">
        <v>54</v>
      </c>
      <c r="B44" s="7" t="s">
        <v>55</v>
      </c>
      <c r="C44" s="8" t="s">
        <v>285</v>
      </c>
      <c r="D44" s="9">
        <f>F44+H44</f>
        <v>100</v>
      </c>
      <c r="E44" s="9">
        <f>G44+I44</f>
        <v>50</v>
      </c>
      <c r="F44" s="10">
        <f>F45</f>
        <v>100</v>
      </c>
      <c r="G44" s="10">
        <f>G45</f>
        <v>50</v>
      </c>
      <c r="H44" s="10">
        <f>H45</f>
        <v>0</v>
      </c>
      <c r="I44" s="10">
        <f>I45</f>
        <v>0</v>
      </c>
    </row>
    <row r="45" spans="1:9" s="15" customFormat="1" ht="11.45" customHeight="1" x14ac:dyDescent="0.25">
      <c r="A45" s="11"/>
      <c r="B45" s="11"/>
      <c r="C45" s="12" t="s">
        <v>283</v>
      </c>
      <c r="D45" s="13"/>
      <c r="E45" s="13"/>
      <c r="F45" s="14">
        <v>100</v>
      </c>
      <c r="G45" s="14">
        <v>50</v>
      </c>
      <c r="H45" s="14"/>
      <c r="I45" s="14"/>
    </row>
    <row r="46" spans="1:9" s="3" customFormat="1" ht="12.75" customHeight="1" x14ac:dyDescent="0.25">
      <c r="A46" s="16" t="s">
        <v>56</v>
      </c>
      <c r="B46" s="16" t="s">
        <v>57</v>
      </c>
      <c r="C46" s="17" t="s">
        <v>58</v>
      </c>
      <c r="D46" s="18">
        <f t="shared" ref="D46:I46" si="4">D41+D42+D44</f>
        <v>400</v>
      </c>
      <c r="E46" s="18">
        <f t="shared" si="4"/>
        <v>350</v>
      </c>
      <c r="F46" s="18">
        <f t="shared" si="4"/>
        <v>400</v>
      </c>
      <c r="G46" s="18">
        <f t="shared" si="4"/>
        <v>350</v>
      </c>
      <c r="H46" s="18">
        <f t="shared" si="4"/>
        <v>0</v>
      </c>
      <c r="I46" s="18">
        <f t="shared" si="4"/>
        <v>0</v>
      </c>
    </row>
    <row r="47" spans="1:9" s="3" customFormat="1" ht="12.75" customHeight="1" x14ac:dyDescent="0.25">
      <c r="A47" s="20" t="s">
        <v>59</v>
      </c>
      <c r="B47" s="20" t="s">
        <v>60</v>
      </c>
      <c r="C47" s="21" t="s">
        <v>286</v>
      </c>
      <c r="D47" s="22">
        <f t="shared" ref="D47:I47" si="5">D40+D46</f>
        <v>38751</v>
      </c>
      <c r="E47" s="22">
        <f t="shared" si="5"/>
        <v>40156</v>
      </c>
      <c r="F47" s="22">
        <f t="shared" si="5"/>
        <v>38751</v>
      </c>
      <c r="G47" s="22">
        <f t="shared" si="5"/>
        <v>40156</v>
      </c>
      <c r="H47" s="22">
        <f t="shared" si="5"/>
        <v>0</v>
      </c>
      <c r="I47" s="22">
        <f t="shared" si="5"/>
        <v>0</v>
      </c>
    </row>
    <row r="48" spans="1:9" s="15" customFormat="1" ht="11.45" customHeight="1" x14ac:dyDescent="0.25">
      <c r="A48" s="11"/>
      <c r="B48" s="11"/>
      <c r="C48" s="12" t="s">
        <v>284</v>
      </c>
      <c r="D48" s="13">
        <f>H48+F48</f>
        <v>10025</v>
      </c>
      <c r="E48" s="13">
        <f>I48+G48</f>
        <v>9987</v>
      </c>
      <c r="F48" s="13">
        <v>10025</v>
      </c>
      <c r="G48" s="13">
        <f>ROUND((G6+G20+G21+G22+G25+G26+G35+G42)*0.27,0)</f>
        <v>9987</v>
      </c>
      <c r="H48" s="13">
        <f>ROUND((H6+H20+H21+H22+H25+H26+H42)*0.27,0)</f>
        <v>0</v>
      </c>
      <c r="I48" s="13">
        <f>ROUND((I6+I20+I21+I22+I25+I26+I42)*0.27,0)</f>
        <v>0</v>
      </c>
    </row>
    <row r="49" spans="1:9" s="15" customFormat="1" ht="11.45" customHeight="1" x14ac:dyDescent="0.25">
      <c r="A49" s="11"/>
      <c r="B49" s="11"/>
      <c r="C49" s="12" t="s">
        <v>61</v>
      </c>
      <c r="D49" s="13">
        <f t="shared" ref="D49:E51" si="6">H49+F49</f>
        <v>232</v>
      </c>
      <c r="E49" s="13">
        <f t="shared" si="6"/>
        <v>663</v>
      </c>
      <c r="F49" s="14">
        <v>232</v>
      </c>
      <c r="G49" s="13">
        <f>ROUND(G27*1.19*0.14+(G44+G37)*1.19*0.27,0)</f>
        <v>663</v>
      </c>
      <c r="H49" s="14"/>
      <c r="I49" s="14"/>
    </row>
    <row r="50" spans="1:9" s="15" customFormat="1" ht="11.45" customHeight="1" x14ac:dyDescent="0.25">
      <c r="A50" s="11"/>
      <c r="B50" s="11"/>
      <c r="C50" s="12" t="s">
        <v>62</v>
      </c>
      <c r="D50" s="13">
        <f t="shared" si="6"/>
        <v>0</v>
      </c>
      <c r="E50" s="13">
        <f t="shared" si="6"/>
        <v>0</v>
      </c>
      <c r="F50" s="14">
        <v>0</v>
      </c>
      <c r="G50" s="14"/>
      <c r="H50" s="14"/>
      <c r="I50" s="14"/>
    </row>
    <row r="51" spans="1:9" s="15" customFormat="1" ht="11.45" customHeight="1" x14ac:dyDescent="0.25">
      <c r="A51" s="11"/>
      <c r="B51" s="11"/>
      <c r="C51" s="12" t="s">
        <v>63</v>
      </c>
      <c r="D51" s="13">
        <f t="shared" si="6"/>
        <v>248</v>
      </c>
      <c r="E51" s="13">
        <f t="shared" si="6"/>
        <v>300</v>
      </c>
      <c r="F51" s="14">
        <v>248</v>
      </c>
      <c r="G51" s="14">
        <f>ROUND((G45+G38+G28)*1.19*0.16,0)</f>
        <v>300</v>
      </c>
      <c r="H51" s="14"/>
      <c r="I51" s="14"/>
    </row>
    <row r="52" spans="1:9" s="3" customFormat="1" ht="12.75" customHeight="1" x14ac:dyDescent="0.25">
      <c r="A52" s="20" t="s">
        <v>64</v>
      </c>
      <c r="B52" s="20" t="s">
        <v>65</v>
      </c>
      <c r="C52" s="21" t="s">
        <v>287</v>
      </c>
      <c r="D52" s="22">
        <f t="shared" ref="D52:I52" si="7">D48+D49+D50+D51</f>
        <v>10505</v>
      </c>
      <c r="E52" s="22">
        <f t="shared" si="7"/>
        <v>10950</v>
      </c>
      <c r="F52" s="22">
        <f t="shared" si="7"/>
        <v>10505</v>
      </c>
      <c r="G52" s="22">
        <f t="shared" si="7"/>
        <v>10950</v>
      </c>
      <c r="H52" s="22">
        <f t="shared" si="7"/>
        <v>0</v>
      </c>
      <c r="I52" s="22">
        <f t="shared" si="7"/>
        <v>0</v>
      </c>
    </row>
    <row r="53" spans="1:9" s="3" customFormat="1" ht="14.1" customHeight="1" x14ac:dyDescent="0.25">
      <c r="A53" s="966" t="s">
        <v>66</v>
      </c>
      <c r="B53" s="967"/>
      <c r="C53" s="968"/>
      <c r="D53" s="29">
        <f t="shared" ref="D53:I53" si="8">D47+D52</f>
        <v>49256</v>
      </c>
      <c r="E53" s="29">
        <f t="shared" si="8"/>
        <v>51106</v>
      </c>
      <c r="F53" s="29">
        <f t="shared" si="8"/>
        <v>49256</v>
      </c>
      <c r="G53" s="29">
        <f t="shared" si="8"/>
        <v>51106</v>
      </c>
      <c r="H53" s="29">
        <f t="shared" si="8"/>
        <v>0</v>
      </c>
      <c r="I53" s="29">
        <f t="shared" si="8"/>
        <v>0</v>
      </c>
    </row>
    <row r="54" spans="1:9" s="1" customFormat="1" ht="12.75" customHeight="1" x14ac:dyDescent="0.25">
      <c r="A54" s="974" t="s">
        <v>264</v>
      </c>
      <c r="B54" s="974"/>
      <c r="C54" s="974"/>
      <c r="D54" s="974"/>
      <c r="E54" s="974"/>
      <c r="F54" s="974"/>
      <c r="G54" s="974"/>
      <c r="H54" s="974"/>
      <c r="I54" s="974"/>
    </row>
    <row r="55" spans="1:9" s="1" customFormat="1" ht="14.1" customHeight="1" x14ac:dyDescent="0.25">
      <c r="A55" s="974" t="s">
        <v>0</v>
      </c>
      <c r="B55" s="975" t="s">
        <v>1</v>
      </c>
      <c r="C55" s="974" t="s">
        <v>2</v>
      </c>
      <c r="D55" s="976" t="s">
        <v>260</v>
      </c>
      <c r="E55" s="969" t="s">
        <v>259</v>
      </c>
      <c r="F55" s="971" t="s">
        <v>261</v>
      </c>
      <c r="G55" s="972"/>
      <c r="H55" s="971" t="s">
        <v>262</v>
      </c>
      <c r="I55" s="972"/>
    </row>
    <row r="56" spans="1:9" s="3" customFormat="1" ht="33" customHeight="1" x14ac:dyDescent="0.25">
      <c r="A56" s="974"/>
      <c r="B56" s="975"/>
      <c r="C56" s="974"/>
      <c r="D56" s="976"/>
      <c r="E56" s="970"/>
      <c r="F56" s="2" t="s">
        <v>260</v>
      </c>
      <c r="G56" s="2" t="s">
        <v>259</v>
      </c>
      <c r="H56" s="2" t="s">
        <v>260</v>
      </c>
      <c r="I56" s="2" t="s">
        <v>259</v>
      </c>
    </row>
    <row r="57" spans="1:9" ht="5.65" customHeight="1" x14ac:dyDescent="0.25"/>
    <row r="58" spans="1:9" ht="14.1" customHeight="1" x14ac:dyDescent="0.25">
      <c r="A58" s="973" t="s">
        <v>288</v>
      </c>
      <c r="B58" s="973"/>
      <c r="C58" s="973"/>
      <c r="D58" s="973"/>
      <c r="E58" s="973"/>
      <c r="F58" s="973"/>
      <c r="G58" s="973"/>
      <c r="H58" s="973"/>
      <c r="I58" s="973"/>
    </row>
    <row r="59" spans="1:9" s="3" customFormat="1" ht="14.1" customHeight="1" x14ac:dyDescent="0.25">
      <c r="A59" s="7" t="s">
        <v>67</v>
      </c>
      <c r="B59" s="7" t="s">
        <v>68</v>
      </c>
      <c r="C59" s="8" t="s">
        <v>69</v>
      </c>
      <c r="D59" s="9">
        <f>F59+H59</f>
        <v>136</v>
      </c>
      <c r="E59" s="9">
        <f>G59+I59</f>
        <v>205</v>
      </c>
      <c r="F59" s="10">
        <f>SUM(F60:F65)</f>
        <v>136</v>
      </c>
      <c r="G59" s="10">
        <f>SUM(G60:G65)</f>
        <v>205</v>
      </c>
      <c r="H59" s="10">
        <f>SUM(H60:H65)</f>
        <v>0</v>
      </c>
      <c r="I59" s="10">
        <f>SUM(I60:I65)</f>
        <v>0</v>
      </c>
    </row>
    <row r="60" spans="1:9" ht="14.1" customHeight="1" x14ac:dyDescent="0.25">
      <c r="A60" s="24"/>
      <c r="B60" s="24"/>
      <c r="C60" s="25" t="s">
        <v>70</v>
      </c>
      <c r="D60" s="26"/>
      <c r="E60" s="26"/>
      <c r="F60" s="26">
        <v>6</v>
      </c>
      <c r="G60" s="26"/>
      <c r="H60" s="26"/>
      <c r="I60" s="26"/>
    </row>
    <row r="61" spans="1:9" ht="14.1" customHeight="1" x14ac:dyDescent="0.25">
      <c r="A61" s="24"/>
      <c r="B61" s="24"/>
      <c r="C61" s="25" t="s">
        <v>71</v>
      </c>
      <c r="D61" s="26"/>
      <c r="E61" s="26"/>
      <c r="F61" s="26">
        <v>0</v>
      </c>
      <c r="G61" s="26"/>
      <c r="H61" s="26"/>
      <c r="I61" s="26"/>
    </row>
    <row r="62" spans="1:9" ht="14.1" customHeight="1" x14ac:dyDescent="0.25">
      <c r="A62" s="24"/>
      <c r="B62" s="24"/>
      <c r="C62" s="25" t="s">
        <v>72</v>
      </c>
      <c r="D62" s="26"/>
      <c r="E62" s="26"/>
      <c r="F62" s="26">
        <v>70</v>
      </c>
      <c r="G62" s="26">
        <v>180</v>
      </c>
      <c r="H62" s="26"/>
      <c r="I62" s="26"/>
    </row>
    <row r="63" spans="1:9" ht="14.1" customHeight="1" x14ac:dyDescent="0.25">
      <c r="A63" s="24"/>
      <c r="B63" s="24"/>
      <c r="C63" s="25" t="s">
        <v>73</v>
      </c>
      <c r="D63" s="26"/>
      <c r="E63" s="26"/>
      <c r="F63" s="26">
        <v>30</v>
      </c>
      <c r="G63" s="26">
        <v>5</v>
      </c>
      <c r="H63" s="26"/>
      <c r="I63" s="26"/>
    </row>
    <row r="64" spans="1:9" ht="14.1" customHeight="1" x14ac:dyDescent="0.25">
      <c r="A64" s="24"/>
      <c r="B64" s="24"/>
      <c r="C64" s="25" t="s">
        <v>74</v>
      </c>
      <c r="D64" s="26"/>
      <c r="E64" s="26"/>
      <c r="F64" s="26">
        <v>10</v>
      </c>
      <c r="G64" s="26"/>
      <c r="H64" s="26"/>
      <c r="I64" s="26"/>
    </row>
    <row r="65" spans="1:9" ht="14.1" customHeight="1" x14ac:dyDescent="0.25">
      <c r="A65" s="24"/>
      <c r="B65" s="24"/>
      <c r="C65" s="25" t="s">
        <v>75</v>
      </c>
      <c r="D65" s="26"/>
      <c r="E65" s="26"/>
      <c r="F65" s="26">
        <v>20</v>
      </c>
      <c r="G65" s="26">
        <v>20</v>
      </c>
      <c r="H65" s="26"/>
      <c r="I65" s="26"/>
    </row>
    <row r="66" spans="1:9" s="3" customFormat="1" ht="14.1" customHeight="1" x14ac:dyDescent="0.25">
      <c r="A66" s="7" t="s">
        <v>76</v>
      </c>
      <c r="B66" s="7" t="s">
        <v>77</v>
      </c>
      <c r="C66" s="8" t="s">
        <v>78</v>
      </c>
      <c r="D66" s="9">
        <f>F66+H66</f>
        <v>1215</v>
      </c>
      <c r="E66" s="9">
        <f>G66+I66</f>
        <v>1205</v>
      </c>
      <c r="F66" s="10">
        <f>SUM(F67:F72)</f>
        <v>1215</v>
      </c>
      <c r="G66" s="10">
        <f>SUM(G67:G72)</f>
        <v>1205</v>
      </c>
      <c r="H66" s="10">
        <f>SUM(H67:H72)</f>
        <v>0</v>
      </c>
      <c r="I66" s="10">
        <f>SUM(I67:I72)</f>
        <v>0</v>
      </c>
    </row>
    <row r="67" spans="1:9" ht="14.1" customHeight="1" x14ac:dyDescent="0.25">
      <c r="A67" s="24"/>
      <c r="B67" s="24"/>
      <c r="C67" s="25" t="s">
        <v>79</v>
      </c>
      <c r="D67" s="26"/>
      <c r="E67" s="26"/>
      <c r="F67" s="26"/>
      <c r="G67" s="26"/>
      <c r="H67" s="26"/>
      <c r="I67" s="26"/>
    </row>
    <row r="68" spans="1:9" ht="14.1" customHeight="1" x14ac:dyDescent="0.25">
      <c r="A68" s="24"/>
      <c r="B68" s="24"/>
      <c r="C68" s="25" t="s">
        <v>80</v>
      </c>
      <c r="D68" s="26"/>
      <c r="E68" s="26"/>
      <c r="F68" s="26">
        <v>115</v>
      </c>
      <c r="G68" s="26">
        <v>100</v>
      </c>
      <c r="H68" s="26"/>
      <c r="I68" s="26"/>
    </row>
    <row r="69" spans="1:9" ht="14.1" customHeight="1" x14ac:dyDescent="0.25">
      <c r="A69" s="24"/>
      <c r="B69" s="24"/>
      <c r="C69" s="25" t="s">
        <v>81</v>
      </c>
      <c r="D69" s="26"/>
      <c r="E69" s="26"/>
      <c r="F69" s="26"/>
      <c r="G69" s="26"/>
      <c r="H69" s="26"/>
      <c r="I69" s="26"/>
    </row>
    <row r="70" spans="1:9" ht="14.1" customHeight="1" x14ac:dyDescent="0.25">
      <c r="A70" s="24"/>
      <c r="B70" s="24"/>
      <c r="C70" s="25" t="s">
        <v>82</v>
      </c>
      <c r="D70" s="26"/>
      <c r="E70" s="26"/>
      <c r="F70" s="26">
        <v>5</v>
      </c>
      <c r="G70" s="26">
        <v>5</v>
      </c>
      <c r="H70" s="26"/>
      <c r="I70" s="26"/>
    </row>
    <row r="71" spans="1:9" ht="14.1" customHeight="1" x14ac:dyDescent="0.25">
      <c r="A71" s="24"/>
      <c r="B71" s="24"/>
      <c r="C71" s="25" t="s">
        <v>83</v>
      </c>
      <c r="D71" s="26"/>
      <c r="E71" s="26"/>
      <c r="F71" s="26">
        <v>195</v>
      </c>
      <c r="G71" s="26">
        <v>195</v>
      </c>
      <c r="H71" s="26"/>
      <c r="I71" s="26"/>
    </row>
    <row r="72" spans="1:9" ht="14.1" customHeight="1" x14ac:dyDescent="0.25">
      <c r="A72" s="24"/>
      <c r="B72" s="24"/>
      <c r="C72" s="25" t="s">
        <v>84</v>
      </c>
      <c r="D72" s="26"/>
      <c r="E72" s="26"/>
      <c r="F72" s="26">
        <v>900</v>
      </c>
      <c r="G72" s="26">
        <v>905</v>
      </c>
      <c r="H72" s="26"/>
      <c r="I72" s="26"/>
    </row>
    <row r="73" spans="1:9" s="3" customFormat="1" ht="14.1" customHeight="1" x14ac:dyDescent="0.25">
      <c r="A73" s="7" t="s">
        <v>85</v>
      </c>
      <c r="B73" s="7" t="s">
        <v>86</v>
      </c>
      <c r="C73" s="8" t="s">
        <v>87</v>
      </c>
      <c r="D73" s="9">
        <f>F73+H73</f>
        <v>0</v>
      </c>
      <c r="E73" s="9">
        <f>G73+I73</f>
        <v>0</v>
      </c>
      <c r="F73" s="10">
        <f>SUM(F74:F75)</f>
        <v>0</v>
      </c>
      <c r="G73" s="10">
        <f>SUM(G74:G75)</f>
        <v>0</v>
      </c>
      <c r="H73" s="10">
        <f>SUM(H74:H75)</f>
        <v>0</v>
      </c>
      <c r="I73" s="10">
        <f>SUM(I74:I75)</f>
        <v>0</v>
      </c>
    </row>
    <row r="74" spans="1:9" ht="14.1" customHeight="1" x14ac:dyDescent="0.25">
      <c r="A74" s="24"/>
      <c r="B74" s="24"/>
      <c r="C74" s="25" t="s">
        <v>88</v>
      </c>
      <c r="D74" s="26"/>
      <c r="E74" s="26"/>
      <c r="F74" s="26"/>
      <c r="G74" s="26"/>
      <c r="H74" s="26"/>
      <c r="I74" s="26"/>
    </row>
    <row r="75" spans="1:9" ht="14.1" customHeight="1" x14ac:dyDescent="0.25">
      <c r="A75" s="24"/>
      <c r="B75" s="24"/>
      <c r="C75" s="25" t="s">
        <v>89</v>
      </c>
      <c r="D75" s="26"/>
      <c r="E75" s="26"/>
      <c r="F75" s="26"/>
      <c r="G75" s="26"/>
      <c r="H75" s="26"/>
      <c r="I75" s="26"/>
    </row>
    <row r="76" spans="1:9" s="3" customFormat="1" ht="14.1" customHeight="1" x14ac:dyDescent="0.25">
      <c r="A76" s="16" t="s">
        <v>90</v>
      </c>
      <c r="B76" s="16" t="s">
        <v>91</v>
      </c>
      <c r="C76" s="17" t="s">
        <v>92</v>
      </c>
      <c r="D76" s="19">
        <f t="shared" ref="D76:I76" si="9">D59+D66</f>
        <v>1351</v>
      </c>
      <c r="E76" s="19">
        <f t="shared" si="9"/>
        <v>1410</v>
      </c>
      <c r="F76" s="19">
        <f t="shared" si="9"/>
        <v>1351</v>
      </c>
      <c r="G76" s="19">
        <f t="shared" si="9"/>
        <v>1410</v>
      </c>
      <c r="H76" s="19">
        <f t="shared" si="9"/>
        <v>0</v>
      </c>
      <c r="I76" s="19">
        <f t="shared" si="9"/>
        <v>0</v>
      </c>
    </row>
    <row r="77" spans="1:9" s="3" customFormat="1" ht="14.1" customHeight="1" x14ac:dyDescent="0.25">
      <c r="A77" s="7" t="s">
        <v>93</v>
      </c>
      <c r="B77" s="7" t="s">
        <v>94</v>
      </c>
      <c r="C77" s="8" t="s">
        <v>95</v>
      </c>
      <c r="D77" s="9">
        <f>F77+H77</f>
        <v>60</v>
      </c>
      <c r="E77" s="9">
        <f>G77+I77</f>
        <v>20</v>
      </c>
      <c r="F77" s="10">
        <f>SUM(F78:F83)</f>
        <v>60</v>
      </c>
      <c r="G77" s="10">
        <f>SUM(G78:G83)</f>
        <v>20</v>
      </c>
      <c r="H77" s="10">
        <f>SUM(H78:H83)</f>
        <v>0</v>
      </c>
      <c r="I77" s="10">
        <f>SUM(I78:I83)</f>
        <v>0</v>
      </c>
    </row>
    <row r="78" spans="1:9" ht="14.1" customHeight="1" x14ac:dyDescent="0.25">
      <c r="A78" s="24"/>
      <c r="B78" s="24"/>
      <c r="C78" s="25" t="s">
        <v>96</v>
      </c>
      <c r="D78" s="26"/>
      <c r="E78" s="26"/>
      <c r="F78" s="26"/>
      <c r="G78" s="26"/>
      <c r="H78" s="26"/>
      <c r="I78" s="26"/>
    </row>
    <row r="79" spans="1:9" ht="14.1" customHeight="1" x14ac:dyDescent="0.25">
      <c r="A79" s="24"/>
      <c r="B79" s="24"/>
      <c r="C79" s="25" t="s">
        <v>97</v>
      </c>
      <c r="D79" s="26"/>
      <c r="E79" s="26"/>
      <c r="F79" s="26">
        <v>10</v>
      </c>
      <c r="G79" s="26"/>
      <c r="H79" s="26"/>
      <c r="I79" s="26"/>
    </row>
    <row r="80" spans="1:9" ht="14.1" customHeight="1" x14ac:dyDescent="0.25">
      <c r="A80" s="24"/>
      <c r="B80" s="24"/>
      <c r="C80" s="25" t="s">
        <v>98</v>
      </c>
      <c r="D80" s="26"/>
      <c r="E80" s="26"/>
      <c r="F80" s="26"/>
      <c r="G80" s="26"/>
      <c r="H80" s="26"/>
      <c r="I80" s="26"/>
    </row>
    <row r="81" spans="1:9" ht="14.1" customHeight="1" x14ac:dyDescent="0.25">
      <c r="A81" s="24"/>
      <c r="B81" s="24"/>
      <c r="C81" s="25" t="s">
        <v>99</v>
      </c>
      <c r="D81" s="26"/>
      <c r="E81" s="26"/>
      <c r="F81" s="26">
        <v>20</v>
      </c>
      <c r="G81" s="26">
        <v>20</v>
      </c>
      <c r="H81" s="26"/>
      <c r="I81" s="26"/>
    </row>
    <row r="82" spans="1:9" ht="14.1" customHeight="1" x14ac:dyDescent="0.25">
      <c r="A82" s="24"/>
      <c r="B82" s="24"/>
      <c r="C82" s="25" t="s">
        <v>100</v>
      </c>
      <c r="D82" s="26"/>
      <c r="E82" s="26"/>
      <c r="F82" s="26">
        <v>15</v>
      </c>
      <c r="G82" s="26"/>
      <c r="H82" s="26"/>
      <c r="I82" s="26"/>
    </row>
    <row r="83" spans="1:9" ht="14.1" customHeight="1" x14ac:dyDescent="0.25">
      <c r="A83" s="24"/>
      <c r="B83" s="24"/>
      <c r="C83" s="25" t="s">
        <v>101</v>
      </c>
      <c r="D83" s="26"/>
      <c r="E83" s="26"/>
      <c r="F83" s="26">
        <v>15</v>
      </c>
      <c r="G83" s="26"/>
      <c r="H83" s="26"/>
      <c r="I83" s="26"/>
    </row>
    <row r="84" spans="1:9" s="3" customFormat="1" ht="14.1" customHeight="1" x14ac:dyDescent="0.25">
      <c r="A84" s="7" t="s">
        <v>102</v>
      </c>
      <c r="B84" s="7" t="s">
        <v>103</v>
      </c>
      <c r="C84" s="8" t="s">
        <v>104</v>
      </c>
      <c r="D84" s="9">
        <f>F84+H84</f>
        <v>130</v>
      </c>
      <c r="E84" s="9">
        <f>G84+I84</f>
        <v>135</v>
      </c>
      <c r="F84" s="10">
        <f>SUM(F85:F86)</f>
        <v>130</v>
      </c>
      <c r="G84" s="10">
        <f>SUM(G85:G86)</f>
        <v>135</v>
      </c>
      <c r="H84" s="10">
        <f>SUM(H85:H86)</f>
        <v>0</v>
      </c>
      <c r="I84" s="10">
        <f>SUM(I85:I86)</f>
        <v>0</v>
      </c>
    </row>
    <row r="85" spans="1:9" ht="14.1" customHeight="1" x14ac:dyDescent="0.25">
      <c r="A85" s="24"/>
      <c r="B85" s="24"/>
      <c r="C85" s="25" t="s">
        <v>105</v>
      </c>
      <c r="D85" s="26"/>
      <c r="E85" s="26"/>
      <c r="F85" s="26">
        <v>130</v>
      </c>
      <c r="G85" s="26">
        <v>135</v>
      </c>
      <c r="H85" s="26"/>
      <c r="I85" s="26"/>
    </row>
    <row r="86" spans="1:9" ht="14.1" customHeight="1" x14ac:dyDescent="0.25">
      <c r="A86" s="24"/>
      <c r="B86" s="24"/>
      <c r="C86" s="25" t="s">
        <v>106</v>
      </c>
      <c r="D86" s="26"/>
      <c r="E86" s="26"/>
      <c r="F86" s="26"/>
      <c r="G86" s="26"/>
      <c r="H86" s="26"/>
      <c r="I86" s="26"/>
    </row>
    <row r="87" spans="1:9" s="3" customFormat="1" ht="14.1" customHeight="1" x14ac:dyDescent="0.25">
      <c r="A87" s="16" t="s">
        <v>107</v>
      </c>
      <c r="B87" s="16" t="s">
        <v>108</v>
      </c>
      <c r="C87" s="17" t="s">
        <v>109</v>
      </c>
      <c r="D87" s="19">
        <f t="shared" ref="D87:I87" si="10">D77+D84</f>
        <v>190</v>
      </c>
      <c r="E87" s="19">
        <f t="shared" si="10"/>
        <v>155</v>
      </c>
      <c r="F87" s="19">
        <f t="shared" si="10"/>
        <v>190</v>
      </c>
      <c r="G87" s="19">
        <f t="shared" si="10"/>
        <v>155</v>
      </c>
      <c r="H87" s="19">
        <f t="shared" si="10"/>
        <v>0</v>
      </c>
      <c r="I87" s="19">
        <f t="shared" si="10"/>
        <v>0</v>
      </c>
    </row>
    <row r="88" spans="1:9" s="3" customFormat="1" ht="14.1" customHeight="1" x14ac:dyDescent="0.25">
      <c r="A88" s="7" t="s">
        <v>110</v>
      </c>
      <c r="B88" s="7" t="s">
        <v>111</v>
      </c>
      <c r="C88" s="8" t="s">
        <v>112</v>
      </c>
      <c r="D88" s="9">
        <f>F88+H88</f>
        <v>1545</v>
      </c>
      <c r="E88" s="9">
        <f>G88+I88</f>
        <v>1500</v>
      </c>
      <c r="F88" s="10">
        <f>SUM(F89:F91)</f>
        <v>1545</v>
      </c>
      <c r="G88" s="10">
        <f>SUM(G89:G91)</f>
        <v>1500</v>
      </c>
      <c r="H88" s="10">
        <f>SUM(H89:H91)</f>
        <v>0</v>
      </c>
      <c r="I88" s="10">
        <f>SUM(I89:I91)</f>
        <v>0</v>
      </c>
    </row>
    <row r="89" spans="1:9" ht="14.1" customHeight="1" x14ac:dyDescent="0.25">
      <c r="A89" s="24"/>
      <c r="B89" s="24"/>
      <c r="C89" s="25" t="s">
        <v>113</v>
      </c>
      <c r="D89" s="26"/>
      <c r="E89" s="26"/>
      <c r="F89" s="26">
        <v>470</v>
      </c>
      <c r="G89" s="26">
        <v>450</v>
      </c>
      <c r="H89" s="26"/>
      <c r="I89" s="26"/>
    </row>
    <row r="90" spans="1:9" ht="14.1" customHeight="1" x14ac:dyDescent="0.25">
      <c r="A90" s="24"/>
      <c r="B90" s="24"/>
      <c r="C90" s="25" t="s">
        <v>114</v>
      </c>
      <c r="D90" s="26"/>
      <c r="E90" s="26"/>
      <c r="F90" s="26">
        <v>750</v>
      </c>
      <c r="G90" s="26">
        <v>750</v>
      </c>
      <c r="H90" s="26"/>
      <c r="I90" s="26"/>
    </row>
    <row r="91" spans="1:9" ht="14.1" customHeight="1" x14ac:dyDescent="0.25">
      <c r="A91" s="24"/>
      <c r="B91" s="24"/>
      <c r="C91" s="25" t="s">
        <v>115</v>
      </c>
      <c r="D91" s="26"/>
      <c r="E91" s="26"/>
      <c r="F91" s="26">
        <v>325</v>
      </c>
      <c r="G91" s="26">
        <v>300</v>
      </c>
      <c r="H91" s="26"/>
      <c r="I91" s="26"/>
    </row>
    <row r="92" spans="1:9" s="3" customFormat="1" ht="14.1" customHeight="1" x14ac:dyDescent="0.25">
      <c r="A92" s="7" t="s">
        <v>116</v>
      </c>
      <c r="B92" s="7" t="s">
        <v>117</v>
      </c>
      <c r="C92" s="8" t="s">
        <v>118</v>
      </c>
      <c r="D92" s="9">
        <f>F92+H92</f>
        <v>5581</v>
      </c>
      <c r="E92" s="9">
        <f>G92+I92</f>
        <v>3700</v>
      </c>
      <c r="F92" s="10">
        <v>0</v>
      </c>
      <c r="G92" s="10">
        <f>G93</f>
        <v>0</v>
      </c>
      <c r="H92" s="10">
        <v>5581</v>
      </c>
      <c r="I92" s="10">
        <f>I93</f>
        <v>3700</v>
      </c>
    </row>
    <row r="93" spans="1:9" s="3" customFormat="1" ht="14.1" customHeight="1" x14ac:dyDescent="0.25">
      <c r="A93" s="24"/>
      <c r="B93" s="24"/>
      <c r="C93" s="25" t="s">
        <v>289</v>
      </c>
      <c r="D93" s="26"/>
      <c r="E93" s="26"/>
      <c r="F93" s="26"/>
      <c r="G93" s="26"/>
      <c r="H93" s="26"/>
      <c r="I93" s="26">
        <v>3700</v>
      </c>
    </row>
    <row r="94" spans="1:9" s="3" customFormat="1" ht="14.1" customHeight="1" x14ac:dyDescent="0.25">
      <c r="A94" s="7" t="s">
        <v>119</v>
      </c>
      <c r="B94" s="7" t="s">
        <v>120</v>
      </c>
      <c r="C94" s="8" t="s">
        <v>121</v>
      </c>
      <c r="D94" s="9">
        <f>F94+H94</f>
        <v>0</v>
      </c>
      <c r="E94" s="9">
        <f>G94+I94</f>
        <v>0</v>
      </c>
      <c r="F94" s="10">
        <f>SUM(F95:F96)</f>
        <v>0</v>
      </c>
      <c r="G94" s="10">
        <f>SUM(G95:G96)</f>
        <v>0</v>
      </c>
      <c r="H94" s="10">
        <f>SUM(H95:H96)</f>
        <v>0</v>
      </c>
      <c r="I94" s="10">
        <f>SUM(I95:I96)</f>
        <v>0</v>
      </c>
    </row>
    <row r="95" spans="1:9" ht="14.1" customHeight="1" x14ac:dyDescent="0.25">
      <c r="A95" s="24"/>
      <c r="B95" s="24"/>
      <c r="C95" s="25" t="s">
        <v>122</v>
      </c>
      <c r="D95" s="26"/>
      <c r="E95" s="26"/>
      <c r="F95" s="26"/>
      <c r="G95" s="26"/>
      <c r="H95" s="26"/>
      <c r="I95" s="26"/>
    </row>
    <row r="96" spans="1:9" ht="14.1" customHeight="1" x14ac:dyDescent="0.25">
      <c r="A96" s="24"/>
      <c r="B96" s="24"/>
      <c r="C96" s="25" t="s">
        <v>123</v>
      </c>
      <c r="D96" s="26"/>
      <c r="E96" s="26"/>
      <c r="F96" s="26"/>
      <c r="G96" s="26"/>
      <c r="H96" s="26"/>
      <c r="I96" s="26"/>
    </row>
    <row r="97" spans="1:9" s="3" customFormat="1" ht="14.1" customHeight="1" x14ac:dyDescent="0.25">
      <c r="A97" s="7" t="s">
        <v>124</v>
      </c>
      <c r="B97" s="7" t="s">
        <v>125</v>
      </c>
      <c r="C97" s="8" t="s">
        <v>126</v>
      </c>
      <c r="D97" s="9">
        <f>F97+H97</f>
        <v>1100</v>
      </c>
      <c r="E97" s="9">
        <f>G97+I97</f>
        <v>1200</v>
      </c>
      <c r="F97" s="10">
        <v>1100</v>
      </c>
      <c r="G97" s="10">
        <v>1200</v>
      </c>
      <c r="H97" s="10">
        <v>0</v>
      </c>
      <c r="I97" s="10">
        <v>0</v>
      </c>
    </row>
    <row r="98" spans="1:9" s="3" customFormat="1" ht="14.1" customHeight="1" x14ac:dyDescent="0.25">
      <c r="A98" s="7" t="s">
        <v>127</v>
      </c>
      <c r="B98" s="7" t="s">
        <v>128</v>
      </c>
      <c r="C98" s="8" t="s">
        <v>129</v>
      </c>
      <c r="D98" s="9">
        <f>F98+H98</f>
        <v>0</v>
      </c>
      <c r="E98" s="9">
        <f>G98+I98</f>
        <v>0</v>
      </c>
      <c r="F98" s="10">
        <v>0</v>
      </c>
      <c r="G98" s="10">
        <f>SUM(G99:G100)</f>
        <v>0</v>
      </c>
      <c r="H98" s="10">
        <v>0</v>
      </c>
      <c r="I98" s="10">
        <f>SUM(I99:I100)</f>
        <v>0</v>
      </c>
    </row>
    <row r="99" spans="1:9" ht="14.1" customHeight="1" x14ac:dyDescent="0.25">
      <c r="A99" s="24"/>
      <c r="B99" s="24"/>
      <c r="C99" s="25" t="s">
        <v>130</v>
      </c>
      <c r="D99" s="26"/>
      <c r="E99" s="26"/>
      <c r="F99" s="26"/>
      <c r="G99" s="26"/>
      <c r="H99" s="26"/>
      <c r="I99" s="26"/>
    </row>
    <row r="100" spans="1:9" ht="14.1" customHeight="1" x14ac:dyDescent="0.25">
      <c r="A100" s="24"/>
      <c r="B100" s="24"/>
      <c r="C100" s="25" t="s">
        <v>131</v>
      </c>
      <c r="D100" s="26"/>
      <c r="E100" s="26"/>
      <c r="F100" s="26"/>
      <c r="G100" s="26"/>
      <c r="H100" s="26"/>
      <c r="I100" s="26"/>
    </row>
    <row r="101" spans="1:9" s="3" customFormat="1" ht="14.1" customHeight="1" x14ac:dyDescent="0.25">
      <c r="A101" s="7" t="s">
        <v>132</v>
      </c>
      <c r="B101" s="7" t="s">
        <v>133</v>
      </c>
      <c r="C101" s="8" t="s">
        <v>134</v>
      </c>
      <c r="D101" s="9">
        <f>F101+H101</f>
        <v>200</v>
      </c>
      <c r="E101" s="9">
        <f>G101+I101</f>
        <v>20</v>
      </c>
      <c r="F101" s="10">
        <f>SUM(F102:F104)</f>
        <v>200</v>
      </c>
      <c r="G101" s="10">
        <f>SUM(G102:G104)</f>
        <v>20</v>
      </c>
      <c r="H101" s="10">
        <f>SUM(H102:H104)</f>
        <v>0</v>
      </c>
      <c r="I101" s="10">
        <f>SUM(I102:I104)</f>
        <v>0</v>
      </c>
    </row>
    <row r="102" spans="1:9" ht="14.1" customHeight="1" x14ac:dyDescent="0.25">
      <c r="A102" s="24"/>
      <c r="B102" s="24"/>
      <c r="C102" s="25" t="s">
        <v>135</v>
      </c>
      <c r="D102" s="26"/>
      <c r="E102" s="26"/>
      <c r="F102" s="26">
        <v>0</v>
      </c>
      <c r="G102" s="26">
        <v>0</v>
      </c>
      <c r="H102" s="26">
        <v>0</v>
      </c>
      <c r="I102" s="26">
        <v>0</v>
      </c>
    </row>
    <row r="103" spans="1:9" ht="14.1" customHeight="1" x14ac:dyDescent="0.25">
      <c r="A103" s="24"/>
      <c r="B103" s="24"/>
      <c r="C103" s="25" t="s">
        <v>136</v>
      </c>
      <c r="D103" s="26"/>
      <c r="E103" s="26"/>
      <c r="F103" s="26">
        <v>0</v>
      </c>
      <c r="G103" s="26">
        <v>0</v>
      </c>
      <c r="H103" s="26">
        <v>0</v>
      </c>
      <c r="I103" s="26">
        <v>0</v>
      </c>
    </row>
    <row r="104" spans="1:9" ht="14.1" customHeight="1" x14ac:dyDescent="0.25">
      <c r="A104" s="24"/>
      <c r="B104" s="24"/>
      <c r="C104" s="25" t="s">
        <v>137</v>
      </c>
      <c r="D104" s="26"/>
      <c r="E104" s="26"/>
      <c r="F104" s="26">
        <v>200</v>
      </c>
      <c r="G104" s="26">
        <v>20</v>
      </c>
      <c r="H104" s="26">
        <v>0</v>
      </c>
      <c r="I104" s="26">
        <v>0</v>
      </c>
    </row>
    <row r="105" spans="1:9" s="3" customFormat="1" ht="14.1" customHeight="1" x14ac:dyDescent="0.25">
      <c r="A105" s="7" t="s">
        <v>138</v>
      </c>
      <c r="B105" s="7" t="s">
        <v>139</v>
      </c>
      <c r="C105" s="8" t="s">
        <v>140</v>
      </c>
      <c r="D105" s="9">
        <f>F105+H105</f>
        <v>850</v>
      </c>
      <c r="E105" s="9">
        <f>G105+I105</f>
        <v>965</v>
      </c>
      <c r="F105" s="10">
        <f>SUM(F106:F109)</f>
        <v>850</v>
      </c>
      <c r="G105" s="10">
        <f>SUM(G106:G109)</f>
        <v>965</v>
      </c>
      <c r="H105" s="10">
        <f>SUM(H106:H109)</f>
        <v>0</v>
      </c>
      <c r="I105" s="10">
        <f>SUM(I106:I109)</f>
        <v>0</v>
      </c>
    </row>
    <row r="106" spans="1:9" ht="14.1" customHeight="1" x14ac:dyDescent="0.25">
      <c r="A106" s="24"/>
      <c r="B106" s="24"/>
      <c r="C106" s="25" t="s">
        <v>141</v>
      </c>
      <c r="D106" s="26"/>
      <c r="E106" s="26"/>
      <c r="F106" s="26">
        <v>0</v>
      </c>
      <c r="G106" s="26">
        <v>0</v>
      </c>
      <c r="H106" s="26"/>
      <c r="I106" s="26"/>
    </row>
    <row r="107" spans="1:9" ht="14.1" customHeight="1" x14ac:dyDescent="0.25">
      <c r="A107" s="24"/>
      <c r="B107" s="24"/>
      <c r="C107" s="25" t="s">
        <v>142</v>
      </c>
      <c r="D107" s="26"/>
      <c r="E107" s="26"/>
      <c r="F107" s="26">
        <v>100</v>
      </c>
      <c r="G107" s="26">
        <v>185</v>
      </c>
      <c r="H107" s="26"/>
      <c r="I107" s="26"/>
    </row>
    <row r="108" spans="1:9" ht="14.1" customHeight="1" x14ac:dyDescent="0.25">
      <c r="A108" s="24"/>
      <c r="B108" s="24"/>
      <c r="C108" s="25" t="s">
        <v>143</v>
      </c>
      <c r="D108" s="26"/>
      <c r="E108" s="26"/>
      <c r="F108" s="26">
        <v>50</v>
      </c>
      <c r="G108" s="26">
        <v>0</v>
      </c>
      <c r="H108" s="26"/>
      <c r="I108" s="26"/>
    </row>
    <row r="109" spans="1:9" ht="14.1" customHeight="1" x14ac:dyDescent="0.25">
      <c r="A109" s="24"/>
      <c r="B109" s="24"/>
      <c r="C109" s="25" t="s">
        <v>144</v>
      </c>
      <c r="D109" s="26"/>
      <c r="E109" s="26"/>
      <c r="F109" s="26">
        <v>700</v>
      </c>
      <c r="G109" s="26">
        <v>780</v>
      </c>
      <c r="H109" s="26"/>
      <c r="I109" s="26"/>
    </row>
    <row r="110" spans="1:9" s="3" customFormat="1" ht="14.1" customHeight="1" x14ac:dyDescent="0.25">
      <c r="A110" s="16" t="s">
        <v>145</v>
      </c>
      <c r="B110" s="16" t="s">
        <v>146</v>
      </c>
      <c r="C110" s="17" t="s">
        <v>147</v>
      </c>
      <c r="D110" s="19">
        <f t="shared" ref="D110:I110" si="11">D88+D92+D94+D97+D98+D101+D105</f>
        <v>9276</v>
      </c>
      <c r="E110" s="19">
        <f t="shared" si="11"/>
        <v>7385</v>
      </c>
      <c r="F110" s="19">
        <f t="shared" si="11"/>
        <v>3695</v>
      </c>
      <c r="G110" s="19">
        <f t="shared" si="11"/>
        <v>3685</v>
      </c>
      <c r="H110" s="19">
        <f t="shared" si="11"/>
        <v>5581</v>
      </c>
      <c r="I110" s="19">
        <f t="shared" si="11"/>
        <v>3700</v>
      </c>
    </row>
    <row r="111" spans="1:9" s="3" customFormat="1" ht="14.1" customHeight="1" x14ac:dyDescent="0.25">
      <c r="A111" s="7" t="s">
        <v>148</v>
      </c>
      <c r="B111" s="7" t="s">
        <v>149</v>
      </c>
      <c r="C111" s="8" t="s">
        <v>150</v>
      </c>
      <c r="D111" s="9">
        <f>F111+H111</f>
        <v>100</v>
      </c>
      <c r="E111" s="9">
        <f>G111+I111</f>
        <v>60</v>
      </c>
      <c r="F111" s="10">
        <f>SUM(F112:F113)</f>
        <v>100</v>
      </c>
      <c r="G111" s="10">
        <f>SUM(G112:G113)</f>
        <v>60</v>
      </c>
      <c r="H111" s="10">
        <f>SUM(H112:H113)</f>
        <v>0</v>
      </c>
      <c r="I111" s="10">
        <f>SUM(I112:I113)</f>
        <v>0</v>
      </c>
    </row>
    <row r="112" spans="1:9" ht="14.1" customHeight="1" x14ac:dyDescent="0.25">
      <c r="A112" s="24"/>
      <c r="B112" s="24"/>
      <c r="C112" s="25" t="s">
        <v>151</v>
      </c>
      <c r="D112" s="26"/>
      <c r="E112" s="26"/>
      <c r="F112" s="26">
        <v>100</v>
      </c>
      <c r="G112" s="26">
        <v>60</v>
      </c>
      <c r="H112" s="26"/>
      <c r="I112" s="26"/>
    </row>
    <row r="113" spans="1:9" ht="14.1" customHeight="1" x14ac:dyDescent="0.25">
      <c r="A113" s="24"/>
      <c r="B113" s="24"/>
      <c r="C113" s="25" t="s">
        <v>152</v>
      </c>
      <c r="D113" s="26"/>
      <c r="E113" s="26"/>
      <c r="F113" s="26"/>
      <c r="G113" s="26"/>
      <c r="H113" s="26"/>
      <c r="I113" s="26"/>
    </row>
    <row r="114" spans="1:9" s="3" customFormat="1" ht="14.1" customHeight="1" x14ac:dyDescent="0.25">
      <c r="A114" s="7" t="s">
        <v>153</v>
      </c>
      <c r="B114" s="7" t="s">
        <v>154</v>
      </c>
      <c r="C114" s="8" t="s">
        <v>155</v>
      </c>
      <c r="D114" s="9">
        <f>F114+H114</f>
        <v>0</v>
      </c>
      <c r="E114" s="9">
        <f>G114+I114</f>
        <v>0</v>
      </c>
      <c r="F114" s="10">
        <v>0</v>
      </c>
      <c r="G114" s="10">
        <v>0</v>
      </c>
      <c r="H114" s="10">
        <v>0</v>
      </c>
      <c r="I114" s="10">
        <v>0</v>
      </c>
    </row>
    <row r="115" spans="1:9" s="3" customFormat="1" ht="14.1" customHeight="1" x14ac:dyDescent="0.25">
      <c r="A115" s="16" t="s">
        <v>156</v>
      </c>
      <c r="B115" s="16" t="s">
        <v>157</v>
      </c>
      <c r="C115" s="17" t="s">
        <v>158</v>
      </c>
      <c r="D115" s="19">
        <f t="shared" ref="D115:I115" si="12">D111+D114</f>
        <v>100</v>
      </c>
      <c r="E115" s="19">
        <f t="shared" si="12"/>
        <v>60</v>
      </c>
      <c r="F115" s="19">
        <f t="shared" si="12"/>
        <v>100</v>
      </c>
      <c r="G115" s="19">
        <f t="shared" si="12"/>
        <v>60</v>
      </c>
      <c r="H115" s="19">
        <f t="shared" si="12"/>
        <v>0</v>
      </c>
      <c r="I115" s="19">
        <f t="shared" si="12"/>
        <v>0</v>
      </c>
    </row>
    <row r="116" spans="1:9" s="3" customFormat="1" ht="14.1" customHeight="1" x14ac:dyDescent="0.25">
      <c r="A116" s="7" t="s">
        <v>159</v>
      </c>
      <c r="B116" s="7" t="s">
        <v>160</v>
      </c>
      <c r="C116" s="8" t="s">
        <v>161</v>
      </c>
      <c r="D116" s="9">
        <f>F116+H116</f>
        <v>2921</v>
      </c>
      <c r="E116" s="9">
        <f>G116+I116</f>
        <v>2417</v>
      </c>
      <c r="F116" s="10">
        <f>SUM(F117:F118)</f>
        <v>1414</v>
      </c>
      <c r="G116" s="10">
        <f>SUM(G117:G118)</f>
        <v>1418</v>
      </c>
      <c r="H116" s="10">
        <f>SUM(H117:H118)</f>
        <v>1507</v>
      </c>
      <c r="I116" s="10">
        <f>SUM(I117:I118)</f>
        <v>999</v>
      </c>
    </row>
    <row r="117" spans="1:9" ht="14.1" customHeight="1" x14ac:dyDescent="0.25">
      <c r="A117" s="24"/>
      <c r="B117" s="24"/>
      <c r="C117" s="25" t="s">
        <v>162</v>
      </c>
      <c r="D117" s="26"/>
      <c r="E117" s="26"/>
      <c r="F117" s="26"/>
      <c r="G117" s="26"/>
      <c r="H117" s="26"/>
      <c r="I117" s="26"/>
    </row>
    <row r="118" spans="1:9" ht="14.1" customHeight="1" x14ac:dyDescent="0.25">
      <c r="A118" s="24"/>
      <c r="B118" s="24"/>
      <c r="C118" s="25" t="s">
        <v>163</v>
      </c>
      <c r="D118" s="26"/>
      <c r="E118" s="26"/>
      <c r="F118" s="26">
        <v>1414</v>
      </c>
      <c r="G118" s="26">
        <f>ROUND((G76+G87+G110+G114)*0.27,0)</f>
        <v>1418</v>
      </c>
      <c r="H118" s="26">
        <v>1507</v>
      </c>
      <c r="I118" s="26">
        <f>ROUND((I76+I87+I110+I114)*0.27,0)</f>
        <v>999</v>
      </c>
    </row>
    <row r="119" spans="1:9" s="3" customFormat="1" ht="14.1" customHeight="1" x14ac:dyDescent="0.25">
      <c r="A119" s="7" t="s">
        <v>164</v>
      </c>
      <c r="B119" s="7" t="s">
        <v>165</v>
      </c>
      <c r="C119" s="8" t="s">
        <v>166</v>
      </c>
      <c r="D119" s="9">
        <f>F119+H119</f>
        <v>0</v>
      </c>
      <c r="E119" s="9">
        <f>G119+I119</f>
        <v>0</v>
      </c>
      <c r="F119" s="10">
        <f>SUM(F120:F122)</f>
        <v>0</v>
      </c>
      <c r="G119" s="10">
        <f>SUM(G120:G122)</f>
        <v>0</v>
      </c>
      <c r="H119" s="10">
        <f>SUM(H120:H122)</f>
        <v>0</v>
      </c>
      <c r="I119" s="10">
        <f>SUM(I120:I122)</f>
        <v>0</v>
      </c>
    </row>
    <row r="120" spans="1:9" ht="14.1" customHeight="1" x14ac:dyDescent="0.25">
      <c r="A120" s="24"/>
      <c r="B120" s="24"/>
      <c r="C120" s="25" t="s">
        <v>167</v>
      </c>
      <c r="D120" s="26"/>
      <c r="E120" s="26"/>
      <c r="F120" s="26"/>
      <c r="G120" s="26"/>
      <c r="H120" s="26"/>
      <c r="I120" s="26"/>
    </row>
    <row r="121" spans="1:9" ht="14.1" customHeight="1" x14ac:dyDescent="0.25">
      <c r="A121" s="24"/>
      <c r="B121" s="24"/>
      <c r="C121" s="25" t="s">
        <v>168</v>
      </c>
      <c r="D121" s="26"/>
      <c r="E121" s="26"/>
      <c r="F121" s="26"/>
      <c r="G121" s="26"/>
      <c r="H121" s="26"/>
      <c r="I121" s="26"/>
    </row>
    <row r="122" spans="1:9" ht="14.1" customHeight="1" x14ac:dyDescent="0.25">
      <c r="A122" s="24"/>
      <c r="B122" s="24"/>
      <c r="C122" s="25" t="s">
        <v>169</v>
      </c>
      <c r="D122" s="26"/>
      <c r="E122" s="26"/>
      <c r="F122" s="26"/>
      <c r="G122" s="26"/>
      <c r="H122" s="26"/>
      <c r="I122" s="26"/>
    </row>
    <row r="123" spans="1:9" s="3" customFormat="1" ht="14.1" customHeight="1" x14ac:dyDescent="0.25">
      <c r="A123" s="7" t="s">
        <v>170</v>
      </c>
      <c r="B123" s="7" t="s">
        <v>171</v>
      </c>
      <c r="C123" s="8" t="s">
        <v>172</v>
      </c>
      <c r="D123" s="9">
        <f>F123+H123</f>
        <v>0</v>
      </c>
      <c r="E123" s="9">
        <f>G123+I123</f>
        <v>0</v>
      </c>
      <c r="F123" s="10">
        <f>SUM(F124:F127)</f>
        <v>0</v>
      </c>
      <c r="G123" s="10">
        <f>SUM(G124:G127)</f>
        <v>0</v>
      </c>
      <c r="H123" s="10">
        <f>SUM(H124:H127)</f>
        <v>0</v>
      </c>
      <c r="I123" s="10">
        <f>SUM(I124:I127)</f>
        <v>0</v>
      </c>
    </row>
    <row r="124" spans="1:9" ht="14.1" customHeight="1" x14ac:dyDescent="0.25">
      <c r="A124" s="24"/>
      <c r="B124" s="24"/>
      <c r="C124" s="25" t="s">
        <v>173</v>
      </c>
      <c r="D124" s="26"/>
      <c r="E124" s="26"/>
      <c r="F124" s="26"/>
      <c r="G124" s="26"/>
      <c r="H124" s="26"/>
      <c r="I124" s="26"/>
    </row>
    <row r="125" spans="1:9" ht="14.1" customHeight="1" x14ac:dyDescent="0.25">
      <c r="A125" s="24"/>
      <c r="B125" s="24"/>
      <c r="C125" s="25" t="s">
        <v>174</v>
      </c>
      <c r="D125" s="26"/>
      <c r="E125" s="26"/>
      <c r="F125" s="26"/>
      <c r="G125" s="26"/>
      <c r="H125" s="26"/>
      <c r="I125" s="26"/>
    </row>
    <row r="126" spans="1:9" ht="14.1" customHeight="1" x14ac:dyDescent="0.25">
      <c r="A126" s="24"/>
      <c r="B126" s="24"/>
      <c r="C126" s="25" t="s">
        <v>175</v>
      </c>
      <c r="D126" s="26"/>
      <c r="E126" s="26"/>
      <c r="F126" s="26"/>
      <c r="G126" s="26"/>
      <c r="H126" s="26"/>
      <c r="I126" s="26"/>
    </row>
    <row r="127" spans="1:9" ht="14.1" customHeight="1" x14ac:dyDescent="0.25">
      <c r="A127" s="24"/>
      <c r="B127" s="24"/>
      <c r="C127" s="25" t="s">
        <v>176</v>
      </c>
      <c r="D127" s="26"/>
      <c r="E127" s="26"/>
      <c r="F127" s="26"/>
      <c r="G127" s="26"/>
      <c r="H127" s="26"/>
      <c r="I127" s="26"/>
    </row>
    <row r="128" spans="1:9" s="3" customFormat="1" ht="14.1" customHeight="1" x14ac:dyDescent="0.25">
      <c r="A128" s="7" t="s">
        <v>177</v>
      </c>
      <c r="B128" s="7" t="s">
        <v>178</v>
      </c>
      <c r="C128" s="8" t="s">
        <v>179</v>
      </c>
      <c r="D128" s="9">
        <f>F128+H128</f>
        <v>0</v>
      </c>
      <c r="E128" s="9">
        <f>G128+I128</f>
        <v>0</v>
      </c>
      <c r="F128" s="10">
        <f>SUM(F129:F130)</f>
        <v>0</v>
      </c>
      <c r="G128" s="10">
        <f>SUM(G129:G130)</f>
        <v>0</v>
      </c>
      <c r="H128" s="10">
        <f>SUM(H129:H130)</f>
        <v>0</v>
      </c>
      <c r="I128" s="10">
        <f>SUM(I129:I130)</f>
        <v>0</v>
      </c>
    </row>
    <row r="129" spans="1:252" ht="14.1" customHeight="1" x14ac:dyDescent="0.25">
      <c r="A129" s="24"/>
      <c r="B129" s="24"/>
      <c r="C129" s="25" t="s">
        <v>180</v>
      </c>
      <c r="D129" s="26"/>
      <c r="E129" s="26"/>
      <c r="F129" s="26"/>
      <c r="G129" s="26"/>
      <c r="H129" s="26"/>
      <c r="I129" s="26"/>
    </row>
    <row r="130" spans="1:252" ht="14.1" customHeight="1" x14ac:dyDescent="0.25">
      <c r="A130" s="24"/>
      <c r="B130" s="24"/>
      <c r="C130" s="25" t="s">
        <v>181</v>
      </c>
      <c r="D130" s="26"/>
      <c r="E130" s="26"/>
      <c r="F130" s="26"/>
      <c r="G130" s="26"/>
      <c r="H130" s="26"/>
      <c r="I130" s="26"/>
    </row>
    <row r="131" spans="1:252" s="3" customFormat="1" ht="14.1" customHeight="1" x14ac:dyDescent="0.25">
      <c r="A131" s="7" t="s">
        <v>182</v>
      </c>
      <c r="B131" s="7" t="s">
        <v>183</v>
      </c>
      <c r="C131" s="8" t="s">
        <v>184</v>
      </c>
      <c r="D131" s="9">
        <f>F131+H131</f>
        <v>20</v>
      </c>
      <c r="E131" s="9">
        <f>G131+I131</f>
        <v>300</v>
      </c>
      <c r="F131" s="10">
        <f>SUM(F132:F135)</f>
        <v>20</v>
      </c>
      <c r="G131" s="10">
        <f>SUM(G132:G135)</f>
        <v>300</v>
      </c>
      <c r="H131" s="10">
        <f>SUM(H132:H135)</f>
        <v>0</v>
      </c>
      <c r="I131" s="10">
        <f>SUM(I132:I135)</f>
        <v>0</v>
      </c>
    </row>
    <row r="132" spans="1:252" ht="14.1" customHeight="1" x14ac:dyDescent="0.25">
      <c r="A132" s="24"/>
      <c r="B132" s="24"/>
      <c r="C132" s="25" t="s">
        <v>185</v>
      </c>
      <c r="D132" s="26"/>
      <c r="E132" s="26"/>
      <c r="F132" s="26"/>
      <c r="G132" s="26"/>
      <c r="H132" s="26"/>
      <c r="I132" s="26"/>
    </row>
    <row r="133" spans="1:252" ht="14.1" customHeight="1" x14ac:dyDescent="0.25">
      <c r="A133" s="24"/>
      <c r="B133" s="24"/>
      <c r="C133" s="25" t="s">
        <v>186</v>
      </c>
      <c r="D133" s="26"/>
      <c r="E133" s="26"/>
      <c r="F133" s="26"/>
      <c r="G133" s="26"/>
      <c r="H133" s="26"/>
      <c r="I133" s="26"/>
    </row>
    <row r="134" spans="1:252" ht="14.1" customHeight="1" x14ac:dyDescent="0.25">
      <c r="A134" s="24"/>
      <c r="B134" s="24"/>
      <c r="C134" s="25" t="s">
        <v>187</v>
      </c>
      <c r="D134" s="26"/>
      <c r="E134" s="26"/>
      <c r="F134" s="26"/>
      <c r="G134" s="26"/>
      <c r="H134" s="26"/>
      <c r="I134" s="26"/>
    </row>
    <row r="135" spans="1:252" ht="14.1" customHeight="1" x14ac:dyDescent="0.25">
      <c r="A135" s="24"/>
      <c r="B135" s="24"/>
      <c r="C135" s="25" t="s">
        <v>188</v>
      </c>
      <c r="D135" s="26"/>
      <c r="E135" s="26"/>
      <c r="F135" s="26">
        <v>20</v>
      </c>
      <c r="G135" s="26">
        <v>300</v>
      </c>
      <c r="H135" s="26"/>
      <c r="I135" s="26"/>
    </row>
    <row r="136" spans="1:252" s="3" customFormat="1" ht="14.1" customHeight="1" x14ac:dyDescent="0.25">
      <c r="A136" s="16" t="s">
        <v>189</v>
      </c>
      <c r="B136" s="16" t="s">
        <v>190</v>
      </c>
      <c r="C136" s="17" t="s">
        <v>191</v>
      </c>
      <c r="D136" s="19">
        <f t="shared" ref="D136:I136" si="13">D116+D119+D123+D128+D131</f>
        <v>2941</v>
      </c>
      <c r="E136" s="19">
        <f t="shared" si="13"/>
        <v>2717</v>
      </c>
      <c r="F136" s="19">
        <f t="shared" si="13"/>
        <v>1434</v>
      </c>
      <c r="G136" s="19">
        <f t="shared" si="13"/>
        <v>1718</v>
      </c>
      <c r="H136" s="19">
        <f t="shared" si="13"/>
        <v>1507</v>
      </c>
      <c r="I136" s="19">
        <f t="shared" si="13"/>
        <v>999</v>
      </c>
    </row>
    <row r="137" spans="1:252" s="3" customFormat="1" ht="14.1" customHeight="1" x14ac:dyDescent="0.25">
      <c r="A137" s="20" t="s">
        <v>192</v>
      </c>
      <c r="B137" s="20" t="s">
        <v>193</v>
      </c>
      <c r="C137" s="21" t="s">
        <v>292</v>
      </c>
      <c r="D137" s="23">
        <f t="shared" ref="D137:I137" si="14">D76+D87+D110+D115+D136</f>
        <v>13858</v>
      </c>
      <c r="E137" s="23">
        <f t="shared" si="14"/>
        <v>11727</v>
      </c>
      <c r="F137" s="23">
        <f t="shared" si="14"/>
        <v>6770</v>
      </c>
      <c r="G137" s="23">
        <f t="shared" si="14"/>
        <v>7028</v>
      </c>
      <c r="H137" s="23">
        <f t="shared" si="14"/>
        <v>7088</v>
      </c>
      <c r="I137" s="23">
        <f t="shared" si="14"/>
        <v>4699</v>
      </c>
    </row>
    <row r="138" spans="1:252" ht="14.1" customHeight="1" x14ac:dyDescent="0.2">
      <c r="A138" s="977" t="s">
        <v>291</v>
      </c>
      <c r="B138" s="978"/>
      <c r="C138" s="979"/>
      <c r="D138" s="28">
        <f t="shared" ref="D138:I138" si="15">D53+D137</f>
        <v>63114</v>
      </c>
      <c r="E138" s="28">
        <f t="shared" si="15"/>
        <v>62833</v>
      </c>
      <c r="F138" s="28">
        <f t="shared" si="15"/>
        <v>56026</v>
      </c>
      <c r="G138" s="28">
        <f t="shared" si="15"/>
        <v>58134</v>
      </c>
      <c r="H138" s="28">
        <f t="shared" si="15"/>
        <v>7088</v>
      </c>
      <c r="I138" s="28">
        <f t="shared" si="15"/>
        <v>4699</v>
      </c>
      <c r="J138" s="27"/>
      <c r="K138" s="27"/>
      <c r="L138" s="27"/>
      <c r="M138" s="27"/>
      <c r="N138" s="27"/>
      <c r="O138" s="27"/>
      <c r="P138" s="27"/>
      <c r="Q138" s="27"/>
      <c r="R138" s="27"/>
      <c r="S138" s="27"/>
      <c r="T138" s="27"/>
      <c r="U138" s="27"/>
      <c r="V138" s="27"/>
      <c r="W138" s="27"/>
      <c r="X138" s="27"/>
      <c r="Y138" s="27"/>
      <c r="Z138" s="27"/>
      <c r="AA138" s="27"/>
      <c r="AB138" s="27"/>
      <c r="AC138" s="27"/>
      <c r="AD138" s="27"/>
      <c r="AE138" s="27"/>
      <c r="AF138" s="27"/>
      <c r="AG138" s="27"/>
      <c r="AH138" s="27"/>
      <c r="AI138" s="27"/>
      <c r="AJ138" s="27"/>
      <c r="AK138" s="27"/>
      <c r="AL138" s="27"/>
      <c r="AM138" s="27"/>
      <c r="AN138" s="27"/>
      <c r="AO138" s="27"/>
      <c r="AP138" s="27"/>
      <c r="AQ138" s="27"/>
      <c r="AR138" s="27"/>
      <c r="AS138" s="27"/>
      <c r="AT138" s="27"/>
      <c r="AU138" s="27"/>
      <c r="AV138" s="27"/>
      <c r="AW138" s="27"/>
      <c r="AX138" s="27"/>
      <c r="AY138" s="27"/>
      <c r="AZ138" s="27"/>
      <c r="BA138" s="27"/>
      <c r="BB138" s="27"/>
      <c r="BC138" s="27"/>
      <c r="BD138" s="27"/>
      <c r="BE138" s="27"/>
      <c r="BF138" s="27"/>
      <c r="BG138" s="27"/>
      <c r="BH138" s="27"/>
      <c r="BI138" s="27"/>
      <c r="BJ138" s="27"/>
      <c r="BK138" s="27"/>
      <c r="BL138" s="27"/>
      <c r="BM138" s="27"/>
      <c r="BN138" s="27"/>
      <c r="BO138" s="27"/>
      <c r="BP138" s="27"/>
      <c r="BQ138" s="27"/>
      <c r="BR138" s="27"/>
      <c r="BS138" s="27"/>
      <c r="BT138" s="27"/>
      <c r="BU138" s="27"/>
      <c r="BV138" s="27"/>
      <c r="BW138" s="27"/>
      <c r="BX138" s="27"/>
      <c r="BY138" s="27"/>
      <c r="BZ138" s="27"/>
      <c r="CA138" s="27"/>
      <c r="CB138" s="27"/>
      <c r="CC138" s="27"/>
      <c r="CD138" s="27"/>
      <c r="CE138" s="27"/>
      <c r="CF138" s="27"/>
      <c r="CG138" s="27"/>
      <c r="CH138" s="27"/>
      <c r="CI138" s="27"/>
      <c r="CJ138" s="27"/>
      <c r="CK138" s="27"/>
      <c r="CL138" s="27"/>
      <c r="CM138" s="27"/>
      <c r="CN138" s="27"/>
      <c r="CO138" s="27"/>
      <c r="CP138" s="27"/>
      <c r="CQ138" s="27"/>
      <c r="CR138" s="27"/>
      <c r="CS138" s="27"/>
      <c r="CT138" s="27"/>
      <c r="CU138" s="27"/>
      <c r="CV138" s="27"/>
      <c r="CW138" s="27"/>
      <c r="CX138" s="27"/>
      <c r="CY138" s="27"/>
      <c r="CZ138" s="27"/>
      <c r="DA138" s="27"/>
      <c r="DB138" s="27"/>
      <c r="DC138" s="27"/>
      <c r="DD138" s="27"/>
      <c r="DE138" s="27"/>
      <c r="DF138" s="27"/>
      <c r="DG138" s="27"/>
      <c r="DH138" s="27"/>
      <c r="DI138" s="27"/>
      <c r="DJ138" s="27"/>
      <c r="DK138" s="27"/>
      <c r="DL138" s="27"/>
      <c r="DM138" s="27"/>
      <c r="DN138" s="27"/>
      <c r="DO138" s="27"/>
      <c r="DP138" s="27"/>
      <c r="DQ138" s="27"/>
      <c r="DR138" s="27"/>
      <c r="DS138" s="27"/>
      <c r="DT138" s="27"/>
      <c r="DU138" s="27"/>
      <c r="DV138" s="27"/>
      <c r="DW138" s="27"/>
      <c r="DX138" s="27"/>
      <c r="DY138" s="27"/>
      <c r="DZ138" s="27"/>
      <c r="EA138" s="27"/>
      <c r="EB138" s="27"/>
      <c r="EC138" s="27"/>
      <c r="ED138" s="27"/>
      <c r="EE138" s="27"/>
      <c r="EF138" s="27"/>
      <c r="EG138" s="27"/>
      <c r="EH138" s="27"/>
      <c r="EI138" s="27"/>
      <c r="EJ138" s="27"/>
      <c r="EK138" s="27"/>
      <c r="EL138" s="27"/>
      <c r="EM138" s="27"/>
      <c r="EN138" s="27"/>
      <c r="EO138" s="27"/>
      <c r="EP138" s="27"/>
      <c r="EQ138" s="27"/>
      <c r="ER138" s="27"/>
      <c r="ES138" s="27"/>
      <c r="ET138" s="27"/>
      <c r="EU138" s="27"/>
      <c r="EV138" s="27"/>
      <c r="EW138" s="27"/>
      <c r="EX138" s="27"/>
      <c r="EY138" s="27"/>
      <c r="EZ138" s="27"/>
      <c r="FA138" s="27"/>
      <c r="FB138" s="27"/>
      <c r="FC138" s="27"/>
      <c r="FD138" s="27"/>
      <c r="FE138" s="27"/>
      <c r="FF138" s="27"/>
      <c r="FG138" s="27"/>
      <c r="FH138" s="27"/>
      <c r="FI138" s="27"/>
      <c r="FJ138" s="27"/>
      <c r="FK138" s="27"/>
      <c r="FL138" s="27"/>
      <c r="FM138" s="27"/>
      <c r="FN138" s="27"/>
      <c r="FO138" s="27"/>
      <c r="FP138" s="27"/>
      <c r="FQ138" s="27"/>
      <c r="FR138" s="27"/>
      <c r="FS138" s="27"/>
      <c r="FT138" s="27"/>
      <c r="FU138" s="27"/>
      <c r="FV138" s="27"/>
      <c r="FW138" s="27"/>
      <c r="FX138" s="27"/>
      <c r="FY138" s="27"/>
      <c r="FZ138" s="27"/>
      <c r="GA138" s="27"/>
      <c r="GB138" s="27"/>
      <c r="GC138" s="27"/>
      <c r="GD138" s="27"/>
      <c r="GE138" s="27"/>
      <c r="GF138" s="27"/>
      <c r="GG138" s="27"/>
      <c r="GH138" s="27"/>
      <c r="GI138" s="27"/>
      <c r="GJ138" s="27"/>
      <c r="GK138" s="27"/>
      <c r="GL138" s="27"/>
      <c r="GM138" s="27"/>
      <c r="GN138" s="27"/>
      <c r="GO138" s="27"/>
      <c r="GP138" s="27"/>
      <c r="GQ138" s="27"/>
      <c r="GR138" s="27"/>
      <c r="GS138" s="27"/>
      <c r="GT138" s="27"/>
      <c r="GU138" s="27"/>
      <c r="GV138" s="27"/>
      <c r="GW138" s="27"/>
      <c r="GX138" s="27"/>
      <c r="GY138" s="27"/>
      <c r="GZ138" s="27"/>
      <c r="HA138" s="27"/>
      <c r="HB138" s="27"/>
      <c r="HC138" s="27"/>
      <c r="HD138" s="27"/>
      <c r="HE138" s="27"/>
      <c r="HF138" s="27"/>
      <c r="HG138" s="27"/>
      <c r="HH138" s="27"/>
      <c r="HI138" s="27"/>
      <c r="HJ138" s="27"/>
      <c r="HK138" s="27"/>
      <c r="HL138" s="27"/>
      <c r="HM138" s="27"/>
      <c r="HN138" s="27"/>
      <c r="HO138" s="27"/>
      <c r="HP138" s="27"/>
      <c r="HQ138" s="27"/>
      <c r="HR138" s="27"/>
      <c r="HS138" s="27"/>
      <c r="HT138" s="27"/>
      <c r="HU138" s="27"/>
      <c r="HV138" s="27"/>
      <c r="HW138" s="27"/>
      <c r="HX138" s="27"/>
      <c r="HY138" s="27"/>
      <c r="HZ138" s="27"/>
      <c r="IA138" s="27"/>
      <c r="IB138" s="27"/>
      <c r="IC138" s="27"/>
      <c r="ID138" s="27"/>
      <c r="IE138" s="27"/>
      <c r="IF138" s="27"/>
      <c r="IG138" s="27"/>
      <c r="IH138" s="27"/>
      <c r="II138" s="27"/>
      <c r="IJ138" s="27"/>
      <c r="IK138" s="27"/>
      <c r="IL138" s="27"/>
      <c r="IM138" s="27"/>
      <c r="IN138" s="27"/>
      <c r="IO138" s="27"/>
      <c r="IP138" s="27"/>
      <c r="IQ138" s="27"/>
      <c r="IR138" s="27"/>
    </row>
    <row r="139" spans="1:252" ht="12.75" customHeight="1" x14ac:dyDescent="0.2">
      <c r="A139" s="27"/>
      <c r="B139" s="27"/>
      <c r="C139" s="27"/>
      <c r="D139" s="27"/>
      <c r="E139" s="27"/>
      <c r="F139" s="27"/>
      <c r="G139" s="27"/>
      <c r="H139" s="27"/>
      <c r="I139" s="27"/>
      <c r="J139" s="27"/>
      <c r="K139" s="27"/>
      <c r="L139" s="27"/>
      <c r="M139" s="27"/>
      <c r="N139" s="27"/>
      <c r="O139" s="27"/>
      <c r="P139" s="27"/>
      <c r="Q139" s="27"/>
      <c r="R139" s="27"/>
      <c r="S139" s="27"/>
      <c r="T139" s="27"/>
      <c r="U139" s="27"/>
      <c r="V139" s="27"/>
      <c r="W139" s="27"/>
      <c r="X139" s="27"/>
      <c r="Y139" s="27"/>
      <c r="Z139" s="27"/>
      <c r="AA139" s="27"/>
      <c r="AB139" s="27"/>
      <c r="AC139" s="27"/>
      <c r="AD139" s="27"/>
      <c r="AE139" s="27"/>
      <c r="AF139" s="27"/>
      <c r="AG139" s="27"/>
      <c r="AH139" s="27"/>
      <c r="AI139" s="27"/>
      <c r="AJ139" s="27"/>
      <c r="AK139" s="27"/>
      <c r="AL139" s="27"/>
      <c r="AM139" s="27"/>
      <c r="AN139" s="27"/>
      <c r="AO139" s="27"/>
      <c r="AP139" s="27"/>
      <c r="AQ139" s="27"/>
      <c r="AR139" s="27"/>
      <c r="AS139" s="27"/>
      <c r="AT139" s="27"/>
      <c r="AU139" s="27"/>
      <c r="AV139" s="27"/>
      <c r="AW139" s="27"/>
      <c r="AX139" s="27"/>
      <c r="AY139" s="27"/>
      <c r="AZ139" s="27"/>
      <c r="BA139" s="27"/>
      <c r="BB139" s="27"/>
      <c r="BC139" s="27"/>
      <c r="BD139" s="27"/>
      <c r="BE139" s="27"/>
      <c r="BF139" s="27"/>
      <c r="BG139" s="27"/>
      <c r="BH139" s="27"/>
      <c r="BI139" s="27"/>
      <c r="BJ139" s="27"/>
      <c r="BK139" s="27"/>
      <c r="BL139" s="27"/>
      <c r="BM139" s="27"/>
      <c r="BN139" s="27"/>
      <c r="BO139" s="27"/>
      <c r="BP139" s="27"/>
      <c r="BQ139" s="27"/>
      <c r="BR139" s="27"/>
      <c r="BS139" s="27"/>
      <c r="BT139" s="27"/>
      <c r="BU139" s="27"/>
      <c r="BV139" s="27"/>
      <c r="BW139" s="27"/>
      <c r="BX139" s="27"/>
      <c r="BY139" s="27"/>
      <c r="BZ139" s="27"/>
      <c r="CA139" s="27"/>
      <c r="CB139" s="27"/>
      <c r="CC139" s="27"/>
      <c r="CD139" s="27"/>
      <c r="CE139" s="27"/>
      <c r="CF139" s="27"/>
      <c r="CG139" s="27"/>
      <c r="CH139" s="27"/>
      <c r="CI139" s="27"/>
      <c r="CJ139" s="27"/>
      <c r="CK139" s="27"/>
      <c r="CL139" s="27"/>
      <c r="CM139" s="27"/>
      <c r="CN139" s="27"/>
      <c r="CO139" s="27"/>
      <c r="CP139" s="27"/>
      <c r="CQ139" s="27"/>
      <c r="CR139" s="27"/>
      <c r="CS139" s="27"/>
      <c r="CT139" s="27"/>
      <c r="CU139" s="27"/>
      <c r="CV139" s="27"/>
      <c r="CW139" s="27"/>
      <c r="CX139" s="27"/>
      <c r="CY139" s="27"/>
      <c r="CZ139" s="27"/>
      <c r="DA139" s="27"/>
      <c r="DB139" s="27"/>
      <c r="DC139" s="27"/>
      <c r="DD139" s="27"/>
      <c r="DE139" s="27"/>
      <c r="DF139" s="27"/>
      <c r="DG139" s="27"/>
      <c r="DH139" s="27"/>
      <c r="DI139" s="27"/>
      <c r="DJ139" s="27"/>
      <c r="DK139" s="27"/>
      <c r="DL139" s="27"/>
      <c r="DM139" s="27"/>
      <c r="DN139" s="27"/>
      <c r="DO139" s="27"/>
      <c r="DP139" s="27"/>
      <c r="DQ139" s="27"/>
      <c r="DR139" s="27"/>
      <c r="DS139" s="27"/>
      <c r="DT139" s="27"/>
      <c r="DU139" s="27"/>
      <c r="DV139" s="27"/>
      <c r="DW139" s="27"/>
      <c r="DX139" s="27"/>
      <c r="DY139" s="27"/>
      <c r="DZ139" s="27"/>
      <c r="EA139" s="27"/>
      <c r="EB139" s="27"/>
      <c r="EC139" s="27"/>
      <c r="ED139" s="27"/>
      <c r="EE139" s="27"/>
      <c r="EF139" s="27"/>
      <c r="EG139" s="27"/>
      <c r="EH139" s="27"/>
      <c r="EI139" s="27"/>
      <c r="EJ139" s="27"/>
      <c r="EK139" s="27"/>
      <c r="EL139" s="27"/>
      <c r="EM139" s="27"/>
      <c r="EN139" s="27"/>
      <c r="EO139" s="27"/>
      <c r="EP139" s="27"/>
      <c r="EQ139" s="27"/>
      <c r="ER139" s="27"/>
      <c r="ES139" s="27"/>
      <c r="ET139" s="27"/>
      <c r="EU139" s="27"/>
      <c r="EV139" s="27"/>
      <c r="EW139" s="27"/>
      <c r="EX139" s="27"/>
      <c r="EY139" s="27"/>
      <c r="EZ139" s="27"/>
      <c r="FA139" s="27"/>
      <c r="FB139" s="27"/>
      <c r="FC139" s="27"/>
      <c r="FD139" s="27"/>
      <c r="FE139" s="27"/>
      <c r="FF139" s="27"/>
      <c r="FG139" s="27"/>
      <c r="FH139" s="27"/>
      <c r="FI139" s="27"/>
      <c r="FJ139" s="27"/>
      <c r="FK139" s="27"/>
      <c r="FL139" s="27"/>
      <c r="FM139" s="27"/>
      <c r="FN139" s="27"/>
      <c r="FO139" s="27"/>
      <c r="FP139" s="27"/>
      <c r="FQ139" s="27"/>
      <c r="FR139" s="27"/>
      <c r="FS139" s="27"/>
      <c r="FT139" s="27"/>
      <c r="FU139" s="27"/>
      <c r="FV139" s="27"/>
      <c r="FW139" s="27"/>
      <c r="FX139" s="27"/>
      <c r="FY139" s="27"/>
      <c r="FZ139" s="27"/>
      <c r="GA139" s="27"/>
      <c r="GB139" s="27"/>
      <c r="GC139" s="27"/>
      <c r="GD139" s="27"/>
      <c r="GE139" s="27"/>
      <c r="GF139" s="27"/>
      <c r="GG139" s="27"/>
      <c r="GH139" s="27"/>
      <c r="GI139" s="27"/>
      <c r="GJ139" s="27"/>
      <c r="GK139" s="27"/>
      <c r="GL139" s="27"/>
      <c r="GM139" s="27"/>
      <c r="GN139" s="27"/>
      <c r="GO139" s="27"/>
      <c r="GP139" s="27"/>
      <c r="GQ139" s="27"/>
      <c r="GR139" s="27"/>
      <c r="GS139" s="27"/>
      <c r="GT139" s="27"/>
      <c r="GU139" s="27"/>
      <c r="GV139" s="27"/>
      <c r="GW139" s="27"/>
      <c r="GX139" s="27"/>
      <c r="GY139" s="27"/>
      <c r="GZ139" s="27"/>
      <c r="HA139" s="27"/>
      <c r="HB139" s="27"/>
      <c r="HC139" s="27"/>
      <c r="HD139" s="27"/>
      <c r="HE139" s="27"/>
      <c r="HF139" s="27"/>
      <c r="HG139" s="27"/>
      <c r="HH139" s="27"/>
      <c r="HI139" s="27"/>
      <c r="HJ139" s="27"/>
      <c r="HK139" s="27"/>
      <c r="HL139" s="27"/>
      <c r="HM139" s="27"/>
      <c r="HN139" s="27"/>
      <c r="HO139" s="27"/>
      <c r="HP139" s="27"/>
      <c r="HQ139" s="27"/>
      <c r="HR139" s="27"/>
      <c r="HS139" s="27"/>
      <c r="HT139" s="27"/>
      <c r="HU139" s="27"/>
      <c r="HV139" s="27"/>
      <c r="HW139" s="27"/>
      <c r="HX139" s="27"/>
      <c r="HY139" s="27"/>
      <c r="HZ139" s="27"/>
      <c r="IA139" s="27"/>
      <c r="IB139" s="27"/>
      <c r="IC139" s="27"/>
      <c r="ID139" s="27"/>
      <c r="IE139" s="27"/>
      <c r="IF139" s="27"/>
      <c r="IG139" s="27"/>
      <c r="IH139" s="27"/>
      <c r="II139" s="27"/>
      <c r="IJ139" s="27"/>
      <c r="IK139" s="27"/>
      <c r="IL139" s="27"/>
      <c r="IM139" s="27"/>
      <c r="IN139" s="27"/>
      <c r="IO139" s="27"/>
      <c r="IP139" s="27"/>
      <c r="IQ139" s="27"/>
      <c r="IR139" s="27"/>
    </row>
    <row r="140" spans="1:252" ht="14.1" customHeight="1" x14ac:dyDescent="0.2">
      <c r="A140" s="27"/>
      <c r="B140" s="27"/>
      <c r="C140" s="27"/>
      <c r="D140" s="27"/>
      <c r="E140" s="27"/>
      <c r="F140" s="27"/>
      <c r="G140" s="27"/>
      <c r="H140" s="27"/>
      <c r="I140" s="27"/>
      <c r="J140" s="27"/>
      <c r="K140" s="27"/>
      <c r="L140" s="27"/>
      <c r="M140" s="27"/>
      <c r="N140" s="27"/>
      <c r="O140" s="27"/>
      <c r="P140" s="27"/>
      <c r="Q140" s="27"/>
      <c r="R140" s="27"/>
      <c r="S140" s="27"/>
      <c r="T140" s="27"/>
      <c r="U140" s="27"/>
      <c r="V140" s="27"/>
      <c r="W140" s="27"/>
      <c r="X140" s="27"/>
      <c r="Y140" s="27"/>
      <c r="Z140" s="27"/>
      <c r="AA140" s="27"/>
      <c r="AB140" s="27"/>
      <c r="AC140" s="27"/>
      <c r="AD140" s="27"/>
      <c r="AE140" s="27"/>
      <c r="AF140" s="27"/>
      <c r="AG140" s="27"/>
      <c r="AH140" s="27"/>
      <c r="AI140" s="27"/>
      <c r="AJ140" s="27"/>
      <c r="AK140" s="27"/>
      <c r="AL140" s="27"/>
      <c r="AM140" s="27"/>
      <c r="AN140" s="27"/>
      <c r="AO140" s="27"/>
      <c r="AP140" s="27"/>
      <c r="AQ140" s="27"/>
      <c r="AR140" s="27"/>
      <c r="AS140" s="27"/>
      <c r="AT140" s="27"/>
      <c r="AU140" s="27"/>
      <c r="AV140" s="27"/>
      <c r="AW140" s="27"/>
      <c r="AX140" s="27"/>
      <c r="AY140" s="27"/>
      <c r="AZ140" s="27"/>
      <c r="BA140" s="27"/>
      <c r="BB140" s="27"/>
      <c r="BC140" s="27"/>
      <c r="BD140" s="27"/>
      <c r="BE140" s="27"/>
      <c r="BF140" s="27"/>
      <c r="BG140" s="27"/>
      <c r="BH140" s="27"/>
      <c r="BI140" s="27"/>
      <c r="BJ140" s="27"/>
      <c r="BK140" s="27"/>
      <c r="BL140" s="27"/>
      <c r="BM140" s="27"/>
      <c r="BN140" s="27"/>
      <c r="BO140" s="27"/>
      <c r="BP140" s="27"/>
      <c r="BQ140" s="27"/>
      <c r="BR140" s="27"/>
      <c r="BS140" s="27"/>
      <c r="BT140" s="27"/>
      <c r="BU140" s="27"/>
      <c r="BV140" s="27"/>
      <c r="BW140" s="27"/>
      <c r="BX140" s="27"/>
      <c r="BY140" s="27"/>
      <c r="BZ140" s="27"/>
      <c r="CA140" s="27"/>
      <c r="CB140" s="27"/>
      <c r="CC140" s="27"/>
      <c r="CD140" s="27"/>
      <c r="CE140" s="27"/>
      <c r="CF140" s="27"/>
      <c r="CG140" s="27"/>
      <c r="CH140" s="27"/>
      <c r="CI140" s="27"/>
      <c r="CJ140" s="27"/>
      <c r="CK140" s="27"/>
      <c r="CL140" s="27"/>
      <c r="CM140" s="27"/>
      <c r="CN140" s="27"/>
      <c r="CO140" s="27"/>
      <c r="CP140" s="27"/>
      <c r="CQ140" s="27"/>
      <c r="CR140" s="27"/>
      <c r="CS140" s="27"/>
      <c r="CT140" s="27"/>
      <c r="CU140" s="27"/>
      <c r="CV140" s="27"/>
      <c r="CW140" s="27"/>
      <c r="CX140" s="27"/>
      <c r="CY140" s="27"/>
      <c r="CZ140" s="27"/>
      <c r="DA140" s="27"/>
      <c r="DB140" s="27"/>
      <c r="DC140" s="27"/>
      <c r="DD140" s="27"/>
      <c r="DE140" s="27"/>
      <c r="DF140" s="27"/>
      <c r="DG140" s="27"/>
      <c r="DH140" s="27"/>
      <c r="DI140" s="27"/>
      <c r="DJ140" s="27"/>
      <c r="DK140" s="27"/>
      <c r="DL140" s="27"/>
      <c r="DM140" s="27"/>
      <c r="DN140" s="27"/>
      <c r="DO140" s="27"/>
      <c r="DP140" s="27"/>
      <c r="DQ140" s="27"/>
      <c r="DR140" s="27"/>
      <c r="DS140" s="27"/>
      <c r="DT140" s="27"/>
      <c r="DU140" s="27"/>
      <c r="DV140" s="27"/>
      <c r="DW140" s="27"/>
      <c r="DX140" s="27"/>
      <c r="DY140" s="27"/>
      <c r="DZ140" s="27"/>
      <c r="EA140" s="27"/>
      <c r="EB140" s="27"/>
      <c r="EC140" s="27"/>
      <c r="ED140" s="27"/>
      <c r="EE140" s="27"/>
      <c r="EF140" s="27"/>
      <c r="EG140" s="27"/>
      <c r="EH140" s="27"/>
      <c r="EI140" s="27"/>
      <c r="EJ140" s="27"/>
      <c r="EK140" s="27"/>
      <c r="EL140" s="27"/>
      <c r="EM140" s="27"/>
      <c r="EN140" s="27"/>
      <c r="EO140" s="27"/>
      <c r="EP140" s="27"/>
      <c r="EQ140" s="27"/>
      <c r="ER140" s="27"/>
      <c r="ES140" s="27"/>
      <c r="ET140" s="27"/>
      <c r="EU140" s="27"/>
      <c r="EV140" s="27"/>
      <c r="EW140" s="27"/>
      <c r="EX140" s="27"/>
      <c r="EY140" s="27"/>
      <c r="EZ140" s="27"/>
      <c r="FA140" s="27"/>
      <c r="FB140" s="27"/>
      <c r="FC140" s="27"/>
      <c r="FD140" s="27"/>
      <c r="FE140" s="27"/>
      <c r="FF140" s="27"/>
      <c r="FG140" s="27"/>
      <c r="FH140" s="27"/>
      <c r="FI140" s="27"/>
      <c r="FJ140" s="27"/>
      <c r="FK140" s="27"/>
      <c r="FL140" s="27"/>
      <c r="FM140" s="27"/>
      <c r="FN140" s="27"/>
      <c r="FO140" s="27"/>
      <c r="FP140" s="27"/>
      <c r="FQ140" s="27"/>
      <c r="FR140" s="27"/>
      <c r="FS140" s="27"/>
      <c r="FT140" s="27"/>
      <c r="FU140" s="27"/>
      <c r="FV140" s="27"/>
      <c r="FW140" s="27"/>
      <c r="FX140" s="27"/>
      <c r="FY140" s="27"/>
      <c r="FZ140" s="27"/>
      <c r="GA140" s="27"/>
      <c r="GB140" s="27"/>
      <c r="GC140" s="27"/>
      <c r="GD140" s="27"/>
      <c r="GE140" s="27"/>
      <c r="GF140" s="27"/>
      <c r="GG140" s="27"/>
      <c r="GH140" s="27"/>
      <c r="GI140" s="27"/>
      <c r="GJ140" s="27"/>
      <c r="GK140" s="27"/>
      <c r="GL140" s="27"/>
      <c r="GM140" s="27"/>
      <c r="GN140" s="27"/>
      <c r="GO140" s="27"/>
      <c r="GP140" s="27"/>
      <c r="GQ140" s="27"/>
      <c r="GR140" s="27"/>
      <c r="GS140" s="27"/>
      <c r="GT140" s="27"/>
      <c r="GU140" s="27"/>
      <c r="GV140" s="27"/>
      <c r="GW140" s="27"/>
      <c r="GX140" s="27"/>
      <c r="GY140" s="27"/>
      <c r="GZ140" s="27"/>
      <c r="HA140" s="27"/>
      <c r="HB140" s="27"/>
      <c r="HC140" s="27"/>
      <c r="HD140" s="27"/>
      <c r="HE140" s="27"/>
      <c r="HF140" s="27"/>
      <c r="HG140" s="27"/>
      <c r="HH140" s="27"/>
      <c r="HI140" s="27"/>
      <c r="HJ140" s="27"/>
      <c r="HK140" s="27"/>
      <c r="HL140" s="27"/>
      <c r="HM140" s="27"/>
      <c r="HN140" s="27"/>
      <c r="HO140" s="27"/>
      <c r="HP140" s="27"/>
      <c r="HQ140" s="27"/>
      <c r="HR140" s="27"/>
      <c r="HS140" s="27"/>
      <c r="HT140" s="27"/>
      <c r="HU140" s="27"/>
      <c r="HV140" s="27"/>
      <c r="HW140" s="27"/>
      <c r="HX140" s="27"/>
      <c r="HY140" s="27"/>
      <c r="HZ140" s="27"/>
      <c r="IA140" s="27"/>
      <c r="IB140" s="27"/>
      <c r="IC140" s="27"/>
      <c r="ID140" s="27"/>
      <c r="IE140" s="27"/>
      <c r="IF140" s="27"/>
      <c r="IG140" s="27"/>
      <c r="IH140" s="27"/>
      <c r="II140" s="27"/>
      <c r="IJ140" s="27"/>
      <c r="IK140" s="27"/>
      <c r="IL140" s="27"/>
      <c r="IM140" s="27"/>
      <c r="IN140" s="27"/>
      <c r="IO140" s="27"/>
      <c r="IP140" s="27"/>
      <c r="IQ140" s="27"/>
      <c r="IR140" s="27"/>
    </row>
    <row r="142" spans="1:252" s="1" customFormat="1" ht="12.75" customHeight="1" x14ac:dyDescent="0.25">
      <c r="A142" s="974" t="s">
        <v>290</v>
      </c>
      <c r="B142" s="974"/>
      <c r="C142" s="974"/>
      <c r="D142" s="974"/>
      <c r="E142" s="974"/>
      <c r="F142" s="974"/>
      <c r="G142" s="974"/>
      <c r="H142" s="974"/>
      <c r="I142" s="974"/>
    </row>
    <row r="143" spans="1:252" s="1" customFormat="1" ht="14.1" customHeight="1" x14ac:dyDescent="0.25">
      <c r="A143" s="974" t="s">
        <v>0</v>
      </c>
      <c r="B143" s="975" t="s">
        <v>1</v>
      </c>
      <c r="C143" s="974" t="s">
        <v>2</v>
      </c>
      <c r="D143" s="976" t="s">
        <v>260</v>
      </c>
      <c r="E143" s="969" t="s">
        <v>259</v>
      </c>
      <c r="F143" s="971" t="s">
        <v>261</v>
      </c>
      <c r="G143" s="972"/>
      <c r="H143" s="971" t="s">
        <v>262</v>
      </c>
      <c r="I143" s="972"/>
    </row>
    <row r="144" spans="1:252" s="3" customFormat="1" ht="27" customHeight="1" x14ac:dyDescent="0.25">
      <c r="A144" s="974"/>
      <c r="B144" s="975"/>
      <c r="C144" s="974"/>
      <c r="D144" s="976"/>
      <c r="E144" s="970"/>
      <c r="F144" s="2" t="s">
        <v>260</v>
      </c>
      <c r="G144" s="2" t="s">
        <v>259</v>
      </c>
      <c r="H144" s="2" t="s">
        <v>260</v>
      </c>
      <c r="I144" s="2" t="s">
        <v>259</v>
      </c>
    </row>
    <row r="145" spans="1:9" ht="5.65" customHeight="1" x14ac:dyDescent="0.25"/>
    <row r="146" spans="1:9" ht="14.1" customHeight="1" x14ac:dyDescent="0.25">
      <c r="A146" s="973" t="s">
        <v>194</v>
      </c>
      <c r="B146" s="973"/>
      <c r="C146" s="973"/>
      <c r="D146" s="973"/>
      <c r="E146" s="973"/>
      <c r="F146" s="973"/>
      <c r="G146" s="973"/>
      <c r="H146" s="973"/>
      <c r="I146" s="973"/>
    </row>
    <row r="147" spans="1:9" ht="14.1" customHeight="1" x14ac:dyDescent="0.25">
      <c r="A147" s="24" t="s">
        <v>195</v>
      </c>
      <c r="B147" s="24" t="s">
        <v>196</v>
      </c>
      <c r="C147" s="25" t="s">
        <v>197</v>
      </c>
      <c r="D147" s="26">
        <f>F147+H147</f>
        <v>0</v>
      </c>
      <c r="E147" s="26">
        <f>G147+I147</f>
        <v>0</v>
      </c>
      <c r="F147" s="26"/>
      <c r="G147" s="26"/>
      <c r="H147" s="26"/>
      <c r="I147" s="26"/>
    </row>
    <row r="148" spans="1:9" ht="14.1" customHeight="1" x14ac:dyDescent="0.25">
      <c r="A148" s="24" t="s">
        <v>198</v>
      </c>
      <c r="B148" s="24" t="s">
        <v>199</v>
      </c>
      <c r="C148" s="25" t="s">
        <v>200</v>
      </c>
      <c r="D148" s="26">
        <f t="shared" ref="D148:E154" si="16">F148+H148</f>
        <v>0</v>
      </c>
      <c r="E148" s="26">
        <f t="shared" si="16"/>
        <v>0</v>
      </c>
      <c r="F148" s="26"/>
      <c r="G148" s="26"/>
      <c r="H148" s="26"/>
      <c r="I148" s="26"/>
    </row>
    <row r="149" spans="1:9" ht="14.1" customHeight="1" x14ac:dyDescent="0.25">
      <c r="A149" s="24" t="s">
        <v>201</v>
      </c>
      <c r="B149" s="24" t="s">
        <v>202</v>
      </c>
      <c r="C149" s="25" t="s">
        <v>203</v>
      </c>
      <c r="D149" s="26">
        <f t="shared" si="16"/>
        <v>0</v>
      </c>
      <c r="E149" s="26">
        <f t="shared" si="16"/>
        <v>0</v>
      </c>
      <c r="F149" s="26"/>
      <c r="G149" s="26"/>
      <c r="H149" s="26"/>
      <c r="I149" s="26"/>
    </row>
    <row r="150" spans="1:9" ht="14.1" customHeight="1" x14ac:dyDescent="0.25">
      <c r="A150" s="24" t="s">
        <v>204</v>
      </c>
      <c r="B150" s="24" t="s">
        <v>205</v>
      </c>
      <c r="C150" s="25" t="s">
        <v>206</v>
      </c>
      <c r="D150" s="26">
        <f t="shared" si="16"/>
        <v>234</v>
      </c>
      <c r="E150" s="26">
        <f t="shared" si="16"/>
        <v>175</v>
      </c>
      <c r="F150" s="26">
        <v>234</v>
      </c>
      <c r="G150" s="26">
        <v>175</v>
      </c>
      <c r="H150" s="26"/>
      <c r="I150" s="26"/>
    </row>
    <row r="151" spans="1:9" ht="14.1" customHeight="1" x14ac:dyDescent="0.25">
      <c r="A151" s="24"/>
      <c r="B151" s="24" t="s">
        <v>207</v>
      </c>
      <c r="C151" s="25" t="s">
        <v>208</v>
      </c>
      <c r="D151" s="26">
        <f t="shared" si="16"/>
        <v>0</v>
      </c>
      <c r="E151" s="26">
        <f t="shared" si="16"/>
        <v>0</v>
      </c>
      <c r="F151" s="26"/>
      <c r="G151" s="26"/>
      <c r="H151" s="26"/>
      <c r="I151" s="26"/>
    </row>
    <row r="152" spans="1:9" ht="14.1" customHeight="1" x14ac:dyDescent="0.25">
      <c r="A152" s="24" t="s">
        <v>209</v>
      </c>
      <c r="B152" s="24" t="s">
        <v>210</v>
      </c>
      <c r="C152" s="25" t="s">
        <v>211</v>
      </c>
      <c r="D152" s="26">
        <f t="shared" si="16"/>
        <v>0</v>
      </c>
      <c r="E152" s="26">
        <f t="shared" si="16"/>
        <v>0</v>
      </c>
      <c r="F152" s="26"/>
      <c r="G152" s="26"/>
      <c r="H152" s="26"/>
      <c r="I152" s="26"/>
    </row>
    <row r="153" spans="1:9" ht="14.1" customHeight="1" x14ac:dyDescent="0.25">
      <c r="A153" s="24" t="s">
        <v>212</v>
      </c>
      <c r="B153" s="24" t="s">
        <v>213</v>
      </c>
      <c r="C153" s="25" t="s">
        <v>214</v>
      </c>
      <c r="D153" s="26">
        <f t="shared" si="16"/>
        <v>0</v>
      </c>
      <c r="E153" s="26">
        <f t="shared" si="16"/>
        <v>0</v>
      </c>
      <c r="F153" s="26"/>
      <c r="G153" s="26"/>
      <c r="H153" s="26"/>
      <c r="I153" s="26"/>
    </row>
    <row r="154" spans="1:9" ht="14.1" customHeight="1" x14ac:dyDescent="0.25">
      <c r="A154" s="24" t="s">
        <v>215</v>
      </c>
      <c r="B154" s="24" t="s">
        <v>216</v>
      </c>
      <c r="C154" s="25" t="s">
        <v>217</v>
      </c>
      <c r="D154" s="26">
        <f t="shared" si="16"/>
        <v>63</v>
      </c>
      <c r="E154" s="26">
        <f t="shared" si="16"/>
        <v>47</v>
      </c>
      <c r="F154" s="26">
        <v>63</v>
      </c>
      <c r="G154" s="26">
        <f>ROUND((G147+G148+G149+G150+G151)*0.27,0)</f>
        <v>47</v>
      </c>
      <c r="H154" s="26">
        <v>0</v>
      </c>
      <c r="I154" s="26">
        <f>ROUND((I147+I148+I149+I150+I151)*0.27,0)</f>
        <v>0</v>
      </c>
    </row>
    <row r="155" spans="1:9" s="3" customFormat="1" ht="14.1" customHeight="1" x14ac:dyDescent="0.25">
      <c r="A155" s="20" t="s">
        <v>218</v>
      </c>
      <c r="B155" s="20" t="s">
        <v>219</v>
      </c>
      <c r="C155" s="21" t="s">
        <v>220</v>
      </c>
      <c r="D155" s="23">
        <f t="shared" ref="D155:I155" si="17">SUM(D147:D154)</f>
        <v>297</v>
      </c>
      <c r="E155" s="23">
        <f t="shared" si="17"/>
        <v>222</v>
      </c>
      <c r="F155" s="23">
        <f t="shared" si="17"/>
        <v>297</v>
      </c>
      <c r="G155" s="23">
        <f t="shared" si="17"/>
        <v>222</v>
      </c>
      <c r="H155" s="23">
        <f t="shared" si="17"/>
        <v>0</v>
      </c>
      <c r="I155" s="23">
        <f t="shared" si="17"/>
        <v>0</v>
      </c>
    </row>
    <row r="156" spans="1:9" ht="14.1" customHeight="1" x14ac:dyDescent="0.25">
      <c r="A156" s="24" t="s">
        <v>221</v>
      </c>
      <c r="B156" s="24" t="s">
        <v>222</v>
      </c>
      <c r="C156" s="25" t="s">
        <v>223</v>
      </c>
      <c r="D156" s="26">
        <f t="shared" ref="D156:E160" si="18">F156+H156</f>
        <v>0</v>
      </c>
      <c r="E156" s="26">
        <f t="shared" si="18"/>
        <v>0</v>
      </c>
      <c r="F156" s="26"/>
      <c r="G156" s="26"/>
      <c r="H156" s="26"/>
      <c r="I156" s="26"/>
    </row>
    <row r="157" spans="1:9" ht="14.1" customHeight="1" x14ac:dyDescent="0.25">
      <c r="A157" s="24" t="s">
        <v>224</v>
      </c>
      <c r="B157" s="24" t="s">
        <v>225</v>
      </c>
      <c r="C157" s="25" t="s">
        <v>226</v>
      </c>
      <c r="D157" s="26">
        <f t="shared" si="18"/>
        <v>0</v>
      </c>
      <c r="E157" s="26">
        <f t="shared" si="18"/>
        <v>0</v>
      </c>
      <c r="F157" s="26"/>
      <c r="G157" s="26"/>
      <c r="H157" s="26"/>
      <c r="I157" s="26"/>
    </row>
    <row r="158" spans="1:9" ht="14.1" customHeight="1" x14ac:dyDescent="0.25">
      <c r="A158" s="24" t="s">
        <v>227</v>
      </c>
      <c r="B158" s="24" t="s">
        <v>228</v>
      </c>
      <c r="C158" s="25" t="s">
        <v>229</v>
      </c>
      <c r="D158" s="26">
        <f t="shared" si="18"/>
        <v>0</v>
      </c>
      <c r="E158" s="26">
        <f t="shared" si="18"/>
        <v>0</v>
      </c>
      <c r="F158" s="26"/>
      <c r="G158" s="26"/>
      <c r="H158" s="26"/>
      <c r="I158" s="26"/>
    </row>
    <row r="159" spans="1:9" ht="14.1" customHeight="1" x14ac:dyDescent="0.25">
      <c r="A159" s="24"/>
      <c r="B159" s="24" t="s">
        <v>230</v>
      </c>
      <c r="C159" s="25" t="s">
        <v>231</v>
      </c>
      <c r="D159" s="26">
        <f t="shared" si="18"/>
        <v>0</v>
      </c>
      <c r="E159" s="26">
        <f t="shared" si="18"/>
        <v>0</v>
      </c>
      <c r="F159" s="26"/>
      <c r="G159" s="26"/>
      <c r="H159" s="26"/>
      <c r="I159" s="26"/>
    </row>
    <row r="160" spans="1:9" ht="14.1" customHeight="1" x14ac:dyDescent="0.25">
      <c r="A160" s="24" t="s">
        <v>232</v>
      </c>
      <c r="B160" s="24" t="s">
        <v>233</v>
      </c>
      <c r="C160" s="25" t="s">
        <v>234</v>
      </c>
      <c r="D160" s="26">
        <f t="shared" si="18"/>
        <v>0</v>
      </c>
      <c r="E160" s="26">
        <f t="shared" si="18"/>
        <v>0</v>
      </c>
      <c r="F160" s="26">
        <v>0</v>
      </c>
      <c r="G160" s="26">
        <f>ROUND((G156+G157+G158+G159)*0.27,0)</f>
        <v>0</v>
      </c>
      <c r="H160" s="26">
        <v>0</v>
      </c>
      <c r="I160" s="26">
        <f>ROUND((I156+I157+I158+I159)*0.27,0)</f>
        <v>0</v>
      </c>
    </row>
    <row r="161" spans="1:9" s="3" customFormat="1" ht="14.1" customHeight="1" x14ac:dyDescent="0.25">
      <c r="A161" s="20" t="s">
        <v>235</v>
      </c>
      <c r="B161" s="20" t="s">
        <v>236</v>
      </c>
      <c r="C161" s="21" t="s">
        <v>237</v>
      </c>
      <c r="D161" s="23">
        <f t="shared" ref="D161:I161" si="19">SUM(D156:D160)</f>
        <v>0</v>
      </c>
      <c r="E161" s="23">
        <f t="shared" si="19"/>
        <v>0</v>
      </c>
      <c r="F161" s="23">
        <f t="shared" si="19"/>
        <v>0</v>
      </c>
      <c r="G161" s="23">
        <f t="shared" si="19"/>
        <v>0</v>
      </c>
      <c r="H161" s="23">
        <f t="shared" si="19"/>
        <v>0</v>
      </c>
      <c r="I161" s="23">
        <f t="shared" si="19"/>
        <v>0</v>
      </c>
    </row>
    <row r="162" spans="1:9" s="3" customFormat="1" ht="14.1" customHeight="1" x14ac:dyDescent="0.25">
      <c r="A162" s="977" t="s">
        <v>293</v>
      </c>
      <c r="B162" s="978"/>
      <c r="C162" s="979" t="s">
        <v>238</v>
      </c>
      <c r="D162" s="28">
        <f t="shared" ref="D162:I162" si="20">D155+D161</f>
        <v>297</v>
      </c>
      <c r="E162" s="28">
        <f t="shared" si="20"/>
        <v>222</v>
      </c>
      <c r="F162" s="28">
        <f t="shared" si="20"/>
        <v>297</v>
      </c>
      <c r="G162" s="28">
        <f t="shared" si="20"/>
        <v>222</v>
      </c>
      <c r="H162" s="28">
        <f t="shared" si="20"/>
        <v>0</v>
      </c>
      <c r="I162" s="28">
        <f t="shared" si="20"/>
        <v>0</v>
      </c>
    </row>
    <row r="163" spans="1:9" ht="6.75" customHeight="1" x14ac:dyDescent="0.25"/>
    <row r="164" spans="1:9" ht="14.1" customHeight="1" x14ac:dyDescent="0.25">
      <c r="A164" s="966" t="s">
        <v>294</v>
      </c>
      <c r="B164" s="967"/>
      <c r="C164" s="968"/>
      <c r="D164" s="29">
        <f t="shared" ref="D164:I164" si="21">D162+D138</f>
        <v>63411</v>
      </c>
      <c r="E164" s="29">
        <f t="shared" si="21"/>
        <v>63055</v>
      </c>
      <c r="F164" s="29">
        <f t="shared" si="21"/>
        <v>56323</v>
      </c>
      <c r="G164" s="29">
        <f t="shared" si="21"/>
        <v>58356</v>
      </c>
      <c r="H164" s="29">
        <f t="shared" si="21"/>
        <v>7088</v>
      </c>
      <c r="I164" s="29">
        <f t="shared" si="21"/>
        <v>4699</v>
      </c>
    </row>
    <row r="169" spans="1:9" s="1" customFormat="1" ht="12.75" customHeight="1" x14ac:dyDescent="0.25">
      <c r="A169" s="974" t="s">
        <v>264</v>
      </c>
      <c r="B169" s="974"/>
      <c r="C169" s="974"/>
      <c r="D169" s="974"/>
      <c r="E169" s="974"/>
      <c r="F169" s="974"/>
      <c r="G169" s="974"/>
      <c r="H169" s="974"/>
      <c r="I169" s="974"/>
    </row>
    <row r="170" spans="1:9" s="1" customFormat="1" ht="14.1" customHeight="1" x14ac:dyDescent="0.25">
      <c r="A170" s="974" t="s">
        <v>0</v>
      </c>
      <c r="B170" s="975" t="s">
        <v>1</v>
      </c>
      <c r="C170" s="974" t="s">
        <v>2</v>
      </c>
      <c r="D170" s="976" t="s">
        <v>260</v>
      </c>
      <c r="E170" s="969" t="s">
        <v>259</v>
      </c>
      <c r="F170" s="971" t="s">
        <v>261</v>
      </c>
      <c r="G170" s="972"/>
      <c r="H170" s="971" t="s">
        <v>262</v>
      </c>
      <c r="I170" s="972"/>
    </row>
    <row r="171" spans="1:9" s="3" customFormat="1" ht="23.25" customHeight="1" x14ac:dyDescent="0.25">
      <c r="A171" s="974"/>
      <c r="B171" s="975"/>
      <c r="C171" s="974"/>
      <c r="D171" s="976"/>
      <c r="E171" s="970"/>
      <c r="F171" s="2" t="s">
        <v>260</v>
      </c>
      <c r="G171" s="2" t="s">
        <v>259</v>
      </c>
      <c r="H171" s="2" t="s">
        <v>260</v>
      </c>
      <c r="I171" s="2" t="s">
        <v>259</v>
      </c>
    </row>
    <row r="172" spans="1:9" ht="5.65" customHeight="1" x14ac:dyDescent="0.25"/>
    <row r="173" spans="1:9" ht="14.1" customHeight="1" x14ac:dyDescent="0.25">
      <c r="A173" s="973" t="s">
        <v>239</v>
      </c>
      <c r="B173" s="973"/>
      <c r="C173" s="973"/>
      <c r="D173" s="973"/>
      <c r="E173" s="973"/>
      <c r="F173" s="973"/>
      <c r="G173" s="973"/>
      <c r="H173" s="973"/>
      <c r="I173" s="973"/>
    </row>
    <row r="174" spans="1:9" s="3" customFormat="1" ht="14.1" customHeight="1" x14ac:dyDescent="0.25">
      <c r="A174" s="20" t="s">
        <v>240</v>
      </c>
      <c r="B174" s="20"/>
      <c r="C174" s="21" t="s">
        <v>241</v>
      </c>
      <c r="D174" s="23">
        <f t="shared" ref="D174:I174" si="22">SUM(D175:D184)</f>
        <v>4094</v>
      </c>
      <c r="E174" s="23">
        <f t="shared" si="22"/>
        <v>673</v>
      </c>
      <c r="F174" s="23">
        <f t="shared" si="22"/>
        <v>0</v>
      </c>
      <c r="G174" s="23">
        <f t="shared" si="22"/>
        <v>0</v>
      </c>
      <c r="H174" s="23">
        <f t="shared" si="22"/>
        <v>4094</v>
      </c>
      <c r="I174" s="23">
        <f t="shared" si="22"/>
        <v>673</v>
      </c>
    </row>
    <row r="175" spans="1:9" ht="14.1" customHeight="1" x14ac:dyDescent="0.25">
      <c r="A175" s="24" t="s">
        <v>242</v>
      </c>
      <c r="B175" s="24"/>
      <c r="C175" s="25" t="s">
        <v>243</v>
      </c>
      <c r="D175" s="26">
        <f>F175+H175</f>
        <v>0</v>
      </c>
      <c r="E175" s="26">
        <f>G175+I175</f>
        <v>0</v>
      </c>
      <c r="F175" s="26"/>
      <c r="G175" s="26"/>
      <c r="H175" s="26"/>
      <c r="I175" s="26"/>
    </row>
    <row r="176" spans="1:9" ht="14.1" customHeight="1" x14ac:dyDescent="0.25">
      <c r="A176" s="24" t="s">
        <v>244</v>
      </c>
      <c r="B176" s="24"/>
      <c r="C176" s="25" t="s">
        <v>245</v>
      </c>
      <c r="D176" s="26">
        <f t="shared" ref="D176:E184" si="23">F176+H176</f>
        <v>0</v>
      </c>
      <c r="E176" s="26">
        <f t="shared" si="23"/>
        <v>0</v>
      </c>
      <c r="F176" s="26"/>
      <c r="G176" s="26"/>
      <c r="H176" s="26"/>
      <c r="I176" s="26"/>
    </row>
    <row r="177" spans="1:9" ht="14.1" customHeight="1" x14ac:dyDescent="0.25">
      <c r="A177" s="24" t="s">
        <v>246</v>
      </c>
      <c r="B177" s="24"/>
      <c r="C177" s="25" t="s">
        <v>247</v>
      </c>
      <c r="D177" s="26">
        <f t="shared" si="23"/>
        <v>0</v>
      </c>
      <c r="E177" s="26">
        <f t="shared" si="23"/>
        <v>0</v>
      </c>
      <c r="F177" s="26"/>
      <c r="G177" s="26"/>
      <c r="H177" s="26"/>
      <c r="I177" s="26"/>
    </row>
    <row r="178" spans="1:9" ht="14.1" customHeight="1" x14ac:dyDescent="0.25">
      <c r="A178" s="24" t="s">
        <v>248</v>
      </c>
      <c r="B178" s="24"/>
      <c r="C178" s="25" t="s">
        <v>249</v>
      </c>
      <c r="D178" s="26">
        <f t="shared" si="23"/>
        <v>0</v>
      </c>
      <c r="E178" s="26">
        <f t="shared" si="23"/>
        <v>0</v>
      </c>
      <c r="F178" s="26"/>
      <c r="G178" s="26"/>
      <c r="H178" s="26"/>
      <c r="I178" s="26"/>
    </row>
    <row r="179" spans="1:9" ht="14.1" customHeight="1" x14ac:dyDescent="0.25">
      <c r="A179" s="24" t="s">
        <v>296</v>
      </c>
      <c r="B179" s="24"/>
      <c r="C179" s="25" t="s">
        <v>297</v>
      </c>
      <c r="D179" s="26">
        <f>F179+H179</f>
        <v>3113</v>
      </c>
      <c r="E179" s="26">
        <f>G179+I179</f>
        <v>530</v>
      </c>
      <c r="F179" s="26"/>
      <c r="G179" s="26"/>
      <c r="H179" s="26">
        <v>3113</v>
      </c>
      <c r="I179" s="26">
        <v>530</v>
      </c>
    </row>
    <row r="180" spans="1:9" ht="14.1" customHeight="1" x14ac:dyDescent="0.25">
      <c r="A180" s="24" t="s">
        <v>250</v>
      </c>
      <c r="B180" s="24"/>
      <c r="C180" s="25" t="s">
        <v>251</v>
      </c>
      <c r="D180" s="26">
        <f t="shared" si="23"/>
        <v>841</v>
      </c>
      <c r="E180" s="26">
        <f t="shared" si="23"/>
        <v>143</v>
      </c>
      <c r="F180" s="26"/>
      <c r="G180" s="26">
        <f>ROUND((G175+G176+G177+G178+G179)*0.27,0)</f>
        <v>0</v>
      </c>
      <c r="H180" s="26">
        <v>841</v>
      </c>
      <c r="I180" s="26">
        <f>ROUND((I175+I176+I177+I178+I179)*0.27,0)</f>
        <v>143</v>
      </c>
    </row>
    <row r="181" spans="1:9" ht="14.1" customHeight="1" x14ac:dyDescent="0.25">
      <c r="A181" s="24" t="s">
        <v>298</v>
      </c>
      <c r="B181" s="24"/>
      <c r="C181" s="25" t="s">
        <v>299</v>
      </c>
      <c r="D181" s="26">
        <f>F181+H181</f>
        <v>140</v>
      </c>
      <c r="E181" s="26">
        <f>G181+I181</f>
        <v>0</v>
      </c>
      <c r="F181" s="26"/>
      <c r="G181" s="26"/>
      <c r="H181" s="26">
        <v>140</v>
      </c>
      <c r="I181" s="26"/>
    </row>
    <row r="182" spans="1:9" ht="14.1" customHeight="1" x14ac:dyDescent="0.25">
      <c r="A182" s="24" t="s">
        <v>252</v>
      </c>
      <c r="B182" s="24"/>
      <c r="C182" s="25" t="s">
        <v>253</v>
      </c>
      <c r="D182" s="26">
        <f t="shared" si="23"/>
        <v>0</v>
      </c>
      <c r="E182" s="26">
        <f t="shared" si="23"/>
        <v>0</v>
      </c>
      <c r="F182" s="26"/>
      <c r="G182" s="26"/>
      <c r="H182" s="26"/>
      <c r="I182" s="26"/>
    </row>
    <row r="183" spans="1:9" ht="14.1" customHeight="1" x14ac:dyDescent="0.25">
      <c r="A183" s="24" t="s">
        <v>300</v>
      </c>
      <c r="B183" s="24"/>
      <c r="C183" s="25" t="s">
        <v>301</v>
      </c>
      <c r="D183" s="26">
        <f>F183+H183</f>
        <v>0</v>
      </c>
      <c r="E183" s="26">
        <f>G183+I183</f>
        <v>0</v>
      </c>
      <c r="F183" s="26"/>
      <c r="G183" s="26"/>
      <c r="H183" s="26"/>
      <c r="I183" s="26"/>
    </row>
    <row r="184" spans="1:9" ht="14.1" customHeight="1" x14ac:dyDescent="0.25">
      <c r="A184" s="24" t="s">
        <v>254</v>
      </c>
      <c r="B184" s="24"/>
      <c r="C184" s="25" t="s">
        <v>255</v>
      </c>
      <c r="D184" s="26">
        <f t="shared" si="23"/>
        <v>0</v>
      </c>
      <c r="E184" s="26">
        <f t="shared" si="23"/>
        <v>0</v>
      </c>
      <c r="F184" s="26"/>
      <c r="G184" s="26"/>
      <c r="H184" s="26"/>
      <c r="I184" s="26"/>
    </row>
    <row r="185" spans="1:9" s="3" customFormat="1" ht="14.1" customHeight="1" x14ac:dyDescent="0.25">
      <c r="A185" s="20" t="s">
        <v>256</v>
      </c>
      <c r="B185" s="20"/>
      <c r="C185" s="21" t="s">
        <v>257</v>
      </c>
      <c r="D185" s="23">
        <f>F185+H185</f>
        <v>0</v>
      </c>
      <c r="E185" s="23">
        <f>G185+I185</f>
        <v>0</v>
      </c>
      <c r="F185" s="23">
        <v>0</v>
      </c>
      <c r="G185" s="23">
        <v>0</v>
      </c>
      <c r="H185" s="23">
        <v>0</v>
      </c>
      <c r="I185" s="23">
        <v>0</v>
      </c>
    </row>
    <row r="186" spans="1:9" s="3" customFormat="1" ht="14.1" customHeight="1" x14ac:dyDescent="0.25">
      <c r="A186" s="966" t="s">
        <v>295</v>
      </c>
      <c r="B186" s="967"/>
      <c r="C186" s="968"/>
      <c r="D186" s="29">
        <f t="shared" ref="D186:I186" si="24">D174+D185</f>
        <v>4094</v>
      </c>
      <c r="E186" s="29">
        <f t="shared" si="24"/>
        <v>673</v>
      </c>
      <c r="F186" s="29">
        <f t="shared" si="24"/>
        <v>0</v>
      </c>
      <c r="G186" s="29">
        <f t="shared" si="24"/>
        <v>0</v>
      </c>
      <c r="H186" s="29">
        <f t="shared" si="24"/>
        <v>4094</v>
      </c>
      <c r="I186" s="29">
        <f t="shared" si="24"/>
        <v>673</v>
      </c>
    </row>
  </sheetData>
  <sheetProtection selectLockedCells="1" selectUnlockedCells="1"/>
  <mergeCells count="41">
    <mergeCell ref="A58:I58"/>
    <mergeCell ref="A1:I1"/>
    <mergeCell ref="A2:A3"/>
    <mergeCell ref="B2:B3"/>
    <mergeCell ref="C2:C3"/>
    <mergeCell ref="D2:D3"/>
    <mergeCell ref="F2:G2"/>
    <mergeCell ref="E2:E3"/>
    <mergeCell ref="A5:I5"/>
    <mergeCell ref="A162:C162"/>
    <mergeCell ref="A146:I146"/>
    <mergeCell ref="A53:C53"/>
    <mergeCell ref="H2:I2"/>
    <mergeCell ref="A54:I54"/>
    <mergeCell ref="A142:I142"/>
    <mergeCell ref="H55:I55"/>
    <mergeCell ref="A138:C138"/>
    <mergeCell ref="C143:C144"/>
    <mergeCell ref="D143:D144"/>
    <mergeCell ref="D55:D56"/>
    <mergeCell ref="A55:A56"/>
    <mergeCell ref="C55:C56"/>
    <mergeCell ref="F143:G143"/>
    <mergeCell ref="H143:I143"/>
    <mergeCell ref="A143:A144"/>
    <mergeCell ref="A164:C164"/>
    <mergeCell ref="E55:E56"/>
    <mergeCell ref="F55:G55"/>
    <mergeCell ref="A186:C186"/>
    <mergeCell ref="A173:I173"/>
    <mergeCell ref="A170:A171"/>
    <mergeCell ref="B170:B171"/>
    <mergeCell ref="C170:C171"/>
    <mergeCell ref="B143:B144"/>
    <mergeCell ref="H170:I170"/>
    <mergeCell ref="D170:D171"/>
    <mergeCell ref="E170:E171"/>
    <mergeCell ref="F170:G170"/>
    <mergeCell ref="B55:B56"/>
    <mergeCell ref="E143:E144"/>
    <mergeCell ref="A169:I169"/>
  </mergeCells>
  <printOptions horizontalCentered="1"/>
  <pageMargins left="0.15748031496062992" right="0.15748031496062992" top="0.19685039370078741" bottom="0.15748031496062992" header="0.31496062992125984" footer="0.31496062992125984"/>
  <pageSetup paperSize="8" fitToHeight="0" orientation="portrait" useFirstPageNumber="1" copies="2" r:id="rId1"/>
  <headerFooter alignWithMargins="0"/>
  <rowBreaks count="1" manualBreakCount="1">
    <brk id="168" max="16383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R55"/>
  <sheetViews>
    <sheetView view="pageBreakPreview" topLeftCell="A19" zoomScale="95" zoomScaleNormal="100" zoomScaleSheetLayoutView="95" workbookViewId="0">
      <selection activeCell="R39" sqref="R39"/>
    </sheetView>
  </sheetViews>
  <sheetFormatPr defaultRowHeight="15" x14ac:dyDescent="0.25"/>
  <cols>
    <col min="1" max="1" width="8.7109375" style="30" customWidth="1"/>
    <col min="2" max="2" width="48" customWidth="1"/>
    <col min="3" max="3" width="13.42578125" hidden="1" customWidth="1"/>
    <col min="4" max="4" width="0" hidden="1" customWidth="1"/>
    <col min="5" max="5" width="12.140625" hidden="1" customWidth="1"/>
    <col min="6" max="6" width="13.42578125" hidden="1" customWidth="1"/>
    <col min="7" max="7" width="0" hidden="1" customWidth="1"/>
    <col min="8" max="8" width="12.140625" hidden="1" customWidth="1"/>
    <col min="9" max="9" width="13.42578125" customWidth="1"/>
    <col min="11" max="11" width="12.140625" customWidth="1"/>
    <col min="12" max="12" width="13.42578125" customWidth="1"/>
    <col min="14" max="14" width="12.140625" customWidth="1"/>
    <col min="15" max="15" width="13.42578125" hidden="1" customWidth="1"/>
    <col min="16" max="16" width="0" hidden="1" customWidth="1"/>
    <col min="17" max="17" width="12.140625" hidden="1" customWidth="1"/>
    <col min="18" max="18" width="9.85546875" bestFit="1" customWidth="1"/>
  </cols>
  <sheetData>
    <row r="1" spans="1:17" x14ac:dyDescent="0.25">
      <c r="E1" s="622"/>
      <c r="H1" s="622"/>
      <c r="K1" s="622"/>
      <c r="N1" s="622" t="s">
        <v>1662</v>
      </c>
    </row>
    <row r="2" spans="1:17" ht="27.75" customHeight="1" x14ac:dyDescent="0.25">
      <c r="A2" s="304" t="s">
        <v>303</v>
      </c>
      <c r="B2" s="304" t="s">
        <v>1423</v>
      </c>
      <c r="C2" s="518"/>
      <c r="D2" s="518"/>
      <c r="E2" s="518"/>
      <c r="F2" s="518"/>
      <c r="G2" s="518"/>
      <c r="H2" s="518"/>
      <c r="I2" s="518"/>
      <c r="J2" s="518"/>
      <c r="K2" s="518"/>
      <c r="L2" s="518"/>
      <c r="M2" s="518"/>
      <c r="N2" s="518"/>
      <c r="O2" s="518"/>
      <c r="P2" s="518"/>
      <c r="Q2" s="518"/>
    </row>
    <row r="3" spans="1:17" x14ac:dyDescent="0.25">
      <c r="A3" s="304" t="s">
        <v>304</v>
      </c>
      <c r="B3" s="304" t="s">
        <v>1475</v>
      </c>
      <c r="C3" s="517"/>
      <c r="D3" s="517"/>
      <c r="E3" s="517"/>
      <c r="F3" s="517"/>
      <c r="G3" s="517"/>
      <c r="H3" s="517"/>
      <c r="I3" s="517"/>
      <c r="J3" s="517"/>
      <c r="K3" s="517"/>
      <c r="L3" s="517"/>
      <c r="M3" s="517"/>
      <c r="N3" s="517"/>
      <c r="O3" s="517"/>
      <c r="P3" s="517"/>
      <c r="Q3" s="517"/>
    </row>
    <row r="4" spans="1:17" ht="62.65" customHeight="1" x14ac:dyDescent="0.25">
      <c r="A4" s="938" t="s">
        <v>305</v>
      </c>
      <c r="B4" s="965" t="s">
        <v>306</v>
      </c>
      <c r="C4" s="939" t="s">
        <v>1654</v>
      </c>
      <c r="D4" s="936"/>
      <c r="E4" s="940"/>
      <c r="F4" s="939" t="s">
        <v>1760</v>
      </c>
      <c r="G4" s="936"/>
      <c r="H4" s="940"/>
      <c r="I4" s="939" t="s">
        <v>1795</v>
      </c>
      <c r="J4" s="936"/>
      <c r="K4" s="940"/>
      <c r="L4" s="939" t="s">
        <v>1803</v>
      </c>
      <c r="M4" s="936"/>
      <c r="N4" s="940"/>
      <c r="O4" s="962" t="s">
        <v>1804</v>
      </c>
      <c r="P4" s="936"/>
      <c r="Q4" s="940"/>
    </row>
    <row r="5" spans="1:17" ht="45" customHeight="1" x14ac:dyDescent="0.25">
      <c r="A5" s="938"/>
      <c r="B5" s="965"/>
      <c r="C5" s="516" t="s">
        <v>1300</v>
      </c>
      <c r="D5" s="516" t="s">
        <v>1301</v>
      </c>
      <c r="E5" s="516" t="s">
        <v>550</v>
      </c>
      <c r="F5" s="690" t="s">
        <v>1300</v>
      </c>
      <c r="G5" s="690" t="s">
        <v>1301</v>
      </c>
      <c r="H5" s="690" t="s">
        <v>550</v>
      </c>
      <c r="I5" s="690" t="s">
        <v>1300</v>
      </c>
      <c r="J5" s="690" t="s">
        <v>1301</v>
      </c>
      <c r="K5" s="690" t="s">
        <v>550</v>
      </c>
      <c r="L5" s="690" t="s">
        <v>1300</v>
      </c>
      <c r="M5" s="690" t="s">
        <v>1301</v>
      </c>
      <c r="N5" s="690" t="s">
        <v>550</v>
      </c>
      <c r="O5" s="690" t="s">
        <v>1300</v>
      </c>
      <c r="P5" s="690" t="s">
        <v>1301</v>
      </c>
      <c r="Q5" s="690" t="s">
        <v>550</v>
      </c>
    </row>
    <row r="6" spans="1:17" x14ac:dyDescent="0.25">
      <c r="A6" s="305"/>
      <c r="B6" s="306" t="s">
        <v>307</v>
      </c>
      <c r="C6" s="698">
        <f>+'5 GSZNR fel'!C150</f>
        <v>68.75</v>
      </c>
      <c r="D6" s="406">
        <v>0</v>
      </c>
      <c r="E6" s="706">
        <f t="shared" ref="E6:E46" si="0">SUM(C6:D6)</f>
        <v>68.75</v>
      </c>
      <c r="F6" s="698">
        <f>+'5 GSZNR fel'!F150</f>
        <v>68.75</v>
      </c>
      <c r="G6" s="406">
        <v>0</v>
      </c>
      <c r="H6" s="706">
        <f t="shared" ref="H6:H46" si="1">SUM(F6:G6)</f>
        <v>68.75</v>
      </c>
      <c r="I6" s="698">
        <f>+'5 GSZNR fel'!I150</f>
        <v>68.75</v>
      </c>
      <c r="J6" s="406">
        <v>0</v>
      </c>
      <c r="K6" s="706">
        <f t="shared" ref="K6:K46" si="2">SUM(I6:J6)</f>
        <v>68.75</v>
      </c>
      <c r="L6" s="698">
        <f>+'5 GSZNR fel'!L150</f>
        <v>68.75</v>
      </c>
      <c r="M6" s="406">
        <v>0</v>
      </c>
      <c r="N6" s="706">
        <f t="shared" ref="N6:N46" si="3">SUM(L6:M6)</f>
        <v>68.75</v>
      </c>
      <c r="O6" s="698">
        <f>+'5 GSZNR fel'!O150</f>
        <v>68.75</v>
      </c>
      <c r="P6" s="406">
        <v>0</v>
      </c>
      <c r="Q6" s="706">
        <f t="shared" ref="Q6:Q46" si="4">SUM(O6:P6)</f>
        <v>68.75</v>
      </c>
    </row>
    <row r="7" spans="1:17" x14ac:dyDescent="0.25">
      <c r="A7" s="305"/>
      <c r="B7" s="306" t="s">
        <v>308</v>
      </c>
      <c r="C7" s="307">
        <v>0</v>
      </c>
      <c r="D7" s="307">
        <v>0</v>
      </c>
      <c r="E7" s="307">
        <f t="shared" si="0"/>
        <v>0</v>
      </c>
      <c r="F7" s="307">
        <v>0</v>
      </c>
      <c r="G7" s="307">
        <v>0</v>
      </c>
      <c r="H7" s="307">
        <f t="shared" si="1"/>
        <v>0</v>
      </c>
      <c r="I7" s="307">
        <v>0</v>
      </c>
      <c r="J7" s="307">
        <v>0</v>
      </c>
      <c r="K7" s="307">
        <f t="shared" si="2"/>
        <v>0</v>
      </c>
      <c r="L7" s="307">
        <v>0</v>
      </c>
      <c r="M7" s="307">
        <v>0</v>
      </c>
      <c r="N7" s="307">
        <f t="shared" si="3"/>
        <v>0</v>
      </c>
      <c r="O7" s="307">
        <v>0</v>
      </c>
      <c r="P7" s="307">
        <v>0</v>
      </c>
      <c r="Q7" s="307">
        <f t="shared" si="4"/>
        <v>0</v>
      </c>
    </row>
    <row r="8" spans="1:17" x14ac:dyDescent="0.25">
      <c r="A8" s="308" t="s">
        <v>309</v>
      </c>
      <c r="B8" s="309" t="s">
        <v>310</v>
      </c>
      <c r="C8" s="310">
        <f>C9+C11+C20</f>
        <v>108000000</v>
      </c>
      <c r="D8" s="310">
        <f>D9+D11+D20</f>
        <v>0</v>
      </c>
      <c r="E8" s="310">
        <f t="shared" si="0"/>
        <v>108000000</v>
      </c>
      <c r="F8" s="501">
        <f>F9+F11+F20</f>
        <v>108000000</v>
      </c>
      <c r="G8" s="501">
        <f>G9+G11+G20</f>
        <v>0</v>
      </c>
      <c r="H8" s="501">
        <f t="shared" si="1"/>
        <v>108000000</v>
      </c>
      <c r="I8" s="501">
        <f>I9+I11+I20</f>
        <v>108000000</v>
      </c>
      <c r="J8" s="501">
        <f>J9+J11+J20</f>
        <v>0</v>
      </c>
      <c r="K8" s="501">
        <f t="shared" si="2"/>
        <v>108000000</v>
      </c>
      <c r="L8" s="501">
        <f>L9+L11+L20</f>
        <v>108000000</v>
      </c>
      <c r="M8" s="501">
        <f>M9+M11+M20</f>
        <v>0</v>
      </c>
      <c r="N8" s="501">
        <f t="shared" si="3"/>
        <v>108000000</v>
      </c>
      <c r="O8" s="501">
        <f>O9+O11+O20</f>
        <v>85967248</v>
      </c>
      <c r="P8" s="501">
        <f>P9+P11+P20</f>
        <v>0</v>
      </c>
      <c r="Q8" s="501">
        <f t="shared" si="4"/>
        <v>85967248</v>
      </c>
    </row>
    <row r="9" spans="1:17" x14ac:dyDescent="0.25">
      <c r="A9" s="311" t="s">
        <v>311</v>
      </c>
      <c r="B9" s="312" t="s">
        <v>312</v>
      </c>
      <c r="C9" s="313">
        <f>C10</f>
        <v>0</v>
      </c>
      <c r="D9" s="313">
        <f>D10</f>
        <v>0</v>
      </c>
      <c r="E9" s="313">
        <f t="shared" si="0"/>
        <v>0</v>
      </c>
      <c r="F9" s="503">
        <f>F10</f>
        <v>0</v>
      </c>
      <c r="G9" s="503">
        <f>G10</f>
        <v>0</v>
      </c>
      <c r="H9" s="503">
        <f t="shared" si="1"/>
        <v>0</v>
      </c>
      <c r="I9" s="503">
        <f>I10</f>
        <v>0</v>
      </c>
      <c r="J9" s="503">
        <f>J10</f>
        <v>0</v>
      </c>
      <c r="K9" s="503">
        <f t="shared" si="2"/>
        <v>0</v>
      </c>
      <c r="L9" s="503">
        <f>L10</f>
        <v>0</v>
      </c>
      <c r="M9" s="503">
        <f>M10</f>
        <v>0</v>
      </c>
      <c r="N9" s="503">
        <f t="shared" si="3"/>
        <v>0</v>
      </c>
      <c r="O9" s="503">
        <f>O10</f>
        <v>0</v>
      </c>
      <c r="P9" s="503">
        <f>P10</f>
        <v>0</v>
      </c>
      <c r="Q9" s="503">
        <f t="shared" si="4"/>
        <v>0</v>
      </c>
    </row>
    <row r="10" spans="1:17" ht="30" hidden="1" customHeight="1" x14ac:dyDescent="0.25">
      <c r="A10" s="346"/>
      <c r="B10" s="314" t="s">
        <v>313</v>
      </c>
      <c r="C10" s="235">
        <v>0</v>
      </c>
      <c r="D10" s="235">
        <v>0</v>
      </c>
      <c r="E10" s="235">
        <f t="shared" si="0"/>
        <v>0</v>
      </c>
      <c r="F10" s="235">
        <v>0</v>
      </c>
      <c r="G10" s="235">
        <v>0</v>
      </c>
      <c r="H10" s="235">
        <f t="shared" si="1"/>
        <v>0</v>
      </c>
      <c r="I10" s="235">
        <v>0</v>
      </c>
      <c r="J10" s="235">
        <v>0</v>
      </c>
      <c r="K10" s="235">
        <f t="shared" si="2"/>
        <v>0</v>
      </c>
      <c r="L10" s="235">
        <v>0</v>
      </c>
      <c r="M10" s="235">
        <v>0</v>
      </c>
      <c r="N10" s="235">
        <f t="shared" si="3"/>
        <v>0</v>
      </c>
      <c r="O10" s="235">
        <v>0</v>
      </c>
      <c r="P10" s="235">
        <v>0</v>
      </c>
      <c r="Q10" s="235">
        <f t="shared" si="4"/>
        <v>0</v>
      </c>
    </row>
    <row r="11" spans="1:17" x14ac:dyDescent="0.25">
      <c r="A11" s="311" t="s">
        <v>322</v>
      </c>
      <c r="B11" s="312" t="s">
        <v>314</v>
      </c>
      <c r="C11" s="313">
        <f>C12+C13+C14+C15+C16+C17+C18+C19</f>
        <v>108000000</v>
      </c>
      <c r="D11" s="313">
        <f>D12+D13+D14+D15+D16+D17+D18+D19</f>
        <v>0</v>
      </c>
      <c r="E11" s="313">
        <f t="shared" si="0"/>
        <v>108000000</v>
      </c>
      <c r="F11" s="503">
        <f>F12+F13+F14+F15+F16+F17+F18+F19</f>
        <v>108000000</v>
      </c>
      <c r="G11" s="503">
        <f>G12+G13+G14+G15+G16+G17+G18+G19</f>
        <v>0</v>
      </c>
      <c r="H11" s="503">
        <f t="shared" si="1"/>
        <v>108000000</v>
      </c>
      <c r="I11" s="503">
        <f>I12+I13+I14+I15+I16+I17+I18+I19</f>
        <v>108000000</v>
      </c>
      <c r="J11" s="503">
        <f>J12+J13+J14+J15+J16+J17+J18+J19</f>
        <v>0</v>
      </c>
      <c r="K11" s="503">
        <f t="shared" si="2"/>
        <v>108000000</v>
      </c>
      <c r="L11" s="503">
        <f>L12+L13+L14+L15+L16+L17+L18+L19</f>
        <v>108000000</v>
      </c>
      <c r="M11" s="503">
        <f>M12+M13+M14+M15+M16+M17+M18+M19</f>
        <v>0</v>
      </c>
      <c r="N11" s="503">
        <f t="shared" si="3"/>
        <v>108000000</v>
      </c>
      <c r="O11" s="503">
        <f>O12+O13+O14+O15+O16+O17+O18+O19</f>
        <v>85967248</v>
      </c>
      <c r="P11" s="503">
        <f>P12+P13+P14+P15+P16+P17+P18+P19</f>
        <v>0</v>
      </c>
      <c r="Q11" s="503">
        <f t="shared" si="4"/>
        <v>85967248</v>
      </c>
    </row>
    <row r="12" spans="1:17" x14ac:dyDescent="0.25">
      <c r="A12" s="346"/>
      <c r="B12" s="314" t="s">
        <v>651</v>
      </c>
      <c r="C12" s="235"/>
      <c r="D12" s="235">
        <v>0</v>
      </c>
      <c r="E12" s="235">
        <f t="shared" si="0"/>
        <v>0</v>
      </c>
      <c r="F12" s="235">
        <v>0</v>
      </c>
      <c r="G12" s="235">
        <v>0</v>
      </c>
      <c r="H12" s="235">
        <f t="shared" si="1"/>
        <v>0</v>
      </c>
      <c r="I12" s="235">
        <v>0</v>
      </c>
      <c r="J12" s="235">
        <v>0</v>
      </c>
      <c r="K12" s="235">
        <f t="shared" si="2"/>
        <v>0</v>
      </c>
      <c r="L12" s="235">
        <v>0</v>
      </c>
      <c r="M12" s="235">
        <v>0</v>
      </c>
      <c r="N12" s="235">
        <f t="shared" si="3"/>
        <v>0</v>
      </c>
      <c r="O12" s="235">
        <v>551180</v>
      </c>
      <c r="P12" s="235">
        <v>0</v>
      </c>
      <c r="Q12" s="235">
        <f t="shared" si="4"/>
        <v>551180</v>
      </c>
    </row>
    <row r="13" spans="1:17" x14ac:dyDescent="0.25">
      <c r="A13" s="346"/>
      <c r="B13" s="314" t="s">
        <v>652</v>
      </c>
      <c r="C13" s="315">
        <v>19000000</v>
      </c>
      <c r="D13" s="315">
        <v>0</v>
      </c>
      <c r="E13" s="315">
        <f t="shared" si="0"/>
        <v>19000000</v>
      </c>
      <c r="F13" s="315">
        <v>19000000</v>
      </c>
      <c r="G13" s="315">
        <v>0</v>
      </c>
      <c r="H13" s="315">
        <f t="shared" si="1"/>
        <v>19000000</v>
      </c>
      <c r="I13" s="315">
        <v>19000000</v>
      </c>
      <c r="J13" s="315">
        <v>0</v>
      </c>
      <c r="K13" s="315">
        <f t="shared" si="2"/>
        <v>19000000</v>
      </c>
      <c r="L13" s="315">
        <v>19000000</v>
      </c>
      <c r="M13" s="315">
        <v>0</v>
      </c>
      <c r="N13" s="315">
        <f t="shared" si="3"/>
        <v>19000000</v>
      </c>
      <c r="O13" s="315">
        <v>18868134</v>
      </c>
      <c r="P13" s="315">
        <v>0</v>
      </c>
      <c r="Q13" s="315">
        <f t="shared" si="4"/>
        <v>18868134</v>
      </c>
    </row>
    <row r="14" spans="1:17" x14ac:dyDescent="0.25">
      <c r="A14" s="346"/>
      <c r="B14" s="314" t="s">
        <v>659</v>
      </c>
      <c r="C14" s="235"/>
      <c r="D14" s="235">
        <v>0</v>
      </c>
      <c r="E14" s="235">
        <f t="shared" si="0"/>
        <v>0</v>
      </c>
      <c r="F14" s="235"/>
      <c r="G14" s="235">
        <v>0</v>
      </c>
      <c r="H14" s="235">
        <f t="shared" si="1"/>
        <v>0</v>
      </c>
      <c r="I14" s="235"/>
      <c r="J14" s="235">
        <v>0</v>
      </c>
      <c r="K14" s="235">
        <f t="shared" si="2"/>
        <v>0</v>
      </c>
      <c r="L14" s="235"/>
      <c r="M14" s="235">
        <v>0</v>
      </c>
      <c r="N14" s="235">
        <f t="shared" si="3"/>
        <v>0</v>
      </c>
      <c r="O14" s="235"/>
      <c r="P14" s="235">
        <v>0</v>
      </c>
      <c r="Q14" s="235">
        <f t="shared" si="4"/>
        <v>0</v>
      </c>
    </row>
    <row r="15" spans="1:17" x14ac:dyDescent="0.25">
      <c r="A15" s="346"/>
      <c r="B15" s="314" t="s">
        <v>660</v>
      </c>
      <c r="C15" s="235">
        <v>61000000</v>
      </c>
      <c r="D15" s="235">
        <v>0</v>
      </c>
      <c r="E15" s="235">
        <f t="shared" si="0"/>
        <v>61000000</v>
      </c>
      <c r="F15" s="235">
        <v>61000000</v>
      </c>
      <c r="G15" s="235">
        <v>0</v>
      </c>
      <c r="H15" s="235">
        <f t="shared" si="1"/>
        <v>61000000</v>
      </c>
      <c r="I15" s="235">
        <v>61000000</v>
      </c>
      <c r="J15" s="235">
        <v>0</v>
      </c>
      <c r="K15" s="235">
        <f t="shared" si="2"/>
        <v>61000000</v>
      </c>
      <c r="L15" s="235">
        <v>61000000</v>
      </c>
      <c r="M15" s="235">
        <v>0</v>
      </c>
      <c r="N15" s="235">
        <f t="shared" si="3"/>
        <v>61000000</v>
      </c>
      <c r="O15" s="235">
        <v>43486006</v>
      </c>
      <c r="P15" s="235">
        <v>0</v>
      </c>
      <c r="Q15" s="235">
        <f t="shared" si="4"/>
        <v>43486006</v>
      </c>
    </row>
    <row r="16" spans="1:17" x14ac:dyDescent="0.25">
      <c r="A16" s="346"/>
      <c r="B16" s="314" t="s">
        <v>661</v>
      </c>
      <c r="C16" s="235">
        <v>18000000</v>
      </c>
      <c r="D16" s="235">
        <v>0</v>
      </c>
      <c r="E16" s="235">
        <f t="shared" si="0"/>
        <v>18000000</v>
      </c>
      <c r="F16" s="235">
        <v>18000000</v>
      </c>
      <c r="G16" s="235">
        <v>0</v>
      </c>
      <c r="H16" s="235">
        <f t="shared" si="1"/>
        <v>18000000</v>
      </c>
      <c r="I16" s="235">
        <v>18000000</v>
      </c>
      <c r="J16" s="235">
        <v>0</v>
      </c>
      <c r="K16" s="235">
        <f t="shared" si="2"/>
        <v>18000000</v>
      </c>
      <c r="L16" s="235">
        <v>18000000</v>
      </c>
      <c r="M16" s="235">
        <v>0</v>
      </c>
      <c r="N16" s="235">
        <f t="shared" si="3"/>
        <v>18000000</v>
      </c>
      <c r="O16" s="235">
        <v>11739681</v>
      </c>
      <c r="P16" s="235">
        <v>0</v>
      </c>
      <c r="Q16" s="235">
        <f t="shared" si="4"/>
        <v>11739681</v>
      </c>
    </row>
    <row r="17" spans="1:17" x14ac:dyDescent="0.25">
      <c r="A17" s="346"/>
      <c r="B17" s="314" t="s">
        <v>662</v>
      </c>
      <c r="C17" s="235">
        <v>10000000</v>
      </c>
      <c r="D17" s="235">
        <v>0</v>
      </c>
      <c r="E17" s="235">
        <f t="shared" si="0"/>
        <v>10000000</v>
      </c>
      <c r="F17" s="235">
        <v>10000000</v>
      </c>
      <c r="G17" s="235">
        <v>0</v>
      </c>
      <c r="H17" s="235">
        <f t="shared" si="1"/>
        <v>10000000</v>
      </c>
      <c r="I17" s="235">
        <v>10000000</v>
      </c>
      <c r="J17" s="235">
        <v>0</v>
      </c>
      <c r="K17" s="235">
        <f t="shared" si="2"/>
        <v>10000000</v>
      </c>
      <c r="L17" s="235">
        <v>10000000</v>
      </c>
      <c r="M17" s="235">
        <v>0</v>
      </c>
      <c r="N17" s="235">
        <f t="shared" si="3"/>
        <v>10000000</v>
      </c>
      <c r="O17" s="235">
        <v>8323000</v>
      </c>
      <c r="P17" s="235">
        <v>0</v>
      </c>
      <c r="Q17" s="235">
        <f t="shared" si="4"/>
        <v>8323000</v>
      </c>
    </row>
    <row r="18" spans="1:17" x14ac:dyDescent="0.25">
      <c r="A18" s="346"/>
      <c r="B18" s="314" t="s">
        <v>1798</v>
      </c>
      <c r="C18" s="235"/>
      <c r="D18" s="235">
        <v>0</v>
      </c>
      <c r="E18" s="235">
        <f t="shared" si="0"/>
        <v>0</v>
      </c>
      <c r="F18" s="235"/>
      <c r="G18" s="235">
        <v>0</v>
      </c>
      <c r="H18" s="235">
        <f t="shared" si="1"/>
        <v>0</v>
      </c>
      <c r="I18" s="235"/>
      <c r="J18" s="235">
        <v>0</v>
      </c>
      <c r="K18" s="235">
        <f t="shared" si="2"/>
        <v>0</v>
      </c>
      <c r="L18" s="235"/>
      <c r="M18" s="235">
        <v>0</v>
      </c>
      <c r="N18" s="235">
        <f t="shared" si="3"/>
        <v>0</v>
      </c>
      <c r="O18" s="235">
        <v>152686</v>
      </c>
      <c r="P18" s="235">
        <v>0</v>
      </c>
      <c r="Q18" s="235">
        <f t="shared" si="4"/>
        <v>152686</v>
      </c>
    </row>
    <row r="19" spans="1:17" x14ac:dyDescent="0.25">
      <c r="A19" s="346"/>
      <c r="B19" s="314" t="s">
        <v>664</v>
      </c>
      <c r="C19" s="235"/>
      <c r="D19" s="235">
        <v>0</v>
      </c>
      <c r="E19" s="235">
        <f t="shared" si="0"/>
        <v>0</v>
      </c>
      <c r="F19" s="235">
        <v>0</v>
      </c>
      <c r="G19" s="235">
        <v>0</v>
      </c>
      <c r="H19" s="235">
        <f t="shared" si="1"/>
        <v>0</v>
      </c>
      <c r="I19" s="235">
        <v>0</v>
      </c>
      <c r="J19" s="235">
        <v>0</v>
      </c>
      <c r="K19" s="235">
        <f t="shared" si="2"/>
        <v>0</v>
      </c>
      <c r="L19" s="235">
        <v>0</v>
      </c>
      <c r="M19" s="235">
        <v>0</v>
      </c>
      <c r="N19" s="235">
        <f t="shared" si="3"/>
        <v>0</v>
      </c>
      <c r="O19" s="235">
        <f>2842624+3937</f>
        <v>2846561</v>
      </c>
      <c r="P19" s="235">
        <v>0</v>
      </c>
      <c r="Q19" s="235">
        <f t="shared" si="4"/>
        <v>2846561</v>
      </c>
    </row>
    <row r="20" spans="1:17" x14ac:dyDescent="0.25">
      <c r="A20" s="311" t="s">
        <v>315</v>
      </c>
      <c r="B20" s="312" t="s">
        <v>316</v>
      </c>
      <c r="C20" s="313">
        <f>SUM(C21:C21)</f>
        <v>0</v>
      </c>
      <c r="D20" s="313">
        <f>SUM(D21:D21)</f>
        <v>0</v>
      </c>
      <c r="E20" s="313">
        <f t="shared" si="0"/>
        <v>0</v>
      </c>
      <c r="F20" s="503">
        <f>SUM(F21:F21)</f>
        <v>0</v>
      </c>
      <c r="G20" s="503">
        <f>SUM(G21:G21)</f>
        <v>0</v>
      </c>
      <c r="H20" s="503">
        <f t="shared" si="1"/>
        <v>0</v>
      </c>
      <c r="I20" s="503">
        <f>SUM(I21:I21)</f>
        <v>0</v>
      </c>
      <c r="J20" s="503">
        <f>SUM(J21:J21)</f>
        <v>0</v>
      </c>
      <c r="K20" s="503">
        <f t="shared" si="2"/>
        <v>0</v>
      </c>
      <c r="L20" s="503">
        <f>SUM(L21:L21)</f>
        <v>0</v>
      </c>
      <c r="M20" s="503">
        <f>SUM(M21:M21)</f>
        <v>0</v>
      </c>
      <c r="N20" s="503">
        <f t="shared" si="3"/>
        <v>0</v>
      </c>
      <c r="O20" s="503">
        <f>SUM(O21:O21)</f>
        <v>0</v>
      </c>
      <c r="P20" s="503">
        <f>SUM(P21:P21)</f>
        <v>0</v>
      </c>
      <c r="Q20" s="503">
        <f t="shared" si="4"/>
        <v>0</v>
      </c>
    </row>
    <row r="21" spans="1:17" ht="15" hidden="1" customHeight="1" x14ac:dyDescent="0.25">
      <c r="A21" s="346"/>
      <c r="B21" s="314" t="s">
        <v>317</v>
      </c>
      <c r="C21" s="235">
        <v>0</v>
      </c>
      <c r="D21" s="235">
        <v>0</v>
      </c>
      <c r="E21" s="235">
        <f t="shared" si="0"/>
        <v>0</v>
      </c>
      <c r="F21" s="235">
        <v>0</v>
      </c>
      <c r="G21" s="235">
        <v>0</v>
      </c>
      <c r="H21" s="235">
        <f t="shared" si="1"/>
        <v>0</v>
      </c>
      <c r="I21" s="235">
        <v>0</v>
      </c>
      <c r="J21" s="235">
        <v>0</v>
      </c>
      <c r="K21" s="235">
        <f t="shared" si="2"/>
        <v>0</v>
      </c>
      <c r="L21" s="235">
        <v>0</v>
      </c>
      <c r="M21" s="235">
        <v>0</v>
      </c>
      <c r="N21" s="235">
        <f t="shared" si="3"/>
        <v>0</v>
      </c>
      <c r="O21" s="235">
        <v>0</v>
      </c>
      <c r="P21" s="235">
        <v>0</v>
      </c>
      <c r="Q21" s="235">
        <f t="shared" si="4"/>
        <v>0</v>
      </c>
    </row>
    <row r="22" spans="1:17" x14ac:dyDescent="0.25">
      <c r="A22" s="308" t="s">
        <v>318</v>
      </c>
      <c r="B22" s="309" t="s">
        <v>319</v>
      </c>
      <c r="C22" s="310">
        <f>C23+C25+C28</f>
        <v>0</v>
      </c>
      <c r="D22" s="310">
        <f>D23+D25+D28</f>
        <v>0</v>
      </c>
      <c r="E22" s="310">
        <f t="shared" si="0"/>
        <v>0</v>
      </c>
      <c r="F22" s="501">
        <f>F23+F25+F28</f>
        <v>0</v>
      </c>
      <c r="G22" s="501">
        <f>G23+G25+G28</f>
        <v>0</v>
      </c>
      <c r="H22" s="501">
        <f t="shared" si="1"/>
        <v>0</v>
      </c>
      <c r="I22" s="501">
        <f>I23+I25+I28</f>
        <v>0</v>
      </c>
      <c r="J22" s="501">
        <f>J23+J25+J28</f>
        <v>0</v>
      </c>
      <c r="K22" s="501">
        <f t="shared" si="2"/>
        <v>0</v>
      </c>
      <c r="L22" s="501">
        <f>L23+L25+L28</f>
        <v>0</v>
      </c>
      <c r="M22" s="501">
        <f>M23+M25+M28</f>
        <v>0</v>
      </c>
      <c r="N22" s="501">
        <f t="shared" si="3"/>
        <v>0</v>
      </c>
      <c r="O22" s="501">
        <f>O23+O25+O28</f>
        <v>0</v>
      </c>
      <c r="P22" s="501">
        <f>P23+P25+P28</f>
        <v>0</v>
      </c>
      <c r="Q22" s="501">
        <f t="shared" si="4"/>
        <v>0</v>
      </c>
    </row>
    <row r="23" spans="1:17" ht="15" hidden="1" customHeight="1" x14ac:dyDescent="0.25">
      <c r="A23" s="311" t="s">
        <v>311</v>
      </c>
      <c r="B23" s="312" t="s">
        <v>320</v>
      </c>
      <c r="C23" s="313">
        <f>SUM(C24:C24)</f>
        <v>0</v>
      </c>
      <c r="D23" s="313">
        <f>SUM(D24:D24)</f>
        <v>0</v>
      </c>
      <c r="E23" s="313">
        <f t="shared" si="0"/>
        <v>0</v>
      </c>
      <c r="F23" s="503">
        <f>SUM(F24:F24)</f>
        <v>0</v>
      </c>
      <c r="G23" s="503">
        <f>SUM(G24:G24)</f>
        <v>0</v>
      </c>
      <c r="H23" s="503">
        <f t="shared" si="1"/>
        <v>0</v>
      </c>
      <c r="I23" s="503">
        <f>SUM(I24:I24)</f>
        <v>0</v>
      </c>
      <c r="J23" s="503">
        <f>SUM(J24:J24)</f>
        <v>0</v>
      </c>
      <c r="K23" s="503">
        <f t="shared" si="2"/>
        <v>0</v>
      </c>
      <c r="L23" s="503">
        <f>SUM(L24:L24)</f>
        <v>0</v>
      </c>
      <c r="M23" s="503">
        <f>SUM(M24:M24)</f>
        <v>0</v>
      </c>
      <c r="N23" s="503">
        <f t="shared" si="3"/>
        <v>0</v>
      </c>
      <c r="O23" s="503">
        <f>SUM(O24:O24)</f>
        <v>0</v>
      </c>
      <c r="P23" s="503">
        <f>SUM(P24:P24)</f>
        <v>0</v>
      </c>
      <c r="Q23" s="503">
        <f t="shared" si="4"/>
        <v>0</v>
      </c>
    </row>
    <row r="24" spans="1:17" ht="30" hidden="1" customHeight="1" x14ac:dyDescent="0.25">
      <c r="A24" s="346"/>
      <c r="B24" s="234" t="s">
        <v>321</v>
      </c>
      <c r="C24" s="235">
        <v>0</v>
      </c>
      <c r="D24" s="235">
        <v>0</v>
      </c>
      <c r="E24" s="235">
        <f t="shared" si="0"/>
        <v>0</v>
      </c>
      <c r="F24" s="235">
        <v>0</v>
      </c>
      <c r="G24" s="235">
        <v>0</v>
      </c>
      <c r="H24" s="235">
        <f t="shared" si="1"/>
        <v>0</v>
      </c>
      <c r="I24" s="235">
        <v>0</v>
      </c>
      <c r="J24" s="235">
        <v>0</v>
      </c>
      <c r="K24" s="235">
        <f t="shared" si="2"/>
        <v>0</v>
      </c>
      <c r="L24" s="235">
        <v>0</v>
      </c>
      <c r="M24" s="235">
        <v>0</v>
      </c>
      <c r="N24" s="235">
        <f t="shared" si="3"/>
        <v>0</v>
      </c>
      <c r="O24" s="235">
        <v>0</v>
      </c>
      <c r="P24" s="235">
        <v>0</v>
      </c>
      <c r="Q24" s="235">
        <f t="shared" si="4"/>
        <v>0</v>
      </c>
    </row>
    <row r="25" spans="1:17" ht="15" hidden="1" customHeight="1" x14ac:dyDescent="0.25">
      <c r="A25" s="311" t="s">
        <v>322</v>
      </c>
      <c r="B25" s="312" t="s">
        <v>257</v>
      </c>
      <c r="C25" s="313">
        <f>SUM(C26:C27)</f>
        <v>0</v>
      </c>
      <c r="D25" s="313">
        <f>SUM(D26:D27)</f>
        <v>0</v>
      </c>
      <c r="E25" s="313">
        <f t="shared" si="0"/>
        <v>0</v>
      </c>
      <c r="F25" s="503">
        <f>SUM(F26:F27)</f>
        <v>0</v>
      </c>
      <c r="G25" s="503">
        <f>SUM(G26:G27)</f>
        <v>0</v>
      </c>
      <c r="H25" s="503">
        <f t="shared" si="1"/>
        <v>0</v>
      </c>
      <c r="I25" s="503">
        <f>SUM(I26:I27)</f>
        <v>0</v>
      </c>
      <c r="J25" s="503">
        <f>SUM(J26:J27)</f>
        <v>0</v>
      </c>
      <c r="K25" s="503">
        <f t="shared" si="2"/>
        <v>0</v>
      </c>
      <c r="L25" s="503">
        <f>SUM(L26:L27)</f>
        <v>0</v>
      </c>
      <c r="M25" s="503">
        <f>SUM(M26:M27)</f>
        <v>0</v>
      </c>
      <c r="N25" s="503">
        <f t="shared" si="3"/>
        <v>0</v>
      </c>
      <c r="O25" s="503">
        <f>SUM(O26:O27)</f>
        <v>0</v>
      </c>
      <c r="P25" s="503">
        <f>SUM(P26:P27)</f>
        <v>0</v>
      </c>
      <c r="Q25" s="503">
        <f t="shared" si="4"/>
        <v>0</v>
      </c>
    </row>
    <row r="26" spans="1:17" ht="15" hidden="1" customHeight="1" x14ac:dyDescent="0.25">
      <c r="A26" s="346"/>
      <c r="B26" s="316" t="s">
        <v>323</v>
      </c>
      <c r="C26" s="235">
        <v>0</v>
      </c>
      <c r="D26" s="235">
        <v>0</v>
      </c>
      <c r="E26" s="235">
        <f t="shared" si="0"/>
        <v>0</v>
      </c>
      <c r="F26" s="235">
        <v>0</v>
      </c>
      <c r="G26" s="235">
        <v>0</v>
      </c>
      <c r="H26" s="235">
        <f t="shared" si="1"/>
        <v>0</v>
      </c>
      <c r="I26" s="235">
        <v>0</v>
      </c>
      <c r="J26" s="235">
        <v>0</v>
      </c>
      <c r="K26" s="235">
        <f t="shared" si="2"/>
        <v>0</v>
      </c>
      <c r="L26" s="235">
        <v>0</v>
      </c>
      <c r="M26" s="235">
        <v>0</v>
      </c>
      <c r="N26" s="235">
        <f t="shared" si="3"/>
        <v>0</v>
      </c>
      <c r="O26" s="235">
        <v>0</v>
      </c>
      <c r="P26" s="235">
        <v>0</v>
      </c>
      <c r="Q26" s="235">
        <f t="shared" si="4"/>
        <v>0</v>
      </c>
    </row>
    <row r="27" spans="1:17" ht="15" hidden="1" customHeight="1" x14ac:dyDescent="0.25">
      <c r="A27" s="346"/>
      <c r="B27" s="316" t="s">
        <v>324</v>
      </c>
      <c r="C27" s="235">
        <v>0</v>
      </c>
      <c r="D27" s="235">
        <v>0</v>
      </c>
      <c r="E27" s="235">
        <f t="shared" si="0"/>
        <v>0</v>
      </c>
      <c r="F27" s="235">
        <v>0</v>
      </c>
      <c r="G27" s="235">
        <v>0</v>
      </c>
      <c r="H27" s="235">
        <f t="shared" si="1"/>
        <v>0</v>
      </c>
      <c r="I27" s="235">
        <v>0</v>
      </c>
      <c r="J27" s="235">
        <v>0</v>
      </c>
      <c r="K27" s="235">
        <f t="shared" si="2"/>
        <v>0</v>
      </c>
      <c r="L27" s="235">
        <v>0</v>
      </c>
      <c r="M27" s="235">
        <v>0</v>
      </c>
      <c r="N27" s="235">
        <f t="shared" si="3"/>
        <v>0</v>
      </c>
      <c r="O27" s="235">
        <v>0</v>
      </c>
      <c r="P27" s="235">
        <v>0</v>
      </c>
      <c r="Q27" s="235">
        <f t="shared" si="4"/>
        <v>0</v>
      </c>
    </row>
    <row r="28" spans="1:17" ht="15" hidden="1" customHeight="1" x14ac:dyDescent="0.25">
      <c r="A28" s="311" t="s">
        <v>315</v>
      </c>
      <c r="B28" s="312" t="s">
        <v>325</v>
      </c>
      <c r="C28" s="313">
        <f>SUM(C29:C29)</f>
        <v>0</v>
      </c>
      <c r="D28" s="313">
        <f>SUM(D29:D29)</f>
        <v>0</v>
      </c>
      <c r="E28" s="313">
        <f t="shared" si="0"/>
        <v>0</v>
      </c>
      <c r="F28" s="503">
        <f>SUM(F29:F29)</f>
        <v>0</v>
      </c>
      <c r="G28" s="503">
        <f>SUM(G29:G29)</f>
        <v>0</v>
      </c>
      <c r="H28" s="503">
        <f t="shared" si="1"/>
        <v>0</v>
      </c>
      <c r="I28" s="503">
        <f>SUM(I29:I29)</f>
        <v>0</v>
      </c>
      <c r="J28" s="503">
        <f>SUM(J29:J29)</f>
        <v>0</v>
      </c>
      <c r="K28" s="503">
        <f t="shared" si="2"/>
        <v>0</v>
      </c>
      <c r="L28" s="503">
        <f>SUM(L29:L29)</f>
        <v>0</v>
      </c>
      <c r="M28" s="503">
        <f>SUM(M29:M29)</f>
        <v>0</v>
      </c>
      <c r="N28" s="503">
        <f t="shared" si="3"/>
        <v>0</v>
      </c>
      <c r="O28" s="503">
        <f>SUM(O29:O29)</f>
        <v>0</v>
      </c>
      <c r="P28" s="503">
        <f>SUM(P29:P29)</f>
        <v>0</v>
      </c>
      <c r="Q28" s="503">
        <f t="shared" si="4"/>
        <v>0</v>
      </c>
    </row>
    <row r="29" spans="1:17" ht="15" hidden="1" customHeight="1" x14ac:dyDescent="0.25">
      <c r="A29" s="346"/>
      <c r="B29" s="316" t="s">
        <v>326</v>
      </c>
      <c r="C29" s="235">
        <v>0</v>
      </c>
      <c r="D29" s="235">
        <v>0</v>
      </c>
      <c r="E29" s="235">
        <f t="shared" si="0"/>
        <v>0</v>
      </c>
      <c r="F29" s="235">
        <v>0</v>
      </c>
      <c r="G29" s="235">
        <v>0</v>
      </c>
      <c r="H29" s="235">
        <f t="shared" si="1"/>
        <v>0</v>
      </c>
      <c r="I29" s="235">
        <v>0</v>
      </c>
      <c r="J29" s="235">
        <v>0</v>
      </c>
      <c r="K29" s="235">
        <f t="shared" si="2"/>
        <v>0</v>
      </c>
      <c r="L29" s="235">
        <v>0</v>
      </c>
      <c r="M29" s="235">
        <v>0</v>
      </c>
      <c r="N29" s="235">
        <f t="shared" si="3"/>
        <v>0</v>
      </c>
      <c r="O29" s="235">
        <v>0</v>
      </c>
      <c r="P29" s="235">
        <v>0</v>
      </c>
      <c r="Q29" s="235">
        <f t="shared" si="4"/>
        <v>0</v>
      </c>
    </row>
    <row r="30" spans="1:17" x14ac:dyDescent="0.25">
      <c r="A30" s="344"/>
      <c r="B30" s="317" t="s">
        <v>327</v>
      </c>
      <c r="C30" s="318">
        <f>C22+C8</f>
        <v>108000000</v>
      </c>
      <c r="D30" s="318">
        <f>D22+D8</f>
        <v>0</v>
      </c>
      <c r="E30" s="318">
        <f t="shared" si="0"/>
        <v>108000000</v>
      </c>
      <c r="F30" s="511">
        <f>F22+F8</f>
        <v>108000000</v>
      </c>
      <c r="G30" s="511">
        <f>G22+G8</f>
        <v>0</v>
      </c>
      <c r="H30" s="511">
        <f t="shared" si="1"/>
        <v>108000000</v>
      </c>
      <c r="I30" s="511">
        <f>I22+I8</f>
        <v>108000000</v>
      </c>
      <c r="J30" s="511">
        <f>J22+J8</f>
        <v>0</v>
      </c>
      <c r="K30" s="511">
        <f t="shared" si="2"/>
        <v>108000000</v>
      </c>
      <c r="L30" s="511">
        <f>L22+L8</f>
        <v>108000000</v>
      </c>
      <c r="M30" s="511">
        <f>M22+M8</f>
        <v>0</v>
      </c>
      <c r="N30" s="511">
        <f t="shared" si="3"/>
        <v>108000000</v>
      </c>
      <c r="O30" s="511">
        <f>O22+O8</f>
        <v>85967248</v>
      </c>
      <c r="P30" s="511">
        <f>P22+P8</f>
        <v>0</v>
      </c>
      <c r="Q30" s="511">
        <f t="shared" si="4"/>
        <v>85967248</v>
      </c>
    </row>
    <row r="31" spans="1:17" x14ac:dyDescent="0.25">
      <c r="A31" s="308" t="s">
        <v>328</v>
      </c>
      <c r="B31" s="309" t="s">
        <v>329</v>
      </c>
      <c r="C31" s="310">
        <f>C32</f>
        <v>695390775</v>
      </c>
      <c r="D31" s="310">
        <f>D32</f>
        <v>0</v>
      </c>
      <c r="E31" s="310">
        <f t="shared" si="0"/>
        <v>695390775</v>
      </c>
      <c r="F31" s="501">
        <f>F32</f>
        <v>734646737</v>
      </c>
      <c r="G31" s="501">
        <f>G32</f>
        <v>0</v>
      </c>
      <c r="H31" s="501">
        <f t="shared" si="1"/>
        <v>734646737</v>
      </c>
      <c r="I31" s="501">
        <f>I32</f>
        <v>676372544</v>
      </c>
      <c r="J31" s="501">
        <f>J32</f>
        <v>0</v>
      </c>
      <c r="K31" s="501">
        <f t="shared" si="2"/>
        <v>676372544</v>
      </c>
      <c r="L31" s="501">
        <f>L32</f>
        <v>674456497</v>
      </c>
      <c r="M31" s="501">
        <f>M32</f>
        <v>0</v>
      </c>
      <c r="N31" s="501">
        <f t="shared" si="3"/>
        <v>674456497</v>
      </c>
      <c r="O31" s="501">
        <f>O32</f>
        <v>652494323</v>
      </c>
      <c r="P31" s="501">
        <f>P32</f>
        <v>0</v>
      </c>
      <c r="Q31" s="501">
        <f t="shared" si="4"/>
        <v>652494323</v>
      </c>
    </row>
    <row r="32" spans="1:17" x14ac:dyDescent="0.25">
      <c r="A32" s="311" t="s">
        <v>311</v>
      </c>
      <c r="B32" s="312" t="s">
        <v>330</v>
      </c>
      <c r="C32" s="313">
        <f>SUM(C33:C34)</f>
        <v>695390775</v>
      </c>
      <c r="D32" s="313">
        <f>SUM(D33:D34)</f>
        <v>0</v>
      </c>
      <c r="E32" s="313">
        <f t="shared" si="0"/>
        <v>695390775</v>
      </c>
      <c r="F32" s="503">
        <f>SUM(F33:F34)</f>
        <v>734646737</v>
      </c>
      <c r="G32" s="503">
        <f>SUM(G33:G34)</f>
        <v>0</v>
      </c>
      <c r="H32" s="503">
        <f t="shared" si="1"/>
        <v>734646737</v>
      </c>
      <c r="I32" s="503">
        <f>SUM(I33:I34)</f>
        <v>676372544</v>
      </c>
      <c r="J32" s="503">
        <f>SUM(J33:J34)</f>
        <v>0</v>
      </c>
      <c r="K32" s="503">
        <f t="shared" si="2"/>
        <v>676372544</v>
      </c>
      <c r="L32" s="503">
        <f>SUM(L33:L34)</f>
        <v>674456497</v>
      </c>
      <c r="M32" s="503">
        <f>SUM(M33:M34)</f>
        <v>0</v>
      </c>
      <c r="N32" s="503">
        <f t="shared" si="3"/>
        <v>674456497</v>
      </c>
      <c r="O32" s="503">
        <f>SUM(O33:O34)</f>
        <v>652494323</v>
      </c>
      <c r="P32" s="503">
        <f>SUM(P33:P34)</f>
        <v>0</v>
      </c>
      <c r="Q32" s="503">
        <f t="shared" si="4"/>
        <v>652494323</v>
      </c>
    </row>
    <row r="33" spans="1:18" x14ac:dyDescent="0.25">
      <c r="A33" s="346"/>
      <c r="B33" s="316" t="s">
        <v>331</v>
      </c>
      <c r="C33" s="235"/>
      <c r="D33" s="235">
        <v>0</v>
      </c>
      <c r="E33" s="235">
        <f t="shared" si="0"/>
        <v>0</v>
      </c>
      <c r="F33" s="235">
        <v>39255962</v>
      </c>
      <c r="G33" s="235">
        <v>0</v>
      </c>
      <c r="H33" s="235">
        <f t="shared" si="1"/>
        <v>39255962</v>
      </c>
      <c r="I33" s="235">
        <v>39255962</v>
      </c>
      <c r="J33" s="235">
        <v>0</v>
      </c>
      <c r="K33" s="235">
        <f t="shared" si="2"/>
        <v>39255962</v>
      </c>
      <c r="L33" s="235">
        <f>39255962-1916047</f>
        <v>37339915</v>
      </c>
      <c r="M33" s="235">
        <v>0</v>
      </c>
      <c r="N33" s="235">
        <f t="shared" si="3"/>
        <v>37339915</v>
      </c>
      <c r="O33" s="235">
        <v>39255962</v>
      </c>
      <c r="P33" s="235">
        <v>0</v>
      </c>
      <c r="Q33" s="235">
        <f t="shared" si="4"/>
        <v>39255962</v>
      </c>
    </row>
    <row r="34" spans="1:18" x14ac:dyDescent="0.25">
      <c r="A34" s="346"/>
      <c r="B34" s="316" t="s">
        <v>332</v>
      </c>
      <c r="C34" s="235">
        <f>C46-C30-C33</f>
        <v>695390775</v>
      </c>
      <c r="D34" s="235">
        <f>D46-D30</f>
        <v>0</v>
      </c>
      <c r="E34" s="235">
        <f t="shared" si="0"/>
        <v>695390775</v>
      </c>
      <c r="F34" s="235">
        <f>F46-F30-F33</f>
        <v>695390775</v>
      </c>
      <c r="G34" s="235">
        <f>G46-G30</f>
        <v>0</v>
      </c>
      <c r="H34" s="235">
        <f t="shared" si="1"/>
        <v>695390775</v>
      </c>
      <c r="I34" s="235">
        <f>I46-I30-I33</f>
        <v>637116582</v>
      </c>
      <c r="J34" s="235">
        <f>J46-J30</f>
        <v>0</v>
      </c>
      <c r="K34" s="235">
        <f t="shared" si="2"/>
        <v>637116582</v>
      </c>
      <c r="L34" s="235">
        <f>L46-L30-L33</f>
        <v>637116582</v>
      </c>
      <c r="M34" s="235">
        <f>M46-M30</f>
        <v>0</v>
      </c>
      <c r="N34" s="235">
        <f t="shared" si="3"/>
        <v>637116582</v>
      </c>
      <c r="O34" s="235">
        <v>613238361</v>
      </c>
      <c r="P34" s="235">
        <f>P46-P30</f>
        <v>0</v>
      </c>
      <c r="Q34" s="235">
        <f t="shared" si="4"/>
        <v>613238361</v>
      </c>
    </row>
    <row r="35" spans="1:18" x14ac:dyDescent="0.25">
      <c r="A35" s="319"/>
      <c r="B35" s="320" t="s">
        <v>333</v>
      </c>
      <c r="C35" s="292">
        <f>C31+C22+C8</f>
        <v>803390775</v>
      </c>
      <c r="D35" s="292">
        <f>D31+D22+D8</f>
        <v>0</v>
      </c>
      <c r="E35" s="292">
        <f t="shared" si="0"/>
        <v>803390775</v>
      </c>
      <c r="F35" s="292">
        <f>F31+F22+F8</f>
        <v>842646737</v>
      </c>
      <c r="G35" s="292">
        <f>G31+G22+G8</f>
        <v>0</v>
      </c>
      <c r="H35" s="292">
        <f t="shared" si="1"/>
        <v>842646737</v>
      </c>
      <c r="I35" s="292">
        <f>I31+I22+I8</f>
        <v>784372544</v>
      </c>
      <c r="J35" s="292">
        <f>J31+J22+J8</f>
        <v>0</v>
      </c>
      <c r="K35" s="292">
        <f t="shared" si="2"/>
        <v>784372544</v>
      </c>
      <c r="L35" s="292">
        <f>L31+L22+L8</f>
        <v>782456497</v>
      </c>
      <c r="M35" s="292">
        <f>M31+M22+M8</f>
        <v>0</v>
      </c>
      <c r="N35" s="292">
        <f t="shared" si="3"/>
        <v>782456497</v>
      </c>
      <c r="O35" s="292">
        <f>O31+O22+O8</f>
        <v>738461571</v>
      </c>
      <c r="P35" s="292">
        <f>P31+P22+P8</f>
        <v>0</v>
      </c>
      <c r="Q35" s="292">
        <f t="shared" si="4"/>
        <v>738461571</v>
      </c>
    </row>
    <row r="36" spans="1:18" x14ac:dyDescent="0.25">
      <c r="A36" s="308" t="s">
        <v>309</v>
      </c>
      <c r="B36" s="309" t="s">
        <v>334</v>
      </c>
      <c r="C36" s="310">
        <f>SUM(C37:C41)</f>
        <v>802120775</v>
      </c>
      <c r="D36" s="310">
        <f>SUM(D37:D41)</f>
        <v>0</v>
      </c>
      <c r="E36" s="310">
        <f t="shared" si="0"/>
        <v>802120775</v>
      </c>
      <c r="F36" s="501">
        <f>SUM(F37:F41)</f>
        <v>838142281</v>
      </c>
      <c r="G36" s="501">
        <f>SUM(G37:G41)</f>
        <v>0</v>
      </c>
      <c r="H36" s="501">
        <f t="shared" si="1"/>
        <v>838142281</v>
      </c>
      <c r="I36" s="501">
        <f>SUM(I37:I41)</f>
        <v>778372544</v>
      </c>
      <c r="J36" s="501">
        <f>SUM(J37:J41)</f>
        <v>0</v>
      </c>
      <c r="K36" s="501">
        <f t="shared" si="2"/>
        <v>778372544</v>
      </c>
      <c r="L36" s="501">
        <f>SUM(L37:L41)</f>
        <v>771537826</v>
      </c>
      <c r="M36" s="501">
        <f>SUM(M37:M41)</f>
        <v>0</v>
      </c>
      <c r="N36" s="501">
        <f t="shared" si="3"/>
        <v>771537826</v>
      </c>
      <c r="O36" s="501">
        <f>SUM(O37:O41)</f>
        <v>716214270</v>
      </c>
      <c r="P36" s="501">
        <f>SUM(P37:P41)</f>
        <v>0</v>
      </c>
      <c r="Q36" s="501">
        <f t="shared" si="4"/>
        <v>716214270</v>
      </c>
      <c r="R36" s="39">
        <f>+N36-K36</f>
        <v>-6834718</v>
      </c>
    </row>
    <row r="37" spans="1:18" x14ac:dyDescent="0.25">
      <c r="A37" s="311" t="s">
        <v>311</v>
      </c>
      <c r="B37" s="312" t="s">
        <v>286</v>
      </c>
      <c r="C37" s="313">
        <f>'5 GSZNR fel'!E214</f>
        <v>264191250</v>
      </c>
      <c r="D37" s="313">
        <v>0</v>
      </c>
      <c r="E37" s="313">
        <f t="shared" si="0"/>
        <v>264191250</v>
      </c>
      <c r="F37" s="503">
        <f>'5 GSZNR fel'!H214</f>
        <v>264191250</v>
      </c>
      <c r="G37" s="503">
        <v>0</v>
      </c>
      <c r="H37" s="503">
        <f t="shared" si="1"/>
        <v>264191250</v>
      </c>
      <c r="I37" s="503">
        <f>'5 GSZNR fel'!K214</f>
        <v>264191250</v>
      </c>
      <c r="J37" s="503">
        <v>0</v>
      </c>
      <c r="K37" s="503">
        <f t="shared" si="2"/>
        <v>264191250</v>
      </c>
      <c r="L37" s="503">
        <f>'5 GSZNR fel'!N214</f>
        <v>264191250</v>
      </c>
      <c r="M37" s="503">
        <v>0</v>
      </c>
      <c r="N37" s="503">
        <f t="shared" si="3"/>
        <v>264191250</v>
      </c>
      <c r="O37" s="503">
        <f>'5 GSZNR fel'!Q214</f>
        <v>248779086</v>
      </c>
      <c r="P37" s="503">
        <v>0</v>
      </c>
      <c r="Q37" s="503">
        <f t="shared" si="4"/>
        <v>248779086</v>
      </c>
      <c r="R37" s="39">
        <f t="shared" ref="R37:R46" si="5">+N37-K37</f>
        <v>0</v>
      </c>
    </row>
    <row r="38" spans="1:18" x14ac:dyDescent="0.25">
      <c r="A38" s="311" t="s">
        <v>322</v>
      </c>
      <c r="B38" s="312" t="s">
        <v>335</v>
      </c>
      <c r="C38" s="313">
        <f>'5 GSZNR fel'!E215</f>
        <v>53749525</v>
      </c>
      <c r="D38" s="313">
        <v>0</v>
      </c>
      <c r="E38" s="313">
        <f t="shared" si="0"/>
        <v>53749525</v>
      </c>
      <c r="F38" s="503">
        <f>'5 GSZNR fel'!H215</f>
        <v>53749525</v>
      </c>
      <c r="G38" s="503">
        <v>0</v>
      </c>
      <c r="H38" s="503">
        <f t="shared" si="1"/>
        <v>53749525</v>
      </c>
      <c r="I38" s="503">
        <f>'5 GSZNR fel'!K215</f>
        <v>53749525</v>
      </c>
      <c r="J38" s="503">
        <v>0</v>
      </c>
      <c r="K38" s="503">
        <f t="shared" si="2"/>
        <v>53749525</v>
      </c>
      <c r="L38" s="503">
        <f>'5 GSZNR fel'!N215</f>
        <v>53749525</v>
      </c>
      <c r="M38" s="503">
        <v>0</v>
      </c>
      <c r="N38" s="503">
        <f t="shared" si="3"/>
        <v>53749525</v>
      </c>
      <c r="O38" s="503">
        <f>'5 GSZNR fel'!Q215</f>
        <v>46621503</v>
      </c>
      <c r="P38" s="503">
        <v>0</v>
      </c>
      <c r="Q38" s="503">
        <f t="shared" si="4"/>
        <v>46621503</v>
      </c>
      <c r="R38" s="39">
        <f t="shared" si="5"/>
        <v>0</v>
      </c>
    </row>
    <row r="39" spans="1:18" x14ac:dyDescent="0.25">
      <c r="A39" s="311" t="s">
        <v>315</v>
      </c>
      <c r="B39" s="312" t="s">
        <v>292</v>
      </c>
      <c r="C39" s="313">
        <f>'5 GSZNR fel'!E216</f>
        <v>484180000</v>
      </c>
      <c r="D39" s="313">
        <v>0</v>
      </c>
      <c r="E39" s="313">
        <f t="shared" si="0"/>
        <v>484180000</v>
      </c>
      <c r="F39" s="503">
        <f>'5 GSZNR fel'!H216</f>
        <v>488013052</v>
      </c>
      <c r="G39" s="503">
        <v>0</v>
      </c>
      <c r="H39" s="503">
        <f t="shared" si="1"/>
        <v>488013052</v>
      </c>
      <c r="I39" s="503">
        <f>'5 GSZNR fel'!K216</f>
        <v>428243315</v>
      </c>
      <c r="J39" s="503">
        <v>0</v>
      </c>
      <c r="K39" s="503">
        <f t="shared" si="2"/>
        <v>428243315</v>
      </c>
      <c r="L39" s="503">
        <f>'5 GSZNR fel'!N216</f>
        <v>421408597</v>
      </c>
      <c r="M39" s="503">
        <v>0</v>
      </c>
      <c r="N39" s="503">
        <f t="shared" si="3"/>
        <v>421408597</v>
      </c>
      <c r="O39" s="503">
        <f>'5 GSZNR fel'!Q216</f>
        <v>388625227</v>
      </c>
      <c r="P39" s="503">
        <v>0</v>
      </c>
      <c r="Q39" s="503">
        <f t="shared" si="4"/>
        <v>388625227</v>
      </c>
      <c r="R39" s="39">
        <f t="shared" si="5"/>
        <v>-6834718</v>
      </c>
    </row>
    <row r="40" spans="1:18" x14ac:dyDescent="0.25">
      <c r="A40" s="311" t="s">
        <v>336</v>
      </c>
      <c r="B40" s="312" t="s">
        <v>337</v>
      </c>
      <c r="C40" s="313">
        <v>0</v>
      </c>
      <c r="D40" s="313">
        <v>0</v>
      </c>
      <c r="E40" s="313">
        <f t="shared" si="0"/>
        <v>0</v>
      </c>
      <c r="F40" s="503">
        <v>0</v>
      </c>
      <c r="G40" s="503">
        <v>0</v>
      </c>
      <c r="H40" s="503">
        <f t="shared" si="1"/>
        <v>0</v>
      </c>
      <c r="I40" s="503">
        <v>0</v>
      </c>
      <c r="J40" s="503">
        <v>0</v>
      </c>
      <c r="K40" s="503">
        <f t="shared" si="2"/>
        <v>0</v>
      </c>
      <c r="L40" s="503">
        <v>0</v>
      </c>
      <c r="M40" s="503">
        <v>0</v>
      </c>
      <c r="N40" s="503">
        <f t="shared" si="3"/>
        <v>0</v>
      </c>
      <c r="O40" s="503">
        <v>0</v>
      </c>
      <c r="P40" s="503">
        <v>0</v>
      </c>
      <c r="Q40" s="503">
        <f t="shared" si="4"/>
        <v>0</v>
      </c>
      <c r="R40" s="39">
        <f t="shared" si="5"/>
        <v>0</v>
      </c>
    </row>
    <row r="41" spans="1:18" x14ac:dyDescent="0.25">
      <c r="A41" s="311" t="s">
        <v>338</v>
      </c>
      <c r="B41" s="312" t="s">
        <v>339</v>
      </c>
      <c r="C41" s="313">
        <f>'5 GSZNR fel'!E217</f>
        <v>0</v>
      </c>
      <c r="D41" s="313">
        <v>0</v>
      </c>
      <c r="E41" s="313">
        <f t="shared" si="0"/>
        <v>0</v>
      </c>
      <c r="F41" s="503">
        <f>'5 GSZNR fel'!H217</f>
        <v>32188454</v>
      </c>
      <c r="G41" s="503">
        <v>0</v>
      </c>
      <c r="H41" s="503">
        <f t="shared" si="1"/>
        <v>32188454</v>
      </c>
      <c r="I41" s="503">
        <f>'5 GSZNR fel'!K217</f>
        <v>32188454</v>
      </c>
      <c r="J41" s="503">
        <v>0</v>
      </c>
      <c r="K41" s="503">
        <f t="shared" si="2"/>
        <v>32188454</v>
      </c>
      <c r="L41" s="503">
        <f>'5 GSZNR fel'!N217</f>
        <v>32188454</v>
      </c>
      <c r="M41" s="503">
        <v>0</v>
      </c>
      <c r="N41" s="503">
        <f t="shared" si="3"/>
        <v>32188454</v>
      </c>
      <c r="O41" s="503">
        <f>'5 GSZNR fel'!Q217</f>
        <v>32188454</v>
      </c>
      <c r="P41" s="503">
        <v>0</v>
      </c>
      <c r="Q41" s="503">
        <f t="shared" si="4"/>
        <v>32188454</v>
      </c>
      <c r="R41" s="39">
        <f t="shared" si="5"/>
        <v>0</v>
      </c>
    </row>
    <row r="42" spans="1:18" x14ac:dyDescent="0.25">
      <c r="A42" s="308" t="s">
        <v>318</v>
      </c>
      <c r="B42" s="309" t="s">
        <v>340</v>
      </c>
      <c r="C42" s="310">
        <f>SUM(C43:C45)</f>
        <v>1270000</v>
      </c>
      <c r="D42" s="310">
        <f>SUM(D43:D45)</f>
        <v>0</v>
      </c>
      <c r="E42" s="310">
        <f t="shared" si="0"/>
        <v>1270000</v>
      </c>
      <c r="F42" s="501">
        <f>SUM(F43:F45)</f>
        <v>4504456</v>
      </c>
      <c r="G42" s="501">
        <f>SUM(G43:G45)</f>
        <v>0</v>
      </c>
      <c r="H42" s="501">
        <f t="shared" si="1"/>
        <v>4504456</v>
      </c>
      <c r="I42" s="501">
        <f>SUM(I43:I45)</f>
        <v>6000000</v>
      </c>
      <c r="J42" s="501">
        <f>SUM(J43:J45)</f>
        <v>0</v>
      </c>
      <c r="K42" s="501">
        <f t="shared" si="2"/>
        <v>6000000</v>
      </c>
      <c r="L42" s="501">
        <f>SUM(L43:L45)</f>
        <v>10918671</v>
      </c>
      <c r="M42" s="501">
        <f>SUM(M43:M45)</f>
        <v>0</v>
      </c>
      <c r="N42" s="501">
        <f t="shared" si="3"/>
        <v>10918671</v>
      </c>
      <c r="O42" s="501">
        <f>SUM(O43:O45)</f>
        <v>10697270</v>
      </c>
      <c r="P42" s="501">
        <f>SUM(P43:P45)</f>
        <v>0</v>
      </c>
      <c r="Q42" s="501">
        <f t="shared" si="4"/>
        <v>10697270</v>
      </c>
      <c r="R42" s="39">
        <f t="shared" si="5"/>
        <v>4918671</v>
      </c>
    </row>
    <row r="43" spans="1:18" x14ac:dyDescent="0.25">
      <c r="A43" s="311" t="s">
        <v>311</v>
      </c>
      <c r="B43" s="312" t="s">
        <v>341</v>
      </c>
      <c r="C43" s="313">
        <f>'5 GSZNR fel'!E218</f>
        <v>1270000</v>
      </c>
      <c r="D43" s="313"/>
      <c r="E43" s="313">
        <f t="shared" si="0"/>
        <v>1270000</v>
      </c>
      <c r="F43" s="503">
        <f>'5 GSZNR fel'!H218</f>
        <v>2690610</v>
      </c>
      <c r="G43" s="503"/>
      <c r="H43" s="503">
        <f t="shared" si="1"/>
        <v>2690610</v>
      </c>
      <c r="I43" s="503">
        <f>'5 GSZNR fel'!K218</f>
        <v>4911102</v>
      </c>
      <c r="J43" s="503"/>
      <c r="K43" s="503">
        <f t="shared" si="2"/>
        <v>4911102</v>
      </c>
      <c r="L43" s="503">
        <f>'5 GSZNR fel'!N218</f>
        <v>9829773</v>
      </c>
      <c r="M43" s="503"/>
      <c r="N43" s="503">
        <f t="shared" si="3"/>
        <v>9829773</v>
      </c>
      <c r="O43" s="503">
        <f>'5 GSZNR fel'!Q218</f>
        <v>9608372</v>
      </c>
      <c r="P43" s="503"/>
      <c r="Q43" s="503">
        <f t="shared" si="4"/>
        <v>9608372</v>
      </c>
      <c r="R43" s="39">
        <f t="shared" si="5"/>
        <v>4918671</v>
      </c>
    </row>
    <row r="44" spans="1:18" x14ac:dyDescent="0.25">
      <c r="A44" s="311" t="s">
        <v>322</v>
      </c>
      <c r="B44" s="312" t="s">
        <v>342</v>
      </c>
      <c r="C44" s="313"/>
      <c r="D44" s="313"/>
      <c r="E44" s="313">
        <f t="shared" si="0"/>
        <v>0</v>
      </c>
      <c r="F44" s="503">
        <f>+'5 GSZNR fel'!H219</f>
        <v>1813846</v>
      </c>
      <c r="G44" s="503"/>
      <c r="H44" s="503">
        <f t="shared" si="1"/>
        <v>1813846</v>
      </c>
      <c r="I44" s="503">
        <f>+'5 GSZNR fel'!K219</f>
        <v>1088898</v>
      </c>
      <c r="J44" s="503"/>
      <c r="K44" s="503">
        <f t="shared" si="2"/>
        <v>1088898</v>
      </c>
      <c r="L44" s="503">
        <f>'5 GSZNR fel'!N219</f>
        <v>1088898</v>
      </c>
      <c r="M44" s="503"/>
      <c r="N44" s="503">
        <f t="shared" si="3"/>
        <v>1088898</v>
      </c>
      <c r="O44" s="503">
        <f>+'5 GSZNR fel'!Q219</f>
        <v>1088898</v>
      </c>
      <c r="P44" s="503"/>
      <c r="Q44" s="503">
        <f t="shared" si="4"/>
        <v>1088898</v>
      </c>
      <c r="R44" s="39">
        <f t="shared" si="5"/>
        <v>0</v>
      </c>
    </row>
    <row r="45" spans="1:18" x14ac:dyDescent="0.25">
      <c r="A45" s="311" t="s">
        <v>315</v>
      </c>
      <c r="B45" s="312" t="s">
        <v>343</v>
      </c>
      <c r="C45" s="313">
        <v>0</v>
      </c>
      <c r="D45" s="313">
        <v>0</v>
      </c>
      <c r="E45" s="313">
        <f t="shared" si="0"/>
        <v>0</v>
      </c>
      <c r="F45" s="503">
        <v>0</v>
      </c>
      <c r="G45" s="503">
        <v>0</v>
      </c>
      <c r="H45" s="503">
        <f t="shared" si="1"/>
        <v>0</v>
      </c>
      <c r="I45" s="503">
        <v>0</v>
      </c>
      <c r="J45" s="503">
        <v>0</v>
      </c>
      <c r="K45" s="503">
        <f t="shared" si="2"/>
        <v>0</v>
      </c>
      <c r="L45" s="503">
        <v>0</v>
      </c>
      <c r="M45" s="503">
        <v>0</v>
      </c>
      <c r="N45" s="503">
        <f t="shared" si="3"/>
        <v>0</v>
      </c>
      <c r="O45" s="503">
        <v>0</v>
      </c>
      <c r="P45" s="503">
        <v>0</v>
      </c>
      <c r="Q45" s="503">
        <f t="shared" si="4"/>
        <v>0</v>
      </c>
      <c r="R45" s="39">
        <f t="shared" si="5"/>
        <v>0</v>
      </c>
    </row>
    <row r="46" spans="1:18" x14ac:dyDescent="0.25">
      <c r="A46" s="319"/>
      <c r="B46" s="320" t="s">
        <v>344</v>
      </c>
      <c r="C46" s="292">
        <f>C36+C42</f>
        <v>803390775</v>
      </c>
      <c r="D46" s="292">
        <f>D36+D42</f>
        <v>0</v>
      </c>
      <c r="E46" s="292">
        <f t="shared" si="0"/>
        <v>803390775</v>
      </c>
      <c r="F46" s="292">
        <f>F36+F42</f>
        <v>842646737</v>
      </c>
      <c r="G46" s="292">
        <f>G36+G42</f>
        <v>0</v>
      </c>
      <c r="H46" s="292">
        <f t="shared" si="1"/>
        <v>842646737</v>
      </c>
      <c r="I46" s="292">
        <f>I36+I42</f>
        <v>784372544</v>
      </c>
      <c r="J46" s="292">
        <f>J36+J42</f>
        <v>0</v>
      </c>
      <c r="K46" s="292">
        <f t="shared" si="2"/>
        <v>784372544</v>
      </c>
      <c r="L46" s="292">
        <f>L36+L42</f>
        <v>782456497</v>
      </c>
      <c r="M46" s="292">
        <f>M36+M42</f>
        <v>0</v>
      </c>
      <c r="N46" s="292">
        <f t="shared" si="3"/>
        <v>782456497</v>
      </c>
      <c r="O46" s="292">
        <f>O36+O42</f>
        <v>726911540</v>
      </c>
      <c r="P46" s="292">
        <f>P36+P42</f>
        <v>0</v>
      </c>
      <c r="Q46" s="292">
        <f t="shared" si="4"/>
        <v>726911540</v>
      </c>
      <c r="R46" s="39">
        <f t="shared" si="5"/>
        <v>-1916047</v>
      </c>
    </row>
    <row r="47" spans="1:18" x14ac:dyDescent="0.25">
      <c r="H47" s="39"/>
      <c r="K47" s="39">
        <f>+K46-H46</f>
        <v>-58274193</v>
      </c>
      <c r="N47" s="39">
        <f>+N46-K46</f>
        <v>-1916047</v>
      </c>
      <c r="Q47" s="39">
        <f>+Q46-N46</f>
        <v>-55544957</v>
      </c>
    </row>
    <row r="48" spans="1:18" x14ac:dyDescent="0.25">
      <c r="H48" s="39"/>
      <c r="K48" s="39"/>
      <c r="N48" s="39"/>
      <c r="Q48" s="39"/>
    </row>
    <row r="49" spans="8:17" x14ac:dyDescent="0.25">
      <c r="H49" s="39"/>
      <c r="K49" s="39"/>
      <c r="N49" s="39"/>
      <c r="Q49" s="39"/>
    </row>
    <row r="50" spans="8:17" x14ac:dyDescent="0.25">
      <c r="H50" s="39"/>
    </row>
    <row r="51" spans="8:17" x14ac:dyDescent="0.25">
      <c r="H51" s="39"/>
    </row>
    <row r="52" spans="8:17" x14ac:dyDescent="0.25">
      <c r="H52" s="39"/>
    </row>
    <row r="53" spans="8:17" x14ac:dyDescent="0.25">
      <c r="H53" s="39"/>
    </row>
    <row r="55" spans="8:17" x14ac:dyDescent="0.25">
      <c r="H55" s="39"/>
    </row>
  </sheetData>
  <mergeCells count="7">
    <mergeCell ref="O4:Q4"/>
    <mergeCell ref="C4:E4"/>
    <mergeCell ref="A4:A5"/>
    <mergeCell ref="B4:B5"/>
    <mergeCell ref="F4:H4"/>
    <mergeCell ref="I4:K4"/>
    <mergeCell ref="L4:N4"/>
  </mergeCells>
  <printOptions horizontalCentered="1"/>
  <pageMargins left="0.19685039370078741" right="0.19685039370078741" top="0.74803149606299213" bottom="0.19685039370078741" header="0.31496062992125984" footer="0.31496062992125984"/>
  <pageSetup paperSize="9" scale="75" fitToWidth="0" fitToHeight="0" orientation="landscape" copies="4" r:id="rId1"/>
  <headerFooter>
    <oddHeader>&amp;L4/H.  melléklet a ......./2021. (.................) önkormányzati rendelethez&amp;C&amp;"-,Félkövér"&amp;16
A Törökbálinti Városgondnokság 2020. évi bevételei és kiadásai jogcímenként és feladatonként</oddHeader>
    <oddFooter>&amp;C&amp;P&amp;R&amp;D, &amp;T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outlinePr summaryBelow="0"/>
  </sheetPr>
  <dimension ref="A1:S220"/>
  <sheetViews>
    <sheetView view="pageBreakPreview" topLeftCell="A193" zoomScale="106" zoomScaleNormal="96" zoomScaleSheetLayoutView="106" workbookViewId="0">
      <selection activeCell="R204" sqref="R204"/>
    </sheetView>
  </sheetViews>
  <sheetFormatPr defaultRowHeight="15" outlineLevelRow="4" x14ac:dyDescent="0.25"/>
  <cols>
    <col min="1" max="1" width="5.7109375" style="40" customWidth="1"/>
    <col min="2" max="2" width="35.28515625" style="41" customWidth="1"/>
    <col min="3" max="4" width="10.7109375" hidden="1" customWidth="1"/>
    <col min="5" max="5" width="14.28515625" hidden="1" customWidth="1"/>
    <col min="6" max="7" width="10.7109375" hidden="1" customWidth="1"/>
    <col min="8" max="8" width="14.28515625" hidden="1" customWidth="1"/>
    <col min="9" max="10" width="10.7109375" customWidth="1"/>
    <col min="11" max="11" width="14.28515625" customWidth="1"/>
    <col min="12" max="13" width="10.7109375" customWidth="1"/>
    <col min="14" max="14" width="14.28515625" customWidth="1"/>
    <col min="15" max="16" width="10.7109375" hidden="1" customWidth="1"/>
    <col min="17" max="17" width="14.28515625" hidden="1" customWidth="1"/>
    <col min="18" max="18" width="12.42578125" customWidth="1"/>
    <col min="19" max="19" width="14" customWidth="1"/>
    <col min="228" max="228" width="7.7109375" bestFit="1" customWidth="1"/>
    <col min="229" max="229" width="48.7109375" customWidth="1"/>
    <col min="230" max="231" width="9.7109375" customWidth="1"/>
    <col min="232" max="233" width="10.85546875" bestFit="1" customWidth="1"/>
    <col min="234" max="234" width="10.140625" bestFit="1" customWidth="1"/>
    <col min="235" max="235" width="10.28515625" customWidth="1"/>
    <col min="236" max="236" width="14" bestFit="1" customWidth="1"/>
  </cols>
  <sheetData>
    <row r="1" spans="1:18" x14ac:dyDescent="0.25">
      <c r="C1" s="351"/>
      <c r="E1" s="31"/>
      <c r="F1" s="351"/>
      <c r="H1" s="31"/>
      <c r="I1" s="351"/>
      <c r="K1" s="31"/>
      <c r="L1" s="351"/>
      <c r="N1" s="31" t="s">
        <v>1662</v>
      </c>
      <c r="O1" s="351"/>
    </row>
    <row r="2" spans="1:18" ht="15" customHeight="1" x14ac:dyDescent="0.25">
      <c r="A2" s="947" t="s">
        <v>549</v>
      </c>
      <c r="B2" s="949" t="s">
        <v>306</v>
      </c>
      <c r="C2" s="980" t="s">
        <v>1356</v>
      </c>
      <c r="D2" s="982" t="s">
        <v>1307</v>
      </c>
      <c r="E2" s="982" t="s">
        <v>1304</v>
      </c>
      <c r="F2" s="980" t="s">
        <v>1356</v>
      </c>
      <c r="G2" s="982" t="s">
        <v>1307</v>
      </c>
      <c r="H2" s="982" t="s">
        <v>1304</v>
      </c>
      <c r="I2" s="980" t="s">
        <v>1356</v>
      </c>
      <c r="J2" s="982" t="s">
        <v>1307</v>
      </c>
      <c r="K2" s="982" t="s">
        <v>1304</v>
      </c>
      <c r="L2" s="980" t="s">
        <v>1356</v>
      </c>
      <c r="M2" s="982" t="s">
        <v>1307</v>
      </c>
      <c r="N2" s="982" t="s">
        <v>1304</v>
      </c>
      <c r="O2" s="980" t="s">
        <v>1356</v>
      </c>
      <c r="P2" s="982" t="s">
        <v>1307</v>
      </c>
      <c r="Q2" s="982" t="s">
        <v>1304</v>
      </c>
    </row>
    <row r="3" spans="1:18" ht="34.5" customHeight="1" x14ac:dyDescent="0.25">
      <c r="A3" s="947"/>
      <c r="B3" s="949"/>
      <c r="C3" s="981"/>
      <c r="D3" s="983"/>
      <c r="E3" s="983"/>
      <c r="F3" s="981"/>
      <c r="G3" s="983"/>
      <c r="H3" s="983"/>
      <c r="I3" s="981"/>
      <c r="J3" s="983"/>
      <c r="K3" s="983"/>
      <c r="L3" s="981"/>
      <c r="M3" s="983"/>
      <c r="N3" s="983"/>
      <c r="O3" s="981"/>
      <c r="P3" s="983"/>
      <c r="Q3" s="983"/>
    </row>
    <row r="4" spans="1:18" s="30" customFormat="1" ht="38.25" customHeight="1" x14ac:dyDescent="0.25">
      <c r="A4" s="947"/>
      <c r="B4" s="949"/>
      <c r="C4" s="962" t="s">
        <v>1654</v>
      </c>
      <c r="D4" s="936"/>
      <c r="E4" s="940"/>
      <c r="F4" s="962" t="s">
        <v>1760</v>
      </c>
      <c r="G4" s="936"/>
      <c r="H4" s="940"/>
      <c r="I4" s="962" t="s">
        <v>1795</v>
      </c>
      <c r="J4" s="936"/>
      <c r="K4" s="940"/>
      <c r="L4" s="962" t="s">
        <v>1803</v>
      </c>
      <c r="M4" s="936"/>
      <c r="N4" s="940"/>
      <c r="O4" s="962" t="s">
        <v>1804</v>
      </c>
      <c r="P4" s="936"/>
      <c r="Q4" s="940"/>
    </row>
    <row r="5" spans="1:18" s="30" customFormat="1" ht="30" x14ac:dyDescent="0.25">
      <c r="A5" s="290" t="s">
        <v>315</v>
      </c>
      <c r="B5" s="321" t="s">
        <v>346</v>
      </c>
      <c r="C5" s="697">
        <f>+C6+C23+C39+C56+C86+C108+C134+C150</f>
        <v>234.25</v>
      </c>
      <c r="D5" s="292">
        <v>0</v>
      </c>
      <c r="E5" s="292">
        <f>+E6+E23+E39+E56+E86+E108+E134+E150</f>
        <v>2085373345</v>
      </c>
      <c r="F5" s="697">
        <f>+F6+F23+F39+F56+F86+F108+F134+F150</f>
        <v>234.25</v>
      </c>
      <c r="G5" s="292">
        <v>0</v>
      </c>
      <c r="H5" s="292">
        <f>+H6+H23+H39+H56+H86+H108+H134+H150</f>
        <v>2181098512</v>
      </c>
      <c r="I5" s="697">
        <f>+I6+I23+I39+I56+I86+I108+I134+I150</f>
        <v>234.25</v>
      </c>
      <c r="J5" s="292">
        <v>0</v>
      </c>
      <c r="K5" s="292">
        <f>+K6+K23+K39+K56+K86+K108+K134+K150</f>
        <v>2103980921</v>
      </c>
      <c r="L5" s="697">
        <f>+L6+L23+L39+L56+L86+L108+L134+L150</f>
        <v>234.25</v>
      </c>
      <c r="M5" s="292">
        <v>0</v>
      </c>
      <c r="N5" s="292">
        <f>+N6+N23+N39+N56+N86+N108+N134+N150</f>
        <v>2107148182</v>
      </c>
      <c r="O5" s="697">
        <f>+O6+O23+O39+O56+O86+O108+O134+O150</f>
        <v>234.25</v>
      </c>
      <c r="P5" s="292">
        <v>0</v>
      </c>
      <c r="Q5" s="292">
        <f>+Q6+Q23+Q39+Q56+Q86+Q108+Q134+Q150</f>
        <v>1912656510</v>
      </c>
    </row>
    <row r="6" spans="1:18" s="43" customFormat="1" x14ac:dyDescent="0.25">
      <c r="A6" s="322" t="s">
        <v>1424</v>
      </c>
      <c r="B6" s="323" t="s">
        <v>347</v>
      </c>
      <c r="C6" s="352">
        <v>13</v>
      </c>
      <c r="D6" s="324">
        <v>0</v>
      </c>
      <c r="E6" s="324">
        <f>+E7+E22</f>
        <v>83195430</v>
      </c>
      <c r="F6" s="352">
        <v>13</v>
      </c>
      <c r="G6" s="324">
        <v>0</v>
      </c>
      <c r="H6" s="324">
        <f>+H7+H22</f>
        <v>97361614</v>
      </c>
      <c r="I6" s="352">
        <v>13</v>
      </c>
      <c r="J6" s="324">
        <v>0</v>
      </c>
      <c r="K6" s="324">
        <f>+K7+K22</f>
        <v>94977187</v>
      </c>
      <c r="L6" s="352">
        <v>13</v>
      </c>
      <c r="M6" s="324">
        <v>0</v>
      </c>
      <c r="N6" s="324">
        <f>+N7+N22</f>
        <v>94977187</v>
      </c>
      <c r="O6" s="352">
        <v>13</v>
      </c>
      <c r="P6" s="324">
        <v>0</v>
      </c>
      <c r="Q6" s="324">
        <f>+Q7+Q22</f>
        <v>84094862</v>
      </c>
      <c r="R6" s="39">
        <f t="shared" ref="R6:R13" si="0">+N6-K6</f>
        <v>0</v>
      </c>
    </row>
    <row r="7" spans="1:18" outlineLevel="1" x14ac:dyDescent="0.25">
      <c r="A7" s="325" t="s">
        <v>309</v>
      </c>
      <c r="B7" s="326" t="s">
        <v>348</v>
      </c>
      <c r="C7" s="353">
        <v>13</v>
      </c>
      <c r="D7" s="327">
        <v>0</v>
      </c>
      <c r="E7" s="742">
        <f>+E8+E15</f>
        <v>83195430</v>
      </c>
      <c r="F7" s="353">
        <v>13</v>
      </c>
      <c r="G7" s="327">
        <v>0</v>
      </c>
      <c r="H7" s="742">
        <f>+H8+H15</f>
        <v>97361614</v>
      </c>
      <c r="I7" s="353">
        <v>13</v>
      </c>
      <c r="J7" s="327">
        <v>0</v>
      </c>
      <c r="K7" s="742">
        <f>+K8+K15</f>
        <v>94977187</v>
      </c>
      <c r="L7" s="353">
        <v>13</v>
      </c>
      <c r="M7" s="327">
        <v>0</v>
      </c>
      <c r="N7" s="742">
        <f>+N8+N15+N20</f>
        <v>94977187</v>
      </c>
      <c r="O7" s="353">
        <v>13</v>
      </c>
      <c r="P7" s="327">
        <v>0</v>
      </c>
      <c r="Q7" s="742">
        <f>+Q8+Q15+Q20</f>
        <v>84094862</v>
      </c>
      <c r="R7" s="39">
        <f t="shared" si="0"/>
        <v>0</v>
      </c>
    </row>
    <row r="8" spans="1:18" outlineLevel="2" x14ac:dyDescent="0.25">
      <c r="A8" s="295" t="s">
        <v>311</v>
      </c>
      <c r="B8" s="296" t="s">
        <v>349</v>
      </c>
      <c r="C8" s="354">
        <v>13</v>
      </c>
      <c r="D8" s="297">
        <v>0</v>
      </c>
      <c r="E8" s="297">
        <f>SUM(E9:E14)</f>
        <v>72400430</v>
      </c>
      <c r="F8" s="354">
        <v>13</v>
      </c>
      <c r="G8" s="507">
        <v>0</v>
      </c>
      <c r="H8" s="507">
        <f>SUM(H9:H14)</f>
        <v>86566614</v>
      </c>
      <c r="I8" s="354">
        <v>13</v>
      </c>
      <c r="J8" s="507">
        <v>0</v>
      </c>
      <c r="K8" s="507">
        <f>SUM(K9:K14)</f>
        <v>86566614</v>
      </c>
      <c r="L8" s="354">
        <v>13</v>
      </c>
      <c r="M8" s="507">
        <v>0</v>
      </c>
      <c r="N8" s="507">
        <f>SUM(N9:N14)</f>
        <v>86535079.539999992</v>
      </c>
      <c r="O8" s="354">
        <v>13</v>
      </c>
      <c r="P8" s="507">
        <v>0</v>
      </c>
      <c r="Q8" s="507">
        <f>SUM(Q9:Q14)</f>
        <v>76817356</v>
      </c>
      <c r="R8" s="39">
        <f t="shared" si="0"/>
        <v>-31534.460000008345</v>
      </c>
    </row>
    <row r="9" spans="1:18" outlineLevel="3" x14ac:dyDescent="0.25">
      <c r="A9" s="298"/>
      <c r="B9" s="299" t="s">
        <v>286</v>
      </c>
      <c r="C9" s="355"/>
      <c r="D9" s="235"/>
      <c r="E9" s="235">
        <f>53027000+663000</f>
        <v>53690000</v>
      </c>
      <c r="F9" s="582"/>
      <c r="G9" s="235"/>
      <c r="H9" s="235">
        <f>53027000+663000</f>
        <v>53690000</v>
      </c>
      <c r="I9" s="582"/>
      <c r="J9" s="235"/>
      <c r="K9" s="235">
        <f>53027000+663000</f>
        <v>53690000</v>
      </c>
      <c r="L9" s="582"/>
      <c r="M9" s="235"/>
      <c r="N9" s="235">
        <v>53690000</v>
      </c>
      <c r="O9" s="582"/>
      <c r="P9" s="235"/>
      <c r="Q9" s="235">
        <v>50637208</v>
      </c>
      <c r="R9" s="39">
        <f t="shared" si="0"/>
        <v>0</v>
      </c>
    </row>
    <row r="10" spans="1:18" outlineLevel="3" x14ac:dyDescent="0.25">
      <c r="A10" s="298"/>
      <c r="B10" s="299" t="s">
        <v>350</v>
      </c>
      <c r="C10" s="355"/>
      <c r="D10" s="235"/>
      <c r="E10" s="235">
        <v>10289630</v>
      </c>
      <c r="F10" s="582"/>
      <c r="G10" s="235"/>
      <c r="H10" s="235">
        <f>10289630</f>
        <v>10289630</v>
      </c>
      <c r="I10" s="582"/>
      <c r="J10" s="235"/>
      <c r="K10" s="235">
        <f>10289630</f>
        <v>10289630</v>
      </c>
      <c r="L10" s="582"/>
      <c r="M10" s="235"/>
      <c r="N10" s="235">
        <v>10289630</v>
      </c>
      <c r="O10" s="582"/>
      <c r="P10" s="235"/>
      <c r="Q10" s="235">
        <v>8635070</v>
      </c>
      <c r="R10" s="39">
        <f t="shared" si="0"/>
        <v>0</v>
      </c>
    </row>
    <row r="11" spans="1:18" outlineLevel="3" x14ac:dyDescent="0.25">
      <c r="A11" s="298"/>
      <c r="B11" s="299" t="s">
        <v>292</v>
      </c>
      <c r="C11" s="355"/>
      <c r="D11" s="235"/>
      <c r="E11" s="235">
        <f>190800+2362000+80000+133000+1140000+331000+118000+1160000+79000+1510000+47000</f>
        <v>7150800</v>
      </c>
      <c r="F11" s="582"/>
      <c r="G11" s="235"/>
      <c r="H11" s="235">
        <f>190800+2362000+80000+133000+1140000+331000+118000+1160000+79000+1510000+47000</f>
        <v>7150800</v>
      </c>
      <c r="I11" s="582"/>
      <c r="J11" s="235"/>
      <c r="K11" s="235">
        <f>190800+2362000+80000+133000+1140000+331000+118000+1160000+79000+1510000+47000</f>
        <v>7150800</v>
      </c>
      <c r="L11" s="582"/>
      <c r="M11" s="235"/>
      <c r="N11" s="235">
        <f>15561373-N18-31535</f>
        <v>7119265.5399999991</v>
      </c>
      <c r="O11" s="582"/>
      <c r="P11" s="235"/>
      <c r="Q11" s="235">
        <f>3250074</f>
        <v>3250074</v>
      </c>
      <c r="R11" s="39">
        <f t="shared" si="0"/>
        <v>-31534.460000000894</v>
      </c>
    </row>
    <row r="12" spans="1:18" outlineLevel="3" x14ac:dyDescent="0.25">
      <c r="A12" s="298"/>
      <c r="B12" s="299" t="s">
        <v>339</v>
      </c>
      <c r="C12" s="355"/>
      <c r="D12" s="235"/>
      <c r="E12" s="235"/>
      <c r="F12" s="582"/>
      <c r="G12" s="235"/>
      <c r="H12" s="235">
        <v>14166184</v>
      </c>
      <c r="I12" s="582"/>
      <c r="J12" s="235"/>
      <c r="K12" s="235">
        <v>14166184</v>
      </c>
      <c r="L12" s="582"/>
      <c r="M12" s="235"/>
      <c r="N12" s="235">
        <v>14166184</v>
      </c>
      <c r="O12" s="582"/>
      <c r="P12" s="235"/>
      <c r="Q12" s="235">
        <v>14166184</v>
      </c>
      <c r="R12" s="39">
        <f t="shared" si="0"/>
        <v>0</v>
      </c>
    </row>
    <row r="13" spans="1:18" outlineLevel="3" x14ac:dyDescent="0.25">
      <c r="A13" s="298"/>
      <c r="B13" s="299" t="s">
        <v>351</v>
      </c>
      <c r="C13" s="355"/>
      <c r="D13" s="235"/>
      <c r="E13" s="235">
        <v>1270000</v>
      </c>
      <c r="F13" s="582"/>
      <c r="G13" s="235"/>
      <c r="H13" s="235">
        <f>1270000</f>
        <v>1270000</v>
      </c>
      <c r="I13" s="582"/>
      <c r="J13" s="235"/>
      <c r="K13" s="235">
        <f>1270000</f>
        <v>1270000</v>
      </c>
      <c r="L13" s="582"/>
      <c r="M13" s="235"/>
      <c r="N13" s="235">
        <f>1270000</f>
        <v>1270000</v>
      </c>
      <c r="O13" s="582"/>
      <c r="P13" s="235"/>
      <c r="Q13" s="235">
        <v>128820</v>
      </c>
      <c r="R13" s="39">
        <f t="shared" si="0"/>
        <v>0</v>
      </c>
    </row>
    <row r="14" spans="1:18" outlineLevel="3" x14ac:dyDescent="0.25">
      <c r="A14" s="298"/>
      <c r="B14" s="299" t="s">
        <v>342</v>
      </c>
      <c r="C14" s="355"/>
      <c r="D14" s="235"/>
      <c r="E14" s="235"/>
      <c r="F14" s="582"/>
      <c r="G14" s="235"/>
      <c r="H14" s="235"/>
      <c r="I14" s="582"/>
      <c r="J14" s="235"/>
      <c r="K14" s="235"/>
      <c r="L14" s="582"/>
      <c r="M14" s="235"/>
      <c r="N14" s="235"/>
      <c r="O14" s="582"/>
      <c r="P14" s="235"/>
      <c r="Q14" s="235"/>
    </row>
    <row r="15" spans="1:18" outlineLevel="2" x14ac:dyDescent="0.25">
      <c r="A15" s="295" t="s">
        <v>322</v>
      </c>
      <c r="B15" s="296" t="s">
        <v>352</v>
      </c>
      <c r="C15" s="354">
        <v>0</v>
      </c>
      <c r="D15" s="297">
        <v>0</v>
      </c>
      <c r="E15" s="297">
        <f>SUM(E16:E19)</f>
        <v>10795000</v>
      </c>
      <c r="F15" s="354">
        <v>0</v>
      </c>
      <c r="G15" s="507">
        <v>0</v>
      </c>
      <c r="H15" s="507">
        <f>SUM(H16:H19)</f>
        <v>10795000</v>
      </c>
      <c r="I15" s="354">
        <v>0</v>
      </c>
      <c r="J15" s="507">
        <v>0</v>
      </c>
      <c r="K15" s="507">
        <f>SUM(K16:K19)</f>
        <v>8410573</v>
      </c>
      <c r="L15" s="354">
        <v>0</v>
      </c>
      <c r="M15" s="507">
        <v>0</v>
      </c>
      <c r="N15" s="507">
        <f>SUM(N16:N19)</f>
        <v>8410572.4600000009</v>
      </c>
      <c r="O15" s="354">
        <v>0</v>
      </c>
      <c r="P15" s="507">
        <v>0</v>
      </c>
      <c r="Q15" s="507">
        <f>SUM(Q16:Q19)</f>
        <v>7245971</v>
      </c>
      <c r="R15" s="39">
        <f>+N15-K15</f>
        <v>-0.53999999910593033</v>
      </c>
    </row>
    <row r="16" spans="1:18" outlineLevel="3" x14ac:dyDescent="0.25">
      <c r="A16" s="298"/>
      <c r="B16" s="299" t="s">
        <v>286</v>
      </c>
      <c r="C16" s="355"/>
      <c r="D16" s="235"/>
      <c r="E16" s="235"/>
      <c r="F16" s="582"/>
      <c r="G16" s="235"/>
      <c r="H16" s="235"/>
      <c r="I16" s="582"/>
      <c r="J16" s="235"/>
      <c r="K16" s="235"/>
      <c r="L16" s="582"/>
      <c r="M16" s="235"/>
      <c r="N16" s="235"/>
      <c r="O16" s="582"/>
      <c r="P16" s="235"/>
      <c r="Q16" s="235"/>
    </row>
    <row r="17" spans="1:18" outlineLevel="3" x14ac:dyDescent="0.25">
      <c r="A17" s="298"/>
      <c r="B17" s="299" t="s">
        <v>350</v>
      </c>
      <c r="C17" s="355"/>
      <c r="D17" s="235"/>
      <c r="E17" s="235"/>
      <c r="F17" s="582"/>
      <c r="G17" s="235"/>
      <c r="H17" s="235"/>
      <c r="I17" s="582"/>
      <c r="J17" s="235"/>
      <c r="K17" s="235"/>
      <c r="L17" s="582"/>
      <c r="M17" s="235"/>
      <c r="N17" s="235"/>
      <c r="O17" s="582"/>
      <c r="P17" s="235"/>
      <c r="Q17" s="235"/>
    </row>
    <row r="18" spans="1:18" outlineLevel="3" x14ac:dyDescent="0.25">
      <c r="A18" s="298"/>
      <c r="B18" s="299" t="s">
        <v>292</v>
      </c>
      <c r="C18" s="355"/>
      <c r="D18" s="235"/>
      <c r="E18" s="235">
        <f>8500000+2295000</f>
        <v>10795000</v>
      </c>
      <c r="F18" s="582"/>
      <c r="G18" s="235"/>
      <c r="H18" s="235">
        <f>8500000+2295000</f>
        <v>10795000</v>
      </c>
      <c r="I18" s="582"/>
      <c r="J18" s="235"/>
      <c r="K18" s="235">
        <f>8500000+2295000-1877502-506925</f>
        <v>8410573</v>
      </c>
      <c r="L18" s="582"/>
      <c r="M18" s="235"/>
      <c r="N18" s="235">
        <f>6622498*1.27</f>
        <v>8410572.4600000009</v>
      </c>
      <c r="O18" s="582"/>
      <c r="P18" s="235"/>
      <c r="Q18" s="235">
        <v>7245971</v>
      </c>
      <c r="R18" s="39">
        <f>+N18-K18</f>
        <v>-0.53999999910593033</v>
      </c>
    </row>
    <row r="19" spans="1:18" outlineLevel="3" x14ac:dyDescent="0.25">
      <c r="A19" s="298"/>
      <c r="B19" s="299" t="s">
        <v>351</v>
      </c>
      <c r="C19" s="355"/>
      <c r="D19" s="235"/>
      <c r="E19" s="235"/>
      <c r="F19" s="582"/>
      <c r="G19" s="235"/>
      <c r="H19" s="235"/>
      <c r="I19" s="582"/>
      <c r="J19" s="235"/>
      <c r="K19" s="235"/>
      <c r="L19" s="582"/>
      <c r="M19" s="235"/>
      <c r="N19" s="235"/>
      <c r="O19" s="582"/>
      <c r="P19" s="235"/>
      <c r="Q19" s="235"/>
    </row>
    <row r="20" spans="1:18" s="46" customFormat="1" outlineLevel="3" x14ac:dyDescent="0.25">
      <c r="A20" s="295" t="s">
        <v>1810</v>
      </c>
      <c r="B20" s="376" t="s">
        <v>1763</v>
      </c>
      <c r="C20" s="354"/>
      <c r="D20" s="507"/>
      <c r="E20" s="507"/>
      <c r="F20" s="354"/>
      <c r="G20" s="507"/>
      <c r="H20" s="507"/>
      <c r="I20" s="354"/>
      <c r="J20" s="507"/>
      <c r="K20" s="507"/>
      <c r="L20" s="354"/>
      <c r="M20" s="507"/>
      <c r="N20" s="507">
        <f>SUM(N21)</f>
        <v>31535</v>
      </c>
      <c r="O20" s="354"/>
      <c r="P20" s="507"/>
      <c r="Q20" s="507">
        <f>SUM(Q21)</f>
        <v>31535</v>
      </c>
      <c r="R20" s="39">
        <f>+N20-K20</f>
        <v>31535</v>
      </c>
    </row>
    <row r="21" spans="1:18" outlineLevel="3" x14ac:dyDescent="0.25">
      <c r="A21" s="298"/>
      <c r="B21" s="299" t="s">
        <v>292</v>
      </c>
      <c r="C21" s="582"/>
      <c r="D21" s="235"/>
      <c r="E21" s="235"/>
      <c r="F21" s="582"/>
      <c r="G21" s="235"/>
      <c r="H21" s="235"/>
      <c r="I21" s="582"/>
      <c r="J21" s="235"/>
      <c r="K21" s="235"/>
      <c r="L21" s="582"/>
      <c r="M21" s="235"/>
      <c r="N21" s="235">
        <v>31535</v>
      </c>
      <c r="O21" s="582"/>
      <c r="P21" s="235"/>
      <c r="Q21" s="235">
        <v>31535</v>
      </c>
      <c r="R21" s="39">
        <f>+N21-K21</f>
        <v>31535</v>
      </c>
    </row>
    <row r="22" spans="1:18" outlineLevel="1" x14ac:dyDescent="0.25">
      <c r="A22" s="325" t="s">
        <v>318</v>
      </c>
      <c r="B22" s="326" t="s">
        <v>353</v>
      </c>
      <c r="C22" s="353">
        <v>0</v>
      </c>
      <c r="D22" s="327">
        <v>0</v>
      </c>
      <c r="E22" s="327">
        <v>0</v>
      </c>
      <c r="F22" s="353">
        <v>0</v>
      </c>
      <c r="G22" s="327">
        <v>0</v>
      </c>
      <c r="H22" s="327">
        <v>0</v>
      </c>
      <c r="I22" s="353">
        <v>0</v>
      </c>
      <c r="J22" s="327">
        <v>0</v>
      </c>
      <c r="K22" s="327">
        <v>0</v>
      </c>
      <c r="L22" s="353">
        <v>0</v>
      </c>
      <c r="M22" s="327">
        <v>0</v>
      </c>
      <c r="N22" s="327">
        <v>0</v>
      </c>
      <c r="O22" s="353">
        <v>0</v>
      </c>
      <c r="P22" s="327">
        <v>0</v>
      </c>
      <c r="Q22" s="327">
        <v>0</v>
      </c>
    </row>
    <row r="23" spans="1:18" x14ac:dyDescent="0.25">
      <c r="A23" s="322" t="s">
        <v>1425</v>
      </c>
      <c r="B23" s="323" t="s">
        <v>354</v>
      </c>
      <c r="C23" s="352">
        <v>32</v>
      </c>
      <c r="D23" s="324">
        <v>0</v>
      </c>
      <c r="E23" s="324">
        <f>+E24+E38</f>
        <v>203326150</v>
      </c>
      <c r="F23" s="352">
        <v>32</v>
      </c>
      <c r="G23" s="324">
        <v>0</v>
      </c>
      <c r="H23" s="324">
        <f>+H24+H38</f>
        <v>211776274</v>
      </c>
      <c r="I23" s="352">
        <v>32</v>
      </c>
      <c r="J23" s="324">
        <v>0</v>
      </c>
      <c r="K23" s="324">
        <f>+K24+K38</f>
        <v>206845112</v>
      </c>
      <c r="L23" s="352">
        <v>32</v>
      </c>
      <c r="M23" s="324">
        <v>0</v>
      </c>
      <c r="N23" s="324">
        <f>+N24+N38</f>
        <v>206845112</v>
      </c>
      <c r="O23" s="352">
        <v>32</v>
      </c>
      <c r="P23" s="324">
        <v>0</v>
      </c>
      <c r="Q23" s="324">
        <f>+Q24+Q38</f>
        <v>188481441</v>
      </c>
    </row>
    <row r="24" spans="1:18" outlineLevel="1" x14ac:dyDescent="0.25">
      <c r="A24" s="325" t="s">
        <v>309</v>
      </c>
      <c r="B24" s="326" t="s">
        <v>348</v>
      </c>
      <c r="C24" s="353">
        <v>32</v>
      </c>
      <c r="D24" s="327">
        <v>0</v>
      </c>
      <c r="E24" s="327">
        <f>+E25+E31</f>
        <v>203326150</v>
      </c>
      <c r="F24" s="353">
        <v>32</v>
      </c>
      <c r="G24" s="327">
        <v>0</v>
      </c>
      <c r="H24" s="327">
        <f>+H25+H31</f>
        <v>211776274</v>
      </c>
      <c r="I24" s="353">
        <v>32</v>
      </c>
      <c r="J24" s="327">
        <v>0</v>
      </c>
      <c r="K24" s="327">
        <f>+K25+K31</f>
        <v>206845112</v>
      </c>
      <c r="L24" s="353">
        <v>32</v>
      </c>
      <c r="M24" s="327">
        <v>0</v>
      </c>
      <c r="N24" s="327">
        <f>+N25+N31+N36</f>
        <v>206845112</v>
      </c>
      <c r="O24" s="353">
        <v>32</v>
      </c>
      <c r="P24" s="327">
        <v>0</v>
      </c>
      <c r="Q24" s="327">
        <f>+Q25+Q31+Q36</f>
        <v>188481441</v>
      </c>
    </row>
    <row r="25" spans="1:18" outlineLevel="2" x14ac:dyDescent="0.25">
      <c r="A25" s="295" t="s">
        <v>311</v>
      </c>
      <c r="B25" s="296" t="s">
        <v>349</v>
      </c>
      <c r="C25" s="354">
        <v>32</v>
      </c>
      <c r="D25" s="297">
        <v>0</v>
      </c>
      <c r="E25" s="297">
        <f>SUM(E26:E30)</f>
        <v>171434150</v>
      </c>
      <c r="F25" s="354">
        <v>32</v>
      </c>
      <c r="G25" s="507">
        <v>0</v>
      </c>
      <c r="H25" s="507">
        <f>SUM(H26:H30)</f>
        <v>179884274</v>
      </c>
      <c r="I25" s="354">
        <v>32</v>
      </c>
      <c r="J25" s="507">
        <v>0</v>
      </c>
      <c r="K25" s="507">
        <f>SUM(K26:K30)</f>
        <v>179884274</v>
      </c>
      <c r="L25" s="354">
        <v>32</v>
      </c>
      <c r="M25" s="507">
        <v>0</v>
      </c>
      <c r="N25" s="507">
        <f>SUM(N26:N30)</f>
        <v>179827174</v>
      </c>
      <c r="O25" s="354">
        <v>32</v>
      </c>
      <c r="P25" s="507">
        <v>0</v>
      </c>
      <c r="Q25" s="507">
        <f>SUM(Q26:Q30)</f>
        <v>164822817</v>
      </c>
      <c r="R25" s="39">
        <f>+N25-K25</f>
        <v>-57100</v>
      </c>
    </row>
    <row r="26" spans="1:18" outlineLevel="3" x14ac:dyDescent="0.25">
      <c r="A26" s="298"/>
      <c r="B26" s="299" t="s">
        <v>286</v>
      </c>
      <c r="C26" s="355"/>
      <c r="D26" s="235"/>
      <c r="E26" s="235">
        <f>123785000+1632000</f>
        <v>125417000</v>
      </c>
      <c r="F26" s="582"/>
      <c r="G26" s="235"/>
      <c r="H26" s="235">
        <f>123785000+1632000</f>
        <v>125417000</v>
      </c>
      <c r="I26" s="582"/>
      <c r="J26" s="235"/>
      <c r="K26" s="235">
        <f>123785000+1632000</f>
        <v>125417000</v>
      </c>
      <c r="L26" s="582"/>
      <c r="M26" s="235"/>
      <c r="N26" s="235">
        <f>123785000+1632000</f>
        <v>125417000</v>
      </c>
      <c r="O26" s="582"/>
      <c r="P26" s="235"/>
      <c r="Q26" s="235">
        <v>122263105</v>
      </c>
      <c r="R26" s="39">
        <f t="shared" ref="R26:R31" si="1">+N26-K26</f>
        <v>0</v>
      </c>
    </row>
    <row r="27" spans="1:18" outlineLevel="3" x14ac:dyDescent="0.25">
      <c r="A27" s="298"/>
      <c r="B27" s="299" t="s">
        <v>350</v>
      </c>
      <c r="C27" s="355"/>
      <c r="D27" s="235"/>
      <c r="E27" s="235">
        <v>26169150</v>
      </c>
      <c r="F27" s="582"/>
      <c r="G27" s="235"/>
      <c r="H27" s="235">
        <f>26169150</f>
        <v>26169150</v>
      </c>
      <c r="I27" s="582"/>
      <c r="J27" s="235"/>
      <c r="K27" s="235">
        <f>26169150</f>
        <v>26169150</v>
      </c>
      <c r="L27" s="582"/>
      <c r="M27" s="235"/>
      <c r="N27" s="235">
        <f>26169150</f>
        <v>26169150</v>
      </c>
      <c r="O27" s="582"/>
      <c r="P27" s="235"/>
      <c r="Q27" s="235">
        <v>22662086</v>
      </c>
      <c r="R27" s="39">
        <f t="shared" si="1"/>
        <v>0</v>
      </c>
    </row>
    <row r="28" spans="1:18" outlineLevel="3" x14ac:dyDescent="0.25">
      <c r="A28" s="298"/>
      <c r="B28" s="299" t="s">
        <v>292</v>
      </c>
      <c r="C28" s="355"/>
      <c r="D28" s="303"/>
      <c r="E28" s="303">
        <f>600000+5440000+340000+185000+4500000+1045000+420000+1928000+50000+3920000+150000</f>
        <v>18578000</v>
      </c>
      <c r="F28" s="582"/>
      <c r="G28" s="693"/>
      <c r="H28" s="693">
        <f>600000+5440000+340000+185000+4500000+1045000+420000+1928000+50000+3920000+150000+205740-1003300</f>
        <v>17780440</v>
      </c>
      <c r="I28" s="582"/>
      <c r="J28" s="693"/>
      <c r="K28" s="693">
        <f>600000+5440000+340000+185000+4500000+1045000+420000+1928000+50000+3920000+150000+205740-1003300</f>
        <v>17780440</v>
      </c>
      <c r="L28" s="582"/>
      <c r="M28" s="693"/>
      <c r="N28" s="693">
        <f>17780440-57100</f>
        <v>17723340</v>
      </c>
      <c r="O28" s="582"/>
      <c r="P28" s="693"/>
      <c r="Q28" s="693">
        <v>9858404</v>
      </c>
      <c r="R28" s="39">
        <f t="shared" si="1"/>
        <v>-57100</v>
      </c>
    </row>
    <row r="29" spans="1:18" outlineLevel="3" x14ac:dyDescent="0.25">
      <c r="A29" s="298"/>
      <c r="B29" s="299" t="s">
        <v>339</v>
      </c>
      <c r="C29" s="355"/>
      <c r="D29" s="303"/>
      <c r="E29" s="303"/>
      <c r="F29" s="582"/>
      <c r="G29" s="693"/>
      <c r="H29" s="693">
        <v>8244384</v>
      </c>
      <c r="I29" s="582"/>
      <c r="J29" s="693"/>
      <c r="K29" s="693">
        <v>8244384</v>
      </c>
      <c r="L29" s="582"/>
      <c r="M29" s="693"/>
      <c r="N29" s="693">
        <v>8244384</v>
      </c>
      <c r="O29" s="582"/>
      <c r="P29" s="693"/>
      <c r="Q29" s="693">
        <v>8244384</v>
      </c>
      <c r="R29" s="39">
        <f t="shared" si="1"/>
        <v>0</v>
      </c>
    </row>
    <row r="30" spans="1:18" outlineLevel="3" x14ac:dyDescent="0.25">
      <c r="A30" s="298"/>
      <c r="B30" s="299" t="s">
        <v>351</v>
      </c>
      <c r="C30" s="356"/>
      <c r="D30" s="301"/>
      <c r="E30" s="542">
        <v>1270000</v>
      </c>
      <c r="F30" s="356"/>
      <c r="G30" s="301"/>
      <c r="H30" s="542">
        <f>1270000+1003300</f>
        <v>2273300</v>
      </c>
      <c r="I30" s="356"/>
      <c r="J30" s="301"/>
      <c r="K30" s="542">
        <f>1270000+1003300</f>
        <v>2273300</v>
      </c>
      <c r="L30" s="356"/>
      <c r="M30" s="301"/>
      <c r="N30" s="542">
        <f>1270000+1003300</f>
        <v>2273300</v>
      </c>
      <c r="O30" s="356"/>
      <c r="P30" s="301"/>
      <c r="Q30" s="542">
        <v>1794838</v>
      </c>
      <c r="R30" s="39">
        <f t="shared" si="1"/>
        <v>0</v>
      </c>
    </row>
    <row r="31" spans="1:18" outlineLevel="2" x14ac:dyDescent="0.25">
      <c r="A31" s="295" t="s">
        <v>322</v>
      </c>
      <c r="B31" s="296" t="s">
        <v>352</v>
      </c>
      <c r="C31" s="354">
        <v>0</v>
      </c>
      <c r="D31" s="297">
        <v>0</v>
      </c>
      <c r="E31" s="297">
        <f>SUM(E32:E35)</f>
        <v>31892000</v>
      </c>
      <c r="F31" s="354">
        <v>0</v>
      </c>
      <c r="G31" s="507">
        <v>0</v>
      </c>
      <c r="H31" s="507">
        <f>SUM(H32:H35)</f>
        <v>31892000</v>
      </c>
      <c r="I31" s="354">
        <v>0</v>
      </c>
      <c r="J31" s="507">
        <v>0</v>
      </c>
      <c r="K31" s="507">
        <f>SUM(K32:K35)</f>
        <v>26960838</v>
      </c>
      <c r="L31" s="354">
        <v>0</v>
      </c>
      <c r="M31" s="507">
        <v>0</v>
      </c>
      <c r="N31" s="507">
        <f>SUM(N32:N35)</f>
        <v>26960838</v>
      </c>
      <c r="O31" s="354">
        <v>0</v>
      </c>
      <c r="P31" s="507">
        <v>0</v>
      </c>
      <c r="Q31" s="507">
        <f>SUM(Q32:Q35)</f>
        <v>23601524</v>
      </c>
      <c r="R31" s="39">
        <f t="shared" si="1"/>
        <v>0</v>
      </c>
    </row>
    <row r="32" spans="1:18" outlineLevel="3" x14ac:dyDescent="0.25">
      <c r="A32" s="298"/>
      <c r="B32" s="299" t="s">
        <v>286</v>
      </c>
      <c r="C32" s="355"/>
      <c r="D32" s="303"/>
      <c r="E32" s="303"/>
      <c r="F32" s="582"/>
      <c r="G32" s="693"/>
      <c r="H32" s="693"/>
      <c r="I32" s="582"/>
      <c r="J32" s="693"/>
      <c r="K32" s="693"/>
      <c r="L32" s="582"/>
      <c r="M32" s="693"/>
      <c r="N32" s="693"/>
      <c r="O32" s="582"/>
      <c r="P32" s="693"/>
      <c r="Q32" s="693"/>
    </row>
    <row r="33" spans="1:18" outlineLevel="3" x14ac:dyDescent="0.25">
      <c r="A33" s="298"/>
      <c r="B33" s="299" t="s">
        <v>350</v>
      </c>
      <c r="C33" s="356"/>
      <c r="D33" s="301"/>
      <c r="E33" s="301"/>
      <c r="F33" s="356"/>
      <c r="G33" s="301"/>
      <c r="H33" s="301"/>
      <c r="I33" s="356"/>
      <c r="J33" s="301"/>
      <c r="K33" s="301"/>
      <c r="L33" s="356"/>
      <c r="M33" s="301"/>
      <c r="N33" s="301"/>
      <c r="O33" s="356"/>
      <c r="P33" s="301"/>
      <c r="Q33" s="301"/>
    </row>
    <row r="34" spans="1:18" outlineLevel="3" x14ac:dyDescent="0.25">
      <c r="A34" s="298"/>
      <c r="B34" s="299" t="s">
        <v>292</v>
      </c>
      <c r="C34" s="356"/>
      <c r="D34" s="301"/>
      <c r="E34" s="301">
        <f>25112000*1.27-240</f>
        <v>31892000</v>
      </c>
      <c r="F34" s="356"/>
      <c r="G34" s="301"/>
      <c r="H34" s="301">
        <f>25112000*1.27-240</f>
        <v>31892000</v>
      </c>
      <c r="I34" s="356"/>
      <c r="J34" s="301"/>
      <c r="K34" s="301">
        <f>25112000*1.27-240-3882805-1048357</f>
        <v>26960838</v>
      </c>
      <c r="L34" s="356"/>
      <c r="M34" s="301"/>
      <c r="N34" s="301">
        <f>25112000*1.27-240-3882805-1048357</f>
        <v>26960838</v>
      </c>
      <c r="O34" s="356"/>
      <c r="P34" s="301"/>
      <c r="Q34" s="301">
        <v>23601524</v>
      </c>
    </row>
    <row r="35" spans="1:18" outlineLevel="3" x14ac:dyDescent="0.25">
      <c r="A35" s="298"/>
      <c r="B35" s="299" t="s">
        <v>351</v>
      </c>
      <c r="C35" s="356"/>
      <c r="D35" s="301"/>
      <c r="E35" s="301"/>
      <c r="F35" s="356"/>
      <c r="G35" s="301"/>
      <c r="H35" s="301"/>
      <c r="I35" s="356"/>
      <c r="J35" s="301"/>
      <c r="K35" s="301"/>
      <c r="L35" s="356"/>
      <c r="M35" s="301"/>
      <c r="N35" s="301"/>
      <c r="O35" s="356"/>
      <c r="P35" s="301"/>
      <c r="Q35" s="301"/>
    </row>
    <row r="36" spans="1:18" outlineLevel="3" x14ac:dyDescent="0.25">
      <c r="A36" s="295" t="s">
        <v>1810</v>
      </c>
      <c r="B36" s="376" t="s">
        <v>1763</v>
      </c>
      <c r="C36" s="354"/>
      <c r="D36" s="507"/>
      <c r="E36" s="507"/>
      <c r="F36" s="354"/>
      <c r="G36" s="507"/>
      <c r="H36" s="507"/>
      <c r="I36" s="354"/>
      <c r="J36" s="507"/>
      <c r="K36" s="507"/>
      <c r="L36" s="354"/>
      <c r="M36" s="507"/>
      <c r="N36" s="507">
        <f>SUM(N37)</f>
        <v>57100</v>
      </c>
      <c r="O36" s="354"/>
      <c r="P36" s="507"/>
      <c r="Q36" s="507">
        <f>SUM(Q37)</f>
        <v>57100</v>
      </c>
    </row>
    <row r="37" spans="1:18" outlineLevel="3" x14ac:dyDescent="0.25">
      <c r="A37" s="298"/>
      <c r="B37" s="299" t="s">
        <v>292</v>
      </c>
      <c r="C37" s="582"/>
      <c r="D37" s="235"/>
      <c r="E37" s="235"/>
      <c r="F37" s="582"/>
      <c r="G37" s="235"/>
      <c r="H37" s="235"/>
      <c r="I37" s="582"/>
      <c r="J37" s="235"/>
      <c r="K37" s="235"/>
      <c r="L37" s="582"/>
      <c r="M37" s="235"/>
      <c r="N37" s="235">
        <v>57100</v>
      </c>
      <c r="O37" s="582"/>
      <c r="P37" s="235"/>
      <c r="Q37" s="235">
        <v>57100</v>
      </c>
      <c r="R37" s="39">
        <f>+N37-K37</f>
        <v>57100</v>
      </c>
    </row>
    <row r="38" spans="1:18" outlineLevel="1" x14ac:dyDescent="0.25">
      <c r="A38" s="325" t="s">
        <v>318</v>
      </c>
      <c r="B38" s="326" t="s">
        <v>353</v>
      </c>
      <c r="C38" s="353">
        <v>0</v>
      </c>
      <c r="D38" s="327">
        <v>0</v>
      </c>
      <c r="E38" s="327">
        <v>0</v>
      </c>
      <c r="F38" s="353">
        <v>0</v>
      </c>
      <c r="G38" s="327">
        <v>0</v>
      </c>
      <c r="H38" s="327">
        <v>0</v>
      </c>
      <c r="I38" s="353">
        <v>0</v>
      </c>
      <c r="J38" s="327">
        <v>0</v>
      </c>
      <c r="K38" s="327">
        <v>0</v>
      </c>
      <c r="L38" s="353">
        <v>0</v>
      </c>
      <c r="M38" s="327">
        <v>0</v>
      </c>
      <c r="N38" s="327">
        <v>0</v>
      </c>
      <c r="O38" s="353">
        <v>0</v>
      </c>
      <c r="P38" s="327">
        <v>0</v>
      </c>
      <c r="Q38" s="327">
        <v>0</v>
      </c>
    </row>
    <row r="39" spans="1:18" x14ac:dyDescent="0.25">
      <c r="A39" s="322" t="s">
        <v>1426</v>
      </c>
      <c r="B39" s="323" t="s">
        <v>355</v>
      </c>
      <c r="C39" s="352">
        <f>+C40</f>
        <v>55</v>
      </c>
      <c r="D39" s="324">
        <v>0</v>
      </c>
      <c r="E39" s="324">
        <f>+E40+E55</f>
        <v>359572890</v>
      </c>
      <c r="F39" s="352">
        <f>+F40</f>
        <v>55</v>
      </c>
      <c r="G39" s="324">
        <v>0</v>
      </c>
      <c r="H39" s="324">
        <f>+H40+H55</f>
        <v>372247290</v>
      </c>
      <c r="I39" s="352">
        <f>+I40</f>
        <v>55</v>
      </c>
      <c r="J39" s="324">
        <v>0</v>
      </c>
      <c r="K39" s="324">
        <f>+K40+K55</f>
        <v>361801856</v>
      </c>
      <c r="L39" s="352">
        <f>+L40</f>
        <v>55</v>
      </c>
      <c r="M39" s="324">
        <v>0</v>
      </c>
      <c r="N39" s="324">
        <f>+N40+N55</f>
        <v>361801856</v>
      </c>
      <c r="O39" s="352">
        <f>+O40</f>
        <v>55</v>
      </c>
      <c r="P39" s="324">
        <v>0</v>
      </c>
      <c r="Q39" s="324">
        <f>+Q40+Q55</f>
        <v>341320452</v>
      </c>
      <c r="R39" s="39">
        <f t="shared" ref="R39:R47" si="2">+N39-K39</f>
        <v>0</v>
      </c>
    </row>
    <row r="40" spans="1:18" outlineLevel="1" x14ac:dyDescent="0.25">
      <c r="A40" s="325" t="s">
        <v>309</v>
      </c>
      <c r="B40" s="326" t="s">
        <v>348</v>
      </c>
      <c r="C40" s="353">
        <f>+C41</f>
        <v>55</v>
      </c>
      <c r="D40" s="327">
        <v>0</v>
      </c>
      <c r="E40" s="742">
        <f>+E41+E47</f>
        <v>359572890</v>
      </c>
      <c r="F40" s="353">
        <f>+F41</f>
        <v>55</v>
      </c>
      <c r="G40" s="327">
        <v>0</v>
      </c>
      <c r="H40" s="742">
        <f>+H41+H47</f>
        <v>372247290</v>
      </c>
      <c r="I40" s="353">
        <f>+I41</f>
        <v>55</v>
      </c>
      <c r="J40" s="327">
        <v>0</v>
      </c>
      <c r="K40" s="742">
        <f>+K41+K47</f>
        <v>361801856</v>
      </c>
      <c r="L40" s="353">
        <f>+L41</f>
        <v>55</v>
      </c>
      <c r="M40" s="327">
        <v>0</v>
      </c>
      <c r="N40" s="742">
        <f>+N41+N47+N52</f>
        <v>361801856</v>
      </c>
      <c r="O40" s="353">
        <f>+O41</f>
        <v>55</v>
      </c>
      <c r="P40" s="327">
        <v>0</v>
      </c>
      <c r="Q40" s="742">
        <f>+Q41+Q47+Q52</f>
        <v>341320452</v>
      </c>
      <c r="R40" s="39">
        <f t="shared" si="2"/>
        <v>0</v>
      </c>
    </row>
    <row r="41" spans="1:18" outlineLevel="2" x14ac:dyDescent="0.25">
      <c r="A41" s="295" t="s">
        <v>311</v>
      </c>
      <c r="B41" s="296" t="s">
        <v>349</v>
      </c>
      <c r="C41" s="354">
        <v>55</v>
      </c>
      <c r="D41" s="297">
        <v>0</v>
      </c>
      <c r="E41" s="377">
        <f>SUM(E42:E46)</f>
        <v>311808190</v>
      </c>
      <c r="F41" s="354">
        <v>55</v>
      </c>
      <c r="G41" s="507">
        <v>0</v>
      </c>
      <c r="H41" s="509">
        <f>SUM(H42:H46)</f>
        <v>324482590</v>
      </c>
      <c r="I41" s="354">
        <v>55</v>
      </c>
      <c r="J41" s="507">
        <v>0</v>
      </c>
      <c r="K41" s="509">
        <f>SUM(K42:K46)</f>
        <v>324482590</v>
      </c>
      <c r="L41" s="354">
        <v>55</v>
      </c>
      <c r="M41" s="507">
        <v>0</v>
      </c>
      <c r="N41" s="509">
        <f>SUM(N42:N46)</f>
        <v>324065779</v>
      </c>
      <c r="O41" s="354">
        <v>55</v>
      </c>
      <c r="P41" s="507">
        <v>0</v>
      </c>
      <c r="Q41" s="509">
        <f>SUM(Q42:Q46)</f>
        <v>303838203</v>
      </c>
      <c r="R41" s="39">
        <f t="shared" si="2"/>
        <v>-416811</v>
      </c>
    </row>
    <row r="42" spans="1:18" outlineLevel="3" x14ac:dyDescent="0.25">
      <c r="A42" s="298"/>
      <c r="B42" s="299" t="s">
        <v>286</v>
      </c>
      <c r="C42" s="355"/>
      <c r="D42" s="235"/>
      <c r="E42" s="379">
        <v>222046000</v>
      </c>
      <c r="F42" s="582"/>
      <c r="G42" s="235"/>
      <c r="H42" s="512">
        <f>222046000</f>
        <v>222046000</v>
      </c>
      <c r="I42" s="582"/>
      <c r="J42" s="235"/>
      <c r="K42" s="512">
        <f>222046000</f>
        <v>222046000</v>
      </c>
      <c r="L42" s="582"/>
      <c r="M42" s="235"/>
      <c r="N42" s="512">
        <f>222046000</f>
        <v>222046000</v>
      </c>
      <c r="O42" s="582"/>
      <c r="P42" s="235"/>
      <c r="Q42" s="512">
        <v>219156233</v>
      </c>
      <c r="R42" s="39">
        <f t="shared" si="2"/>
        <v>0</v>
      </c>
    </row>
    <row r="43" spans="1:18" outlineLevel="3" x14ac:dyDescent="0.25">
      <c r="A43" s="298"/>
      <c r="B43" s="299" t="s">
        <v>350</v>
      </c>
      <c r="C43" s="355"/>
      <c r="D43" s="235"/>
      <c r="E43" s="379">
        <v>46170290</v>
      </c>
      <c r="F43" s="582"/>
      <c r="G43" s="235"/>
      <c r="H43" s="512">
        <f>46170290</f>
        <v>46170290</v>
      </c>
      <c r="I43" s="582"/>
      <c r="J43" s="235"/>
      <c r="K43" s="512">
        <f>46170290</f>
        <v>46170290</v>
      </c>
      <c r="L43" s="582"/>
      <c r="M43" s="235"/>
      <c r="N43" s="512">
        <f>46170290</f>
        <v>46170290</v>
      </c>
      <c r="O43" s="582"/>
      <c r="P43" s="235"/>
      <c r="Q43" s="512">
        <v>40815023</v>
      </c>
      <c r="R43" s="39">
        <f t="shared" si="2"/>
        <v>0</v>
      </c>
    </row>
    <row r="44" spans="1:18" outlineLevel="3" x14ac:dyDescent="0.25">
      <c r="A44" s="298"/>
      <c r="B44" s="299" t="s">
        <v>292</v>
      </c>
      <c r="C44" s="355"/>
      <c r="D44" s="235"/>
      <c r="E44" s="379">
        <f>300000+5836000+1135000+450000+10600000+200000+3195000+860000+11084900+50000+8865000</f>
        <v>42575900</v>
      </c>
      <c r="F44" s="582"/>
      <c r="G44" s="235"/>
      <c r="H44" s="512">
        <f>300000+5836000+1135000+450000+10600000+200000+3195000+860000+11084900+50000+8865000+320295</f>
        <v>42896195</v>
      </c>
      <c r="I44" s="582"/>
      <c r="J44" s="235"/>
      <c r="K44" s="512">
        <f>300000+5836000+1135000+450000+10600000+200000+3195000+860000+11084900+50000+8865000+320295-46433-12537-831373-224471</f>
        <v>41781381</v>
      </c>
      <c r="L44" s="582"/>
      <c r="M44" s="235"/>
      <c r="N44" s="512">
        <f>78556133-N50-358321</f>
        <v>40878546</v>
      </c>
      <c r="O44" s="582"/>
      <c r="P44" s="235"/>
      <c r="Q44" s="512">
        <v>28897579</v>
      </c>
      <c r="R44" s="39">
        <f t="shared" si="2"/>
        <v>-902835</v>
      </c>
    </row>
    <row r="45" spans="1:18" outlineLevel="3" x14ac:dyDescent="0.25">
      <c r="A45" s="298"/>
      <c r="B45" s="299" t="s">
        <v>339</v>
      </c>
      <c r="C45" s="355"/>
      <c r="D45" s="235"/>
      <c r="E45" s="235"/>
      <c r="F45" s="582"/>
      <c r="G45" s="235"/>
      <c r="H45" s="235">
        <v>12354105</v>
      </c>
      <c r="I45" s="582"/>
      <c r="J45" s="235"/>
      <c r="K45" s="235">
        <v>12354105</v>
      </c>
      <c r="L45" s="582"/>
      <c r="M45" s="235"/>
      <c r="N45" s="235">
        <v>12354105</v>
      </c>
      <c r="O45" s="582"/>
      <c r="P45" s="235"/>
      <c r="Q45" s="235">
        <v>12354105</v>
      </c>
      <c r="R45" s="39">
        <f t="shared" si="2"/>
        <v>0</v>
      </c>
    </row>
    <row r="46" spans="1:18" outlineLevel="3" x14ac:dyDescent="0.25">
      <c r="A46" s="298"/>
      <c r="B46" s="299" t="s">
        <v>351</v>
      </c>
      <c r="C46" s="355"/>
      <c r="D46" s="235"/>
      <c r="E46" s="235">
        <v>1016000</v>
      </c>
      <c r="F46" s="582"/>
      <c r="G46" s="235"/>
      <c r="H46" s="235">
        <v>1016000</v>
      </c>
      <c r="I46" s="582"/>
      <c r="J46" s="235"/>
      <c r="K46" s="235">
        <f>1016000+46433+12537+831373+224471</f>
        <v>2130814</v>
      </c>
      <c r="L46" s="582"/>
      <c r="M46" s="235"/>
      <c r="N46" s="235">
        <f>2130814+544514-58490</f>
        <v>2616838</v>
      </c>
      <c r="O46" s="582"/>
      <c r="P46" s="235"/>
      <c r="Q46" s="235">
        <v>2615263</v>
      </c>
      <c r="R46" s="39">
        <f t="shared" si="2"/>
        <v>486024</v>
      </c>
    </row>
    <row r="47" spans="1:18" outlineLevel="2" x14ac:dyDescent="0.25">
      <c r="A47" s="295" t="s">
        <v>322</v>
      </c>
      <c r="B47" s="296" t="s">
        <v>352</v>
      </c>
      <c r="C47" s="354">
        <v>0</v>
      </c>
      <c r="D47" s="297">
        <v>0</v>
      </c>
      <c r="E47" s="297">
        <f>SUM(E48:E51)</f>
        <v>47764700</v>
      </c>
      <c r="F47" s="354">
        <v>0</v>
      </c>
      <c r="G47" s="507">
        <v>0</v>
      </c>
      <c r="H47" s="507">
        <f>SUM(H48:H51)</f>
        <v>47764700</v>
      </c>
      <c r="I47" s="354">
        <v>0</v>
      </c>
      <c r="J47" s="507">
        <v>0</v>
      </c>
      <c r="K47" s="507">
        <f>SUM(K48:K51)</f>
        <v>37319266</v>
      </c>
      <c r="L47" s="354">
        <v>0</v>
      </c>
      <c r="M47" s="507">
        <v>0</v>
      </c>
      <c r="N47" s="507">
        <f>SUM(N48:N51)</f>
        <v>37319266</v>
      </c>
      <c r="O47" s="354">
        <v>0</v>
      </c>
      <c r="P47" s="507">
        <v>0</v>
      </c>
      <c r="Q47" s="507">
        <f>SUM(Q48:Q51)</f>
        <v>37065438</v>
      </c>
      <c r="R47" s="39">
        <f t="shared" si="2"/>
        <v>0</v>
      </c>
    </row>
    <row r="48" spans="1:18" outlineLevel="3" x14ac:dyDescent="0.25">
      <c r="A48" s="298"/>
      <c r="B48" s="299" t="s">
        <v>286</v>
      </c>
      <c r="C48" s="355"/>
      <c r="D48" s="235"/>
      <c r="E48" s="235"/>
      <c r="F48" s="582"/>
      <c r="G48" s="235"/>
      <c r="H48" s="235"/>
      <c r="I48" s="582"/>
      <c r="J48" s="235"/>
      <c r="K48" s="235"/>
      <c r="L48" s="582"/>
      <c r="M48" s="235"/>
      <c r="N48" s="235"/>
      <c r="O48" s="582"/>
      <c r="P48" s="235"/>
      <c r="Q48" s="235"/>
    </row>
    <row r="49" spans="1:19" outlineLevel="3" x14ac:dyDescent="0.25">
      <c r="A49" s="298"/>
      <c r="B49" s="299" t="s">
        <v>350</v>
      </c>
      <c r="C49" s="355"/>
      <c r="D49" s="235"/>
      <c r="E49" s="235"/>
      <c r="F49" s="582"/>
      <c r="G49" s="235"/>
      <c r="H49" s="235"/>
      <c r="I49" s="582"/>
      <c r="J49" s="235"/>
      <c r="K49" s="235"/>
      <c r="L49" s="582"/>
      <c r="M49" s="235"/>
      <c r="N49" s="235"/>
      <c r="O49" s="582"/>
      <c r="P49" s="235"/>
      <c r="Q49" s="235"/>
    </row>
    <row r="50" spans="1:19" outlineLevel="3" x14ac:dyDescent="0.25">
      <c r="A50" s="298"/>
      <c r="B50" s="299" t="s">
        <v>292</v>
      </c>
      <c r="C50" s="355"/>
      <c r="D50" s="235"/>
      <c r="E50" s="235">
        <f>37610000+10154700</f>
        <v>47764700</v>
      </c>
      <c r="F50" s="582"/>
      <c r="G50" s="235"/>
      <c r="H50" s="235">
        <f>37610000+10154700</f>
        <v>47764700</v>
      </c>
      <c r="I50" s="582"/>
      <c r="J50" s="235"/>
      <c r="K50" s="235">
        <f>37610000+10154700-8224751-2220683</f>
        <v>37319266</v>
      </c>
      <c r="L50" s="582"/>
      <c r="M50" s="235"/>
      <c r="N50" s="235">
        <f>37610000+10154700-8224751-2220683</f>
        <v>37319266</v>
      </c>
      <c r="O50" s="582"/>
      <c r="P50" s="235"/>
      <c r="Q50" s="235">
        <v>37065438</v>
      </c>
      <c r="R50" s="39">
        <f t="shared" ref="R50:R54" si="3">+N50-K50</f>
        <v>0</v>
      </c>
    </row>
    <row r="51" spans="1:19" outlineLevel="3" x14ac:dyDescent="0.25">
      <c r="A51" s="298"/>
      <c r="B51" s="299" t="s">
        <v>351</v>
      </c>
      <c r="C51" s="355"/>
      <c r="D51" s="235"/>
      <c r="E51" s="235"/>
      <c r="F51" s="582"/>
      <c r="G51" s="235"/>
      <c r="H51" s="235"/>
      <c r="I51" s="582"/>
      <c r="J51" s="235"/>
      <c r="K51" s="235"/>
      <c r="L51" s="582"/>
      <c r="M51" s="235"/>
      <c r="N51" s="235"/>
      <c r="O51" s="582"/>
      <c r="P51" s="235"/>
      <c r="Q51" s="235"/>
      <c r="R51" s="39">
        <f t="shared" si="3"/>
        <v>0</v>
      </c>
    </row>
    <row r="52" spans="1:19" outlineLevel="3" x14ac:dyDescent="0.25">
      <c r="A52" s="295" t="s">
        <v>1810</v>
      </c>
      <c r="B52" s="376" t="s">
        <v>1763</v>
      </c>
      <c r="C52" s="354"/>
      <c r="D52" s="507"/>
      <c r="E52" s="507"/>
      <c r="F52" s="354"/>
      <c r="G52" s="507"/>
      <c r="H52" s="507"/>
      <c r="I52" s="354"/>
      <c r="J52" s="507"/>
      <c r="K52" s="507"/>
      <c r="L52" s="354"/>
      <c r="M52" s="507"/>
      <c r="N52" s="507">
        <f>SUM(N53:N54)</f>
        <v>416811</v>
      </c>
      <c r="O52" s="354"/>
      <c r="P52" s="507"/>
      <c r="Q52" s="507">
        <f>SUM(Q53:Q54)</f>
        <v>416811</v>
      </c>
      <c r="R52" s="39">
        <f t="shared" si="3"/>
        <v>416811</v>
      </c>
    </row>
    <row r="53" spans="1:19" outlineLevel="3" x14ac:dyDescent="0.25">
      <c r="A53" s="298"/>
      <c r="B53" s="299" t="s">
        <v>292</v>
      </c>
      <c r="C53" s="582"/>
      <c r="D53" s="235"/>
      <c r="E53" s="235"/>
      <c r="F53" s="582"/>
      <c r="G53" s="235"/>
      <c r="H53" s="235"/>
      <c r="I53" s="582"/>
      <c r="J53" s="235"/>
      <c r="K53" s="235"/>
      <c r="L53" s="582"/>
      <c r="M53" s="235"/>
      <c r="N53" s="235">
        <v>358321</v>
      </c>
      <c r="O53" s="582"/>
      <c r="P53" s="235"/>
      <c r="Q53" s="235">
        <v>358321</v>
      </c>
      <c r="R53" s="39">
        <f t="shared" si="3"/>
        <v>358321</v>
      </c>
    </row>
    <row r="54" spans="1:19" outlineLevel="3" x14ac:dyDescent="0.25">
      <c r="A54" s="298"/>
      <c r="B54" s="299" t="s">
        <v>351</v>
      </c>
      <c r="C54" s="582"/>
      <c r="D54" s="235"/>
      <c r="E54" s="235"/>
      <c r="F54" s="582"/>
      <c r="G54" s="235"/>
      <c r="H54" s="235"/>
      <c r="I54" s="582"/>
      <c r="J54" s="235"/>
      <c r="K54" s="235"/>
      <c r="L54" s="582"/>
      <c r="M54" s="235"/>
      <c r="N54" s="235">
        <v>58490</v>
      </c>
      <c r="O54" s="582"/>
      <c r="P54" s="235"/>
      <c r="Q54" s="235">
        <v>58490</v>
      </c>
      <c r="R54" s="39">
        <f t="shared" si="3"/>
        <v>58490</v>
      </c>
    </row>
    <row r="55" spans="1:19" outlineLevel="1" x14ac:dyDescent="0.25">
      <c r="A55" s="325" t="s">
        <v>318</v>
      </c>
      <c r="B55" s="326" t="s">
        <v>353</v>
      </c>
      <c r="C55" s="353">
        <v>0</v>
      </c>
      <c r="D55" s="327">
        <v>0</v>
      </c>
      <c r="E55" s="327">
        <v>0</v>
      </c>
      <c r="F55" s="353">
        <v>0</v>
      </c>
      <c r="G55" s="327">
        <v>0</v>
      </c>
      <c r="H55" s="327">
        <v>0</v>
      </c>
      <c r="I55" s="353">
        <v>0</v>
      </c>
      <c r="J55" s="327">
        <v>0</v>
      </c>
      <c r="K55" s="327">
        <v>0</v>
      </c>
      <c r="L55" s="353">
        <v>0</v>
      </c>
      <c r="M55" s="327">
        <v>0</v>
      </c>
      <c r="N55" s="327">
        <v>0</v>
      </c>
      <c r="O55" s="353">
        <v>0</v>
      </c>
      <c r="P55" s="327">
        <v>0</v>
      </c>
      <c r="Q55" s="327">
        <v>0</v>
      </c>
    </row>
    <row r="56" spans="1:19" x14ac:dyDescent="0.25">
      <c r="A56" s="322" t="s">
        <v>1427</v>
      </c>
      <c r="B56" s="323" t="s">
        <v>356</v>
      </c>
      <c r="C56" s="352">
        <v>17</v>
      </c>
      <c r="D56" s="324">
        <v>0</v>
      </c>
      <c r="E56" s="324">
        <f>+E57+E80</f>
        <v>257914160</v>
      </c>
      <c r="F56" s="352">
        <v>17</v>
      </c>
      <c r="G56" s="324">
        <v>0</v>
      </c>
      <c r="H56" s="324">
        <f>+H57+H80</f>
        <v>263149175</v>
      </c>
      <c r="I56" s="352">
        <v>17</v>
      </c>
      <c r="J56" s="324">
        <v>0</v>
      </c>
      <c r="K56" s="324">
        <f>+K57+K80</f>
        <v>263333975</v>
      </c>
      <c r="L56" s="352">
        <v>17</v>
      </c>
      <c r="M56" s="324">
        <v>0</v>
      </c>
      <c r="N56" s="324">
        <f>+N57+N81</f>
        <v>266183975</v>
      </c>
      <c r="O56" s="352">
        <v>17</v>
      </c>
      <c r="P56" s="324">
        <v>0</v>
      </c>
      <c r="Q56" s="324">
        <f>+Q57+Q80</f>
        <v>221103189</v>
      </c>
      <c r="R56" s="39">
        <f>+N56-K56</f>
        <v>2850000</v>
      </c>
    </row>
    <row r="57" spans="1:19" outlineLevel="1" x14ac:dyDescent="0.25">
      <c r="A57" s="325" t="s">
        <v>309</v>
      </c>
      <c r="B57" s="326" t="s">
        <v>348</v>
      </c>
      <c r="C57" s="353">
        <v>17</v>
      </c>
      <c r="D57" s="327">
        <v>0</v>
      </c>
      <c r="E57" s="742">
        <f>+E58+E65+E72</f>
        <v>257914160</v>
      </c>
      <c r="F57" s="353">
        <v>17</v>
      </c>
      <c r="G57" s="327">
        <v>0</v>
      </c>
      <c r="H57" s="742">
        <f>+H58+H65+H72</f>
        <v>263149175</v>
      </c>
      <c r="I57" s="353">
        <v>17</v>
      </c>
      <c r="J57" s="327">
        <v>0</v>
      </c>
      <c r="K57" s="742">
        <f>+K58+K65+K72</f>
        <v>263333975</v>
      </c>
      <c r="L57" s="353">
        <v>17</v>
      </c>
      <c r="M57" s="327">
        <v>0</v>
      </c>
      <c r="N57" s="742">
        <f>+N58+N65+N72+N77</f>
        <v>266183975</v>
      </c>
      <c r="O57" s="353">
        <v>17</v>
      </c>
      <c r="P57" s="327">
        <v>0</v>
      </c>
      <c r="Q57" s="742">
        <f>+Q58+Q65+Q72+Q77</f>
        <v>221103189</v>
      </c>
      <c r="R57" s="39">
        <f t="shared" ref="R57:R62" si="4">+N57-K57</f>
        <v>2850000</v>
      </c>
      <c r="S57" s="39">
        <f>+R57-410000</f>
        <v>2440000</v>
      </c>
    </row>
    <row r="58" spans="1:19" outlineLevel="2" x14ac:dyDescent="0.25">
      <c r="A58" s="295" t="s">
        <v>311</v>
      </c>
      <c r="B58" s="296" t="s">
        <v>357</v>
      </c>
      <c r="C58" s="354">
        <v>17</v>
      </c>
      <c r="D58" s="297">
        <v>0</v>
      </c>
      <c r="E58" s="297">
        <f>SUM(E59:E64)</f>
        <v>65711310</v>
      </c>
      <c r="F58" s="354">
        <v>17</v>
      </c>
      <c r="G58" s="507">
        <v>0</v>
      </c>
      <c r="H58" s="507">
        <f>SUM(H59:H64)</f>
        <v>68524807</v>
      </c>
      <c r="I58" s="354">
        <v>17</v>
      </c>
      <c r="J58" s="507">
        <v>0</v>
      </c>
      <c r="K58" s="507">
        <f>SUM(K59:K64)</f>
        <v>68709607</v>
      </c>
      <c r="L58" s="354">
        <v>17</v>
      </c>
      <c r="M58" s="507">
        <v>0</v>
      </c>
      <c r="N58" s="507">
        <f>SUM(N59:N64)</f>
        <v>65991310</v>
      </c>
      <c r="O58" s="354">
        <v>17</v>
      </c>
      <c r="P58" s="507">
        <v>0</v>
      </c>
      <c r="Q58" s="507">
        <f>SUM(Q59:Q64)</f>
        <v>51319210</v>
      </c>
      <c r="R58" s="39">
        <f t="shared" si="4"/>
        <v>-2718297</v>
      </c>
    </row>
    <row r="59" spans="1:19" outlineLevel="3" x14ac:dyDescent="0.25">
      <c r="A59" s="298"/>
      <c r="B59" s="299" t="s">
        <v>286</v>
      </c>
      <c r="C59" s="355">
        <v>4</v>
      </c>
      <c r="D59" s="235"/>
      <c r="E59" s="235">
        <v>28226000</v>
      </c>
      <c r="F59" s="582">
        <v>4</v>
      </c>
      <c r="G59" s="235"/>
      <c r="H59" s="235">
        <f>28226000</f>
        <v>28226000</v>
      </c>
      <c r="I59" s="582">
        <v>4</v>
      </c>
      <c r="J59" s="235"/>
      <c r="K59" s="235">
        <f>28226000</f>
        <v>28226000</v>
      </c>
      <c r="L59" s="582">
        <v>4</v>
      </c>
      <c r="M59" s="235"/>
      <c r="N59" s="235">
        <f>28226000</f>
        <v>28226000</v>
      </c>
      <c r="O59" s="582">
        <v>4</v>
      </c>
      <c r="P59" s="235"/>
      <c r="Q59" s="235">
        <v>27126834</v>
      </c>
      <c r="R59" s="39">
        <f t="shared" si="4"/>
        <v>0</v>
      </c>
    </row>
    <row r="60" spans="1:19" outlineLevel="3" x14ac:dyDescent="0.25">
      <c r="A60" s="298"/>
      <c r="B60" s="299" t="s">
        <v>350</v>
      </c>
      <c r="C60" s="355"/>
      <c r="D60" s="235"/>
      <c r="E60" s="235">
        <v>5675310</v>
      </c>
      <c r="F60" s="582"/>
      <c r="G60" s="235"/>
      <c r="H60" s="235">
        <f>5675310</f>
        <v>5675310</v>
      </c>
      <c r="I60" s="582"/>
      <c r="J60" s="235"/>
      <c r="K60" s="235">
        <f>5675310</f>
        <v>5675310</v>
      </c>
      <c r="L60" s="582"/>
      <c r="M60" s="235"/>
      <c r="N60" s="235">
        <f>5675310</f>
        <v>5675310</v>
      </c>
      <c r="O60" s="582"/>
      <c r="P60" s="235"/>
      <c r="Q60" s="235">
        <v>4293547</v>
      </c>
      <c r="R60" s="39">
        <f t="shared" si="4"/>
        <v>0</v>
      </c>
    </row>
    <row r="61" spans="1:19" outlineLevel="3" x14ac:dyDescent="0.25">
      <c r="A61" s="298"/>
      <c r="B61" s="299" t="s">
        <v>292</v>
      </c>
      <c r="C61" s="355"/>
      <c r="D61" s="235"/>
      <c r="E61" s="235">
        <f>900000+580000+80000+250000+20100000+1230000+4000000+4000000+670000</f>
        <v>31810000</v>
      </c>
      <c r="F61" s="582"/>
      <c r="G61" s="235"/>
      <c r="H61" s="235">
        <f>900000+580000+80000+250000+20100000+1230000+4000000+4000000+670000</f>
        <v>31810000</v>
      </c>
      <c r="I61" s="582"/>
      <c r="J61" s="235"/>
      <c r="K61" s="235">
        <f>900000+580000+80000+250000+20100000+1230000+4000000+4000000+670000+220000+60000-95200</f>
        <v>31994800</v>
      </c>
      <c r="L61" s="582"/>
      <c r="M61" s="235"/>
      <c r="N61" s="235">
        <f>900000+580000+80000+250000+20100000+1230000+4000000+4000000+670000+220000+60000-95200</f>
        <v>31994800</v>
      </c>
      <c r="O61" s="582"/>
      <c r="P61" s="235"/>
      <c r="Q61" s="235">
        <v>19803629</v>
      </c>
      <c r="R61" s="39">
        <f t="shared" si="4"/>
        <v>0</v>
      </c>
    </row>
    <row r="62" spans="1:19" outlineLevel="3" x14ac:dyDescent="0.25">
      <c r="A62" s="298"/>
      <c r="B62" s="299" t="s">
        <v>339</v>
      </c>
      <c r="C62" s="355"/>
      <c r="D62" s="235"/>
      <c r="E62" s="235"/>
      <c r="F62" s="582"/>
      <c r="G62" s="235"/>
      <c r="H62" s="235">
        <f>2718297+95200</f>
        <v>2813497</v>
      </c>
      <c r="I62" s="582"/>
      <c r="J62" s="235"/>
      <c r="K62" s="235">
        <f>2718297+95200</f>
        <v>2813497</v>
      </c>
      <c r="L62" s="582"/>
      <c r="M62" s="235"/>
      <c r="N62" s="235">
        <f>2718297+95200-2718297</f>
        <v>95200</v>
      </c>
      <c r="O62" s="582"/>
      <c r="P62" s="235"/>
      <c r="Q62" s="235">
        <v>95200</v>
      </c>
      <c r="R62" s="39">
        <f t="shared" si="4"/>
        <v>-2718297</v>
      </c>
    </row>
    <row r="63" spans="1:19" s="46" customFormat="1" outlineLevel="3" x14ac:dyDescent="0.25">
      <c r="A63" s="298"/>
      <c r="B63" s="299" t="s">
        <v>351</v>
      </c>
      <c r="C63" s="355"/>
      <c r="D63" s="235"/>
      <c r="E63" s="235"/>
      <c r="F63" s="582"/>
      <c r="G63" s="235"/>
      <c r="H63" s="235"/>
      <c r="I63" s="582"/>
      <c r="J63" s="235"/>
      <c r="K63" s="235"/>
      <c r="L63" s="582"/>
      <c r="M63" s="235"/>
      <c r="N63" s="235"/>
      <c r="O63" s="582"/>
      <c r="P63" s="235"/>
      <c r="Q63" s="235"/>
    </row>
    <row r="64" spans="1:19" s="46" customFormat="1" outlineLevel="3" x14ac:dyDescent="0.25">
      <c r="A64" s="298"/>
      <c r="B64" s="299" t="s">
        <v>342</v>
      </c>
      <c r="C64" s="355"/>
      <c r="D64" s="235"/>
      <c r="E64" s="235"/>
      <c r="F64" s="582"/>
      <c r="G64" s="235"/>
      <c r="H64" s="235"/>
      <c r="I64" s="582"/>
      <c r="J64" s="235"/>
      <c r="K64" s="235"/>
      <c r="L64" s="582"/>
      <c r="M64" s="235"/>
      <c r="N64" s="235"/>
      <c r="O64" s="582"/>
      <c r="P64" s="235"/>
      <c r="Q64" s="235"/>
    </row>
    <row r="65" spans="1:18" outlineLevel="2" x14ac:dyDescent="0.25">
      <c r="A65" s="295" t="s">
        <v>322</v>
      </c>
      <c r="B65" s="296" t="s">
        <v>358</v>
      </c>
      <c r="C65" s="354">
        <v>0</v>
      </c>
      <c r="D65" s="297">
        <v>0</v>
      </c>
      <c r="E65" s="297">
        <f>SUM(E66:E70)</f>
        <v>189916850</v>
      </c>
      <c r="F65" s="354">
        <v>0</v>
      </c>
      <c r="G65" s="507">
        <v>0</v>
      </c>
      <c r="H65" s="507">
        <f>SUM(H66:H70)</f>
        <v>192338368</v>
      </c>
      <c r="I65" s="354">
        <v>0</v>
      </c>
      <c r="J65" s="507">
        <v>0</v>
      </c>
      <c r="K65" s="507">
        <f>SUM(K66:K70)</f>
        <v>192338368</v>
      </c>
      <c r="L65" s="354">
        <v>0</v>
      </c>
      <c r="M65" s="507">
        <v>0</v>
      </c>
      <c r="N65" s="507">
        <f>SUM(N66:N71)</f>
        <v>197851551</v>
      </c>
      <c r="O65" s="354">
        <v>0</v>
      </c>
      <c r="P65" s="507">
        <v>0</v>
      </c>
      <c r="Q65" s="507">
        <f>SUM(Q66:Q70)</f>
        <v>169728865</v>
      </c>
      <c r="R65" s="39">
        <f t="shared" ref="R65:R72" si="5">+N65-K65</f>
        <v>5513183</v>
      </c>
    </row>
    <row r="66" spans="1:18" outlineLevel="3" x14ac:dyDescent="0.25">
      <c r="A66" s="298"/>
      <c r="B66" s="299" t="s">
        <v>286</v>
      </c>
      <c r="C66" s="355">
        <v>13</v>
      </c>
      <c r="D66" s="235"/>
      <c r="E66" s="235">
        <v>55628000</v>
      </c>
      <c r="F66" s="582">
        <v>13</v>
      </c>
      <c r="G66" s="235"/>
      <c r="H66" s="235">
        <f>55628000</f>
        <v>55628000</v>
      </c>
      <c r="I66" s="582">
        <v>13</v>
      </c>
      <c r="J66" s="235"/>
      <c r="K66" s="235">
        <f>55628000</f>
        <v>55628000</v>
      </c>
      <c r="L66" s="582">
        <v>13</v>
      </c>
      <c r="M66" s="235"/>
      <c r="N66" s="235">
        <f>55628000+410000</f>
        <v>56038000</v>
      </c>
      <c r="O66" s="582">
        <v>13</v>
      </c>
      <c r="P66" s="235"/>
      <c r="Q66" s="235">
        <v>55132522</v>
      </c>
      <c r="R66" s="39">
        <f t="shared" si="5"/>
        <v>410000</v>
      </c>
    </row>
    <row r="67" spans="1:18" s="46" customFormat="1" outlineLevel="3" x14ac:dyDescent="0.25">
      <c r="A67" s="298"/>
      <c r="B67" s="299" t="s">
        <v>350</v>
      </c>
      <c r="C67" s="355"/>
      <c r="D67" s="235"/>
      <c r="E67" s="235">
        <v>10657850</v>
      </c>
      <c r="F67" s="582"/>
      <c r="G67" s="235"/>
      <c r="H67" s="235">
        <f>10657850</f>
        <v>10657850</v>
      </c>
      <c r="I67" s="582"/>
      <c r="J67" s="235"/>
      <c r="K67" s="235">
        <f>10657850</f>
        <v>10657850</v>
      </c>
      <c r="L67" s="582"/>
      <c r="M67" s="235"/>
      <c r="N67" s="235">
        <f>10657850</f>
        <v>10657850</v>
      </c>
      <c r="O67" s="582"/>
      <c r="P67" s="235"/>
      <c r="Q67" s="235">
        <v>7489767</v>
      </c>
      <c r="R67" s="39">
        <f t="shared" si="5"/>
        <v>0</v>
      </c>
    </row>
    <row r="68" spans="1:18" outlineLevel="3" x14ac:dyDescent="0.25">
      <c r="A68" s="298"/>
      <c r="B68" s="299" t="s">
        <v>292</v>
      </c>
      <c r="C68" s="355"/>
      <c r="D68" s="235"/>
      <c r="E68" s="379">
        <f>80000+4800000+1580000+80000+14500000+345000+37897000+1670000+250000+32250000+100000+24809000+4000000</f>
        <v>122361000</v>
      </c>
      <c r="F68" s="582"/>
      <c r="G68" s="235"/>
      <c r="H68" s="512">
        <f>80000+4800000+1580000+80000+14500000+345000+37897000+1670000+250000+32250000+100000+24809000+4000000+2418518+3000</f>
        <v>124782518</v>
      </c>
      <c r="I68" s="582"/>
      <c r="J68" s="235"/>
      <c r="K68" s="512">
        <f>80000+4800000+1580000+80000+14500000+345000+37897000+1670000+250000+32250000+100000+24809000+4000000+2418518+3000</f>
        <v>124782518</v>
      </c>
      <c r="L68" s="582"/>
      <c r="M68" s="235"/>
      <c r="N68" s="512">
        <f>124782518-14413891-38096</f>
        <v>110330531</v>
      </c>
      <c r="O68" s="582"/>
      <c r="P68" s="235"/>
      <c r="Q68" s="512">
        <v>102185616</v>
      </c>
      <c r="R68" s="39">
        <f t="shared" si="5"/>
        <v>-14451987</v>
      </c>
    </row>
    <row r="69" spans="1:18" outlineLevel="3" x14ac:dyDescent="0.25">
      <c r="A69" s="298"/>
      <c r="B69" s="299" t="s">
        <v>339</v>
      </c>
      <c r="C69" s="582"/>
      <c r="D69" s="235"/>
      <c r="E69" s="512"/>
      <c r="F69" s="582"/>
      <c r="G69" s="235"/>
      <c r="H69" s="512"/>
      <c r="I69" s="582"/>
      <c r="J69" s="235"/>
      <c r="K69" s="512"/>
      <c r="L69" s="582"/>
      <c r="M69" s="235"/>
      <c r="N69" s="512">
        <v>2718297</v>
      </c>
      <c r="O69" s="582"/>
      <c r="P69" s="235"/>
      <c r="Q69" s="512">
        <v>2718297</v>
      </c>
      <c r="R69" s="39">
        <f t="shared" si="5"/>
        <v>2718297</v>
      </c>
    </row>
    <row r="70" spans="1:18" outlineLevel="3" x14ac:dyDescent="0.25">
      <c r="A70" s="298"/>
      <c r="B70" s="299" t="s">
        <v>351</v>
      </c>
      <c r="C70" s="355"/>
      <c r="D70" s="235"/>
      <c r="E70" s="379">
        <v>1270000</v>
      </c>
      <c r="F70" s="582"/>
      <c r="G70" s="235"/>
      <c r="H70" s="512">
        <v>1270000</v>
      </c>
      <c r="I70" s="582"/>
      <c r="J70" s="235"/>
      <c r="K70" s="512">
        <v>1270000</v>
      </c>
      <c r="L70" s="582"/>
      <c r="M70" s="235"/>
      <c r="N70" s="512">
        <f>1270000+2471141-17018</f>
        <v>3724123</v>
      </c>
      <c r="O70" s="582"/>
      <c r="P70" s="235"/>
      <c r="Q70" s="512">
        <v>2202663</v>
      </c>
      <c r="R70" s="39">
        <f t="shared" si="5"/>
        <v>2454123</v>
      </c>
    </row>
    <row r="71" spans="1:18" outlineLevel="3" x14ac:dyDescent="0.25">
      <c r="A71" s="298"/>
      <c r="B71" s="299" t="s">
        <v>342</v>
      </c>
      <c r="C71" s="582"/>
      <c r="D71" s="235"/>
      <c r="E71" s="512"/>
      <c r="F71" s="582"/>
      <c r="G71" s="235"/>
      <c r="H71" s="512"/>
      <c r="I71" s="582"/>
      <c r="J71" s="235"/>
      <c r="K71" s="512"/>
      <c r="L71" s="582"/>
      <c r="M71" s="235"/>
      <c r="N71" s="512">
        <v>14382750</v>
      </c>
      <c r="O71" s="582"/>
      <c r="P71" s="235"/>
      <c r="Q71" s="512"/>
      <c r="R71" s="39">
        <f t="shared" si="5"/>
        <v>14382750</v>
      </c>
    </row>
    <row r="72" spans="1:18" outlineLevel="2" x14ac:dyDescent="0.25">
      <c r="A72" s="295" t="s">
        <v>315</v>
      </c>
      <c r="B72" s="296" t="s">
        <v>602</v>
      </c>
      <c r="C72" s="354">
        <v>0</v>
      </c>
      <c r="D72" s="297">
        <v>0</v>
      </c>
      <c r="E72" s="297">
        <f>SUM(E73:E76)</f>
        <v>2286000</v>
      </c>
      <c r="F72" s="354">
        <v>0</v>
      </c>
      <c r="G72" s="507">
        <v>0</v>
      </c>
      <c r="H72" s="507">
        <f>SUM(H73:H76)</f>
        <v>2286000</v>
      </c>
      <c r="I72" s="354">
        <v>0</v>
      </c>
      <c r="J72" s="507">
        <v>0</v>
      </c>
      <c r="K72" s="507">
        <f>SUM(K73:K76)</f>
        <v>2286000</v>
      </c>
      <c r="L72" s="354">
        <v>0</v>
      </c>
      <c r="M72" s="507">
        <v>0</v>
      </c>
      <c r="N72" s="507">
        <f>SUM(N73:N76)</f>
        <v>2286000</v>
      </c>
      <c r="O72" s="354">
        <v>0</v>
      </c>
      <c r="P72" s="507">
        <v>0</v>
      </c>
      <c r="Q72" s="507">
        <f>SUM(Q73:Q76)</f>
        <v>0</v>
      </c>
      <c r="R72" s="39">
        <f t="shared" si="5"/>
        <v>0</v>
      </c>
    </row>
    <row r="73" spans="1:18" outlineLevel="3" x14ac:dyDescent="0.25">
      <c r="A73" s="298"/>
      <c r="B73" s="299" t="s">
        <v>286</v>
      </c>
      <c r="C73" s="355"/>
      <c r="D73" s="235"/>
      <c r="E73" s="235"/>
      <c r="F73" s="582"/>
      <c r="G73" s="235"/>
      <c r="H73" s="235"/>
      <c r="I73" s="582"/>
      <c r="J73" s="235"/>
      <c r="K73" s="235"/>
      <c r="L73" s="582"/>
      <c r="M73" s="235"/>
      <c r="N73" s="235"/>
      <c r="O73" s="582"/>
      <c r="P73" s="235"/>
      <c r="Q73" s="235"/>
    </row>
    <row r="74" spans="1:18" outlineLevel="3" x14ac:dyDescent="0.25">
      <c r="A74" s="298"/>
      <c r="B74" s="299" t="s">
        <v>350</v>
      </c>
      <c r="C74" s="355"/>
      <c r="D74" s="235"/>
      <c r="E74" s="235"/>
      <c r="F74" s="582"/>
      <c r="G74" s="235"/>
      <c r="H74" s="235"/>
      <c r="I74" s="582"/>
      <c r="J74" s="235"/>
      <c r="K74" s="235"/>
      <c r="L74" s="582"/>
      <c r="M74" s="235"/>
      <c r="N74" s="235"/>
      <c r="O74" s="582"/>
      <c r="P74" s="235"/>
      <c r="Q74" s="235"/>
    </row>
    <row r="75" spans="1:18" outlineLevel="3" x14ac:dyDescent="0.25">
      <c r="A75" s="298"/>
      <c r="B75" s="299" t="s">
        <v>292</v>
      </c>
      <c r="C75" s="355"/>
      <c r="D75" s="235"/>
      <c r="E75" s="379">
        <f>1800000+486000</f>
        <v>2286000</v>
      </c>
      <c r="F75" s="582"/>
      <c r="G75" s="235"/>
      <c r="H75" s="512">
        <f>1800000+486000</f>
        <v>2286000</v>
      </c>
      <c r="I75" s="582"/>
      <c r="J75" s="235"/>
      <c r="K75" s="512">
        <f>1800000+486000</f>
        <v>2286000</v>
      </c>
      <c r="L75" s="582"/>
      <c r="M75" s="235"/>
      <c r="N75" s="512">
        <f>1800000+486000</f>
        <v>2286000</v>
      </c>
      <c r="O75" s="582"/>
      <c r="P75" s="235"/>
      <c r="Q75" s="512"/>
      <c r="R75" s="39">
        <f t="shared" ref="R75:R79" si="6">+N75-K75</f>
        <v>0</v>
      </c>
    </row>
    <row r="76" spans="1:18" outlineLevel="3" x14ac:dyDescent="0.25">
      <c r="A76" s="298"/>
      <c r="B76" s="299" t="s">
        <v>351</v>
      </c>
      <c r="C76" s="355"/>
      <c r="D76" s="235"/>
      <c r="E76" s="235"/>
      <c r="F76" s="582"/>
      <c r="G76" s="235"/>
      <c r="H76" s="235"/>
      <c r="I76" s="582"/>
      <c r="J76" s="235"/>
      <c r="K76" s="235"/>
      <c r="L76" s="582"/>
      <c r="M76" s="235"/>
      <c r="N76" s="235"/>
      <c r="O76" s="582"/>
      <c r="P76" s="235"/>
      <c r="Q76" s="235"/>
      <c r="R76" s="39">
        <f t="shared" si="6"/>
        <v>0</v>
      </c>
    </row>
    <row r="77" spans="1:18" s="46" customFormat="1" outlineLevel="3" x14ac:dyDescent="0.25">
      <c r="A77" s="295" t="s">
        <v>336</v>
      </c>
      <c r="B77" s="376" t="s">
        <v>1763</v>
      </c>
      <c r="C77" s="354"/>
      <c r="D77" s="507"/>
      <c r="E77" s="507"/>
      <c r="F77" s="354"/>
      <c r="G77" s="507"/>
      <c r="H77" s="507"/>
      <c r="I77" s="354"/>
      <c r="J77" s="507"/>
      <c r="K77" s="507"/>
      <c r="L77" s="354"/>
      <c r="M77" s="507"/>
      <c r="N77" s="507">
        <f>SUM(N78:N79)</f>
        <v>55114</v>
      </c>
      <c r="O77" s="354"/>
      <c r="P77" s="507"/>
      <c r="Q77" s="507">
        <f>SUM(Q78:Q79)</f>
        <v>55114</v>
      </c>
      <c r="R77" s="39">
        <f t="shared" si="6"/>
        <v>55114</v>
      </c>
    </row>
    <row r="78" spans="1:18" outlineLevel="3" x14ac:dyDescent="0.25">
      <c r="A78" s="298"/>
      <c r="B78" s="299" t="s">
        <v>292</v>
      </c>
      <c r="C78" s="582"/>
      <c r="D78" s="235"/>
      <c r="E78" s="235"/>
      <c r="F78" s="582"/>
      <c r="G78" s="235"/>
      <c r="H78" s="235"/>
      <c r="I78" s="582"/>
      <c r="J78" s="235"/>
      <c r="K78" s="235"/>
      <c r="L78" s="582"/>
      <c r="M78" s="235"/>
      <c r="N78" s="693">
        <v>38096</v>
      </c>
      <c r="O78" s="582"/>
      <c r="P78" s="235"/>
      <c r="Q78" s="235">
        <v>38096</v>
      </c>
      <c r="R78" s="39">
        <f t="shared" si="6"/>
        <v>38096</v>
      </c>
    </row>
    <row r="79" spans="1:18" outlineLevel="3" x14ac:dyDescent="0.25">
      <c r="A79" s="298"/>
      <c r="B79" s="299" t="s">
        <v>351</v>
      </c>
      <c r="C79" s="582"/>
      <c r="D79" s="235"/>
      <c r="E79" s="235"/>
      <c r="F79" s="582"/>
      <c r="G79" s="235"/>
      <c r="H79" s="235"/>
      <c r="I79" s="582"/>
      <c r="J79" s="235"/>
      <c r="K79" s="235"/>
      <c r="L79" s="582"/>
      <c r="M79" s="235"/>
      <c r="N79" s="235">
        <v>17018</v>
      </c>
      <c r="O79" s="582"/>
      <c r="P79" s="235"/>
      <c r="Q79" s="235">
        <v>17018</v>
      </c>
      <c r="R79" s="39">
        <f t="shared" si="6"/>
        <v>17018</v>
      </c>
    </row>
    <row r="80" spans="1:18" outlineLevel="1" x14ac:dyDescent="0.25">
      <c r="A80" s="325" t="s">
        <v>318</v>
      </c>
      <c r="B80" s="326" t="s">
        <v>353</v>
      </c>
      <c r="C80" s="353">
        <v>0</v>
      </c>
      <c r="D80" s="327">
        <v>0</v>
      </c>
      <c r="E80" s="327">
        <f>+E81</f>
        <v>0</v>
      </c>
      <c r="F80" s="353">
        <v>0</v>
      </c>
      <c r="G80" s="327">
        <v>0</v>
      </c>
      <c r="H80" s="327">
        <f>+H81</f>
        <v>0</v>
      </c>
      <c r="I80" s="353">
        <v>0</v>
      </c>
      <c r="J80" s="327">
        <v>0</v>
      </c>
      <c r="K80" s="327">
        <f>+K81</f>
        <v>0</v>
      </c>
      <c r="L80" s="353">
        <v>0</v>
      </c>
      <c r="M80" s="327">
        <v>0</v>
      </c>
      <c r="N80" s="235"/>
      <c r="O80" s="353">
        <v>0</v>
      </c>
      <c r="P80" s="327">
        <v>0</v>
      </c>
      <c r="Q80" s="327">
        <f>+Q81</f>
        <v>0</v>
      </c>
    </row>
    <row r="81" spans="1:18" collapsed="1" x14ac:dyDescent="0.25">
      <c r="A81" s="295" t="s">
        <v>311</v>
      </c>
      <c r="B81" s="296" t="s">
        <v>1637</v>
      </c>
      <c r="C81" s="354">
        <v>0</v>
      </c>
      <c r="D81" s="297">
        <v>0</v>
      </c>
      <c r="E81" s="297">
        <f>SUM(E82:E85)</f>
        <v>0</v>
      </c>
      <c r="F81" s="354">
        <v>0</v>
      </c>
      <c r="G81" s="507">
        <v>0</v>
      </c>
      <c r="H81" s="507">
        <f>SUM(H82:H85)</f>
        <v>0</v>
      </c>
      <c r="I81" s="354">
        <v>0</v>
      </c>
      <c r="J81" s="507">
        <v>0</v>
      </c>
      <c r="K81" s="507">
        <f>SUM(K82:K85)</f>
        <v>0</v>
      </c>
      <c r="L81" s="354">
        <v>0</v>
      </c>
      <c r="M81" s="507">
        <v>0</v>
      </c>
      <c r="N81" s="327">
        <f>+N82</f>
        <v>0</v>
      </c>
      <c r="O81" s="354">
        <v>0</v>
      </c>
      <c r="P81" s="507">
        <v>0</v>
      </c>
      <c r="Q81" s="507">
        <f>SUM(Q82:Q85)</f>
        <v>0</v>
      </c>
    </row>
    <row r="82" spans="1:18" ht="15" hidden="1" customHeight="1" outlineLevel="1" x14ac:dyDescent="0.25">
      <c r="A82" s="325"/>
      <c r="B82" s="328" t="s">
        <v>286</v>
      </c>
      <c r="C82" s="357"/>
      <c r="D82" s="329"/>
      <c r="E82" s="329"/>
      <c r="F82" s="357"/>
      <c r="G82" s="329"/>
      <c r="H82" s="329"/>
      <c r="I82" s="357"/>
      <c r="J82" s="329"/>
      <c r="K82" s="329"/>
      <c r="L82" s="357"/>
      <c r="M82" s="329"/>
      <c r="N82" s="507">
        <f>SUM(N83:N85)</f>
        <v>0</v>
      </c>
      <c r="O82" s="357"/>
      <c r="P82" s="329"/>
      <c r="Q82" s="329"/>
    </row>
    <row r="83" spans="1:18" ht="15" hidden="1" customHeight="1" outlineLevel="1" x14ac:dyDescent="0.25">
      <c r="A83" s="325"/>
      <c r="B83" s="328" t="s">
        <v>350</v>
      </c>
      <c r="C83" s="357"/>
      <c r="D83" s="329"/>
      <c r="E83" s="329"/>
      <c r="F83" s="357"/>
      <c r="G83" s="329"/>
      <c r="H83" s="329"/>
      <c r="I83" s="357"/>
      <c r="J83" s="329"/>
      <c r="K83" s="329"/>
      <c r="L83" s="357"/>
      <c r="M83" s="329"/>
      <c r="N83" s="329"/>
      <c r="O83" s="357"/>
      <c r="P83" s="329"/>
      <c r="Q83" s="329"/>
    </row>
    <row r="84" spans="1:18" ht="15" hidden="1" customHeight="1" outlineLevel="1" x14ac:dyDescent="0.25">
      <c r="A84" s="325"/>
      <c r="B84" s="328" t="s">
        <v>292</v>
      </c>
      <c r="C84" s="357"/>
      <c r="D84" s="329"/>
      <c r="E84" s="329"/>
      <c r="F84" s="357"/>
      <c r="G84" s="329"/>
      <c r="H84" s="329"/>
      <c r="I84" s="357"/>
      <c r="J84" s="329"/>
      <c r="K84" s="329"/>
      <c r="L84" s="357"/>
      <c r="M84" s="329"/>
      <c r="N84" s="329"/>
      <c r="O84" s="357"/>
      <c r="P84" s="329"/>
      <c r="Q84" s="329"/>
    </row>
    <row r="85" spans="1:18" ht="15" hidden="1" customHeight="1" outlineLevel="1" x14ac:dyDescent="0.25">
      <c r="A85" s="325"/>
      <c r="B85" s="328" t="s">
        <v>351</v>
      </c>
      <c r="C85" s="357"/>
      <c r="D85" s="329"/>
      <c r="E85" s="329"/>
      <c r="F85" s="357"/>
      <c r="G85" s="329"/>
      <c r="H85" s="329"/>
      <c r="I85" s="357"/>
      <c r="J85" s="329"/>
      <c r="K85" s="329"/>
      <c r="L85" s="357"/>
      <c r="M85" s="329"/>
      <c r="N85" s="329"/>
      <c r="O85" s="357"/>
      <c r="P85" s="329"/>
      <c r="Q85" s="329"/>
    </row>
    <row r="86" spans="1:18" x14ac:dyDescent="0.25">
      <c r="A86" s="322" t="s">
        <v>1428</v>
      </c>
      <c r="B86" s="323" t="s">
        <v>359</v>
      </c>
      <c r="C86" s="352">
        <f>+C87+C102</f>
        <v>5.5</v>
      </c>
      <c r="D86" s="324">
        <v>0</v>
      </c>
      <c r="E86" s="324">
        <f>+E87+E102</f>
        <v>55319630</v>
      </c>
      <c r="F86" s="352">
        <f>+F87+F102</f>
        <v>5.5</v>
      </c>
      <c r="G86" s="324">
        <v>0</v>
      </c>
      <c r="H86" s="324">
        <f>+H87+H102</f>
        <v>57601225</v>
      </c>
      <c r="I86" s="352">
        <f>+I87+I102</f>
        <v>5.5</v>
      </c>
      <c r="J86" s="324">
        <v>0</v>
      </c>
      <c r="K86" s="324">
        <f>+K87+K102</f>
        <v>57601225</v>
      </c>
      <c r="L86" s="352">
        <f>+L87+L102</f>
        <v>5.5</v>
      </c>
      <c r="M86" s="324">
        <v>0</v>
      </c>
      <c r="N86" s="324">
        <f>+N87+N102</f>
        <v>58910533</v>
      </c>
      <c r="O86" s="352">
        <f>+O87+O102</f>
        <v>5.5</v>
      </c>
      <c r="P86" s="324">
        <v>0</v>
      </c>
      <c r="Q86" s="324">
        <f>+Q87+Q102</f>
        <v>41643562</v>
      </c>
      <c r="R86" s="39">
        <f>+N86-K86</f>
        <v>1309308</v>
      </c>
    </row>
    <row r="87" spans="1:18" s="46" customFormat="1" outlineLevel="1" x14ac:dyDescent="0.25">
      <c r="A87" s="325" t="s">
        <v>309</v>
      </c>
      <c r="B87" s="326" t="s">
        <v>348</v>
      </c>
      <c r="C87" s="353">
        <f>+C88</f>
        <v>4.5</v>
      </c>
      <c r="D87" s="327">
        <v>0</v>
      </c>
      <c r="E87" s="742">
        <f>+E88+E95</f>
        <v>46562130</v>
      </c>
      <c r="F87" s="353">
        <f>+F88</f>
        <v>4.5</v>
      </c>
      <c r="G87" s="327">
        <v>0</v>
      </c>
      <c r="H87" s="742">
        <f>+H88+H95</f>
        <v>48843725</v>
      </c>
      <c r="I87" s="353">
        <f>+I88</f>
        <v>4.5</v>
      </c>
      <c r="J87" s="327">
        <v>0</v>
      </c>
      <c r="K87" s="742">
        <f>+K88+K95</f>
        <v>48843725</v>
      </c>
      <c r="L87" s="353">
        <f>+L88</f>
        <v>4.5</v>
      </c>
      <c r="M87" s="327">
        <v>0</v>
      </c>
      <c r="N87" s="742">
        <f>+N88+N95+N100</f>
        <v>49727219</v>
      </c>
      <c r="O87" s="353">
        <f>+O88</f>
        <v>4.5</v>
      </c>
      <c r="P87" s="327">
        <v>0</v>
      </c>
      <c r="Q87" s="742">
        <f>+Q88+Q95+Q100</f>
        <v>34102296</v>
      </c>
      <c r="R87" s="39">
        <f>+N87-K87</f>
        <v>883494</v>
      </c>
    </row>
    <row r="88" spans="1:18" outlineLevel="2" x14ac:dyDescent="0.25">
      <c r="A88" s="295" t="s">
        <v>311</v>
      </c>
      <c r="B88" s="296" t="s">
        <v>360</v>
      </c>
      <c r="C88" s="354">
        <v>4.5</v>
      </c>
      <c r="D88" s="297">
        <v>0</v>
      </c>
      <c r="E88" s="377">
        <f>SUM(E89:E94)</f>
        <v>43962130</v>
      </c>
      <c r="F88" s="354">
        <v>4.5</v>
      </c>
      <c r="G88" s="507">
        <v>0</v>
      </c>
      <c r="H88" s="509">
        <f>SUM(H89:H94)</f>
        <v>46243725</v>
      </c>
      <c r="I88" s="354">
        <v>4.5</v>
      </c>
      <c r="J88" s="507">
        <v>0</v>
      </c>
      <c r="K88" s="509">
        <f>SUM(K89:K94)</f>
        <v>46243725</v>
      </c>
      <c r="L88" s="354">
        <v>4.5</v>
      </c>
      <c r="M88" s="507">
        <v>0</v>
      </c>
      <c r="N88" s="509">
        <f>SUM(N89:N94)</f>
        <v>46879480</v>
      </c>
      <c r="O88" s="354">
        <v>4.5</v>
      </c>
      <c r="P88" s="507">
        <v>0</v>
      </c>
      <c r="Q88" s="509">
        <f>SUM(Q89:Q94)</f>
        <v>32189044</v>
      </c>
      <c r="R88" s="39">
        <f>+N88-K88</f>
        <v>635755</v>
      </c>
    </row>
    <row r="89" spans="1:18" outlineLevel="3" x14ac:dyDescent="0.25">
      <c r="A89" s="298"/>
      <c r="B89" s="299" t="s">
        <v>286</v>
      </c>
      <c r="C89" s="355"/>
      <c r="D89" s="235"/>
      <c r="E89" s="379">
        <v>16831500</v>
      </c>
      <c r="F89" s="582"/>
      <c r="G89" s="235"/>
      <c r="H89" s="512">
        <f>16831500</f>
        <v>16831500</v>
      </c>
      <c r="I89" s="582"/>
      <c r="J89" s="235"/>
      <c r="K89" s="512">
        <f>16831500</f>
        <v>16831500</v>
      </c>
      <c r="L89" s="582"/>
      <c r="M89" s="235"/>
      <c r="N89" s="512">
        <f>16831500+1133600</f>
        <v>17965100</v>
      </c>
      <c r="O89" s="582"/>
      <c r="P89" s="235"/>
      <c r="Q89" s="512">
        <v>17707905</v>
      </c>
      <c r="R89" s="39">
        <f t="shared" ref="R89:R93" si="7">+N89-K89</f>
        <v>1133600</v>
      </c>
    </row>
    <row r="90" spans="1:18" outlineLevel="3" x14ac:dyDescent="0.25">
      <c r="A90" s="298"/>
      <c r="B90" s="299" t="s">
        <v>350</v>
      </c>
      <c r="C90" s="355"/>
      <c r="D90" s="235"/>
      <c r="E90" s="379">
        <v>3228630</v>
      </c>
      <c r="F90" s="582"/>
      <c r="G90" s="235"/>
      <c r="H90" s="512">
        <f>3228630</f>
        <v>3228630</v>
      </c>
      <c r="I90" s="582"/>
      <c r="J90" s="235"/>
      <c r="K90" s="512">
        <f>3228630</f>
        <v>3228630</v>
      </c>
      <c r="L90" s="582"/>
      <c r="M90" s="235"/>
      <c r="N90" s="512">
        <f>3228630+175708</f>
        <v>3404338</v>
      </c>
      <c r="O90" s="582"/>
      <c r="P90" s="235"/>
      <c r="Q90" s="512">
        <v>2926328</v>
      </c>
      <c r="R90" s="39">
        <f t="shared" si="7"/>
        <v>175708</v>
      </c>
    </row>
    <row r="91" spans="1:18" outlineLevel="3" x14ac:dyDescent="0.25">
      <c r="A91" s="298"/>
      <c r="B91" s="299" t="s">
        <v>292</v>
      </c>
      <c r="C91" s="355"/>
      <c r="D91" s="235"/>
      <c r="E91" s="379">
        <f>750000+600000+1020000+200000+2500000+2400000+8200000+200000+2725000+60000+5037000+210000</f>
        <v>23902000</v>
      </c>
      <c r="F91" s="582"/>
      <c r="G91" s="235"/>
      <c r="H91" s="512">
        <f>750000+600000+1020000+200000+2500000+2400000+8200000+200000+2725000+60000+5037000+210000+236339</f>
        <v>24138339</v>
      </c>
      <c r="I91" s="582"/>
      <c r="J91" s="235"/>
      <c r="K91" s="512">
        <f>750000+600000+1020000+200000+2500000+2400000+8200000+200000+2725000+60000+5037000+210000+236339</f>
        <v>24138339</v>
      </c>
      <c r="L91" s="582"/>
      <c r="M91" s="235"/>
      <c r="N91" s="512">
        <f>24138339-2037-529302-425814</f>
        <v>23181186</v>
      </c>
      <c r="O91" s="582"/>
      <c r="P91" s="235"/>
      <c r="Q91" s="512">
        <v>9226029</v>
      </c>
      <c r="R91" s="39">
        <f t="shared" si="7"/>
        <v>-957153</v>
      </c>
    </row>
    <row r="92" spans="1:18" outlineLevel="3" x14ac:dyDescent="0.25">
      <c r="A92" s="298"/>
      <c r="B92" s="299" t="s">
        <v>339</v>
      </c>
      <c r="C92" s="355"/>
      <c r="D92" s="235"/>
      <c r="E92" s="235"/>
      <c r="F92" s="582"/>
      <c r="G92" s="235"/>
      <c r="H92" s="235">
        <v>2045256</v>
      </c>
      <c r="I92" s="582"/>
      <c r="J92" s="235"/>
      <c r="K92" s="235">
        <v>2045256</v>
      </c>
      <c r="L92" s="582"/>
      <c r="M92" s="235"/>
      <c r="N92" s="235">
        <v>2045256</v>
      </c>
      <c r="O92" s="582"/>
      <c r="P92" s="235"/>
      <c r="Q92" s="235">
        <v>2045256</v>
      </c>
      <c r="R92" s="39">
        <f t="shared" si="7"/>
        <v>0</v>
      </c>
    </row>
    <row r="93" spans="1:18" s="46" customFormat="1" outlineLevel="3" x14ac:dyDescent="0.25">
      <c r="A93" s="298"/>
      <c r="B93" s="299" t="s">
        <v>351</v>
      </c>
      <c r="C93" s="355"/>
      <c r="D93" s="235"/>
      <c r="E93" s="235">
        <v>0</v>
      </c>
      <c r="F93" s="582"/>
      <c r="G93" s="235"/>
      <c r="H93" s="235">
        <v>0</v>
      </c>
      <c r="I93" s="582"/>
      <c r="J93" s="235"/>
      <c r="K93" s="235">
        <v>0</v>
      </c>
      <c r="L93" s="582"/>
      <c r="M93" s="235"/>
      <c r="N93" s="235">
        <v>283600</v>
      </c>
      <c r="O93" s="582"/>
      <c r="P93" s="235"/>
      <c r="Q93" s="235">
        <v>283526</v>
      </c>
      <c r="R93" s="39">
        <f t="shared" si="7"/>
        <v>283600</v>
      </c>
    </row>
    <row r="94" spans="1:18" s="46" customFormat="1" outlineLevel="3" x14ac:dyDescent="0.25">
      <c r="A94" s="298"/>
      <c r="B94" s="299" t="s">
        <v>342</v>
      </c>
      <c r="C94" s="355"/>
      <c r="D94" s="235"/>
      <c r="E94" s="235"/>
      <c r="F94" s="582"/>
      <c r="G94" s="235"/>
      <c r="H94" s="235"/>
      <c r="I94" s="582"/>
      <c r="J94" s="235"/>
      <c r="K94" s="235"/>
      <c r="L94" s="582"/>
      <c r="M94" s="235"/>
      <c r="N94" s="235"/>
      <c r="O94" s="582"/>
      <c r="P94" s="235"/>
      <c r="Q94" s="235"/>
    </row>
    <row r="95" spans="1:18" ht="30" outlineLevel="2" x14ac:dyDescent="0.25">
      <c r="A95" s="295" t="s">
        <v>322</v>
      </c>
      <c r="B95" s="454" t="s">
        <v>1433</v>
      </c>
      <c r="C95" s="354">
        <v>0</v>
      </c>
      <c r="D95" s="297">
        <v>0</v>
      </c>
      <c r="E95" s="297">
        <f>SUM(E96:E99)</f>
        <v>2600000</v>
      </c>
      <c r="F95" s="354">
        <v>0</v>
      </c>
      <c r="G95" s="507">
        <v>0</v>
      </c>
      <c r="H95" s="507">
        <f>SUM(H96:H99)</f>
        <v>2600000</v>
      </c>
      <c r="I95" s="354">
        <v>0</v>
      </c>
      <c r="J95" s="507">
        <v>0</v>
      </c>
      <c r="K95" s="507">
        <f>SUM(K96:K99)</f>
        <v>2600000</v>
      </c>
      <c r="L95" s="354">
        <v>0</v>
      </c>
      <c r="M95" s="507">
        <v>0</v>
      </c>
      <c r="N95" s="507">
        <f>SUM(N96:N99)</f>
        <v>2845702</v>
      </c>
      <c r="O95" s="354">
        <v>0</v>
      </c>
      <c r="P95" s="507">
        <v>0</v>
      </c>
      <c r="Q95" s="507">
        <f>SUM(Q96:Q99)</f>
        <v>1911215</v>
      </c>
      <c r="R95" s="39">
        <f>+N95-K95</f>
        <v>245702</v>
      </c>
    </row>
    <row r="96" spans="1:18" outlineLevel="3" x14ac:dyDescent="0.25">
      <c r="A96" s="298"/>
      <c r="B96" s="299" t="s">
        <v>286</v>
      </c>
      <c r="C96" s="355"/>
      <c r="D96" s="235"/>
      <c r="E96" s="235"/>
      <c r="F96" s="582"/>
      <c r="G96" s="235"/>
      <c r="H96" s="235"/>
      <c r="I96" s="582"/>
      <c r="J96" s="235"/>
      <c r="K96" s="235"/>
      <c r="L96" s="582"/>
      <c r="M96" s="235"/>
      <c r="N96" s="235"/>
      <c r="O96" s="582"/>
      <c r="P96" s="235"/>
      <c r="Q96" s="235"/>
    </row>
    <row r="97" spans="1:18" outlineLevel="3" x14ac:dyDescent="0.25">
      <c r="A97" s="298"/>
      <c r="B97" s="299" t="s">
        <v>350</v>
      </c>
      <c r="C97" s="355"/>
      <c r="D97" s="235"/>
      <c r="E97" s="235"/>
      <c r="F97" s="582"/>
      <c r="G97" s="235"/>
      <c r="H97" s="235"/>
      <c r="I97" s="582"/>
      <c r="J97" s="235"/>
      <c r="K97" s="235"/>
      <c r="L97" s="582"/>
      <c r="M97" s="235"/>
      <c r="N97" s="235"/>
      <c r="O97" s="582"/>
      <c r="P97" s="235"/>
      <c r="Q97" s="235"/>
    </row>
    <row r="98" spans="1:18" outlineLevel="3" x14ac:dyDescent="0.25">
      <c r="A98" s="298"/>
      <c r="B98" s="299" t="s">
        <v>292</v>
      </c>
      <c r="C98" s="355"/>
      <c r="D98" s="235"/>
      <c r="E98" s="235"/>
      <c r="F98" s="582"/>
      <c r="G98" s="235"/>
      <c r="H98" s="235"/>
      <c r="I98" s="582"/>
      <c r="J98" s="235"/>
      <c r="K98" s="235"/>
      <c r="L98" s="582"/>
      <c r="M98" s="235"/>
      <c r="N98" s="235">
        <v>529302</v>
      </c>
      <c r="O98" s="582"/>
      <c r="P98" s="235"/>
      <c r="Q98" s="235">
        <v>529302</v>
      </c>
    </row>
    <row r="99" spans="1:18" s="46" customFormat="1" outlineLevel="3" x14ac:dyDescent="0.25">
      <c r="A99" s="298"/>
      <c r="B99" s="299" t="s">
        <v>351</v>
      </c>
      <c r="C99" s="355"/>
      <c r="D99" s="235"/>
      <c r="E99" s="235">
        <f>2100000+500000</f>
        <v>2600000</v>
      </c>
      <c r="F99" s="582"/>
      <c r="G99" s="235"/>
      <c r="H99" s="235">
        <f>2100000+500000</f>
        <v>2600000</v>
      </c>
      <c r="I99" s="582"/>
      <c r="J99" s="235"/>
      <c r="K99" s="235">
        <f>2100000+500000</f>
        <v>2600000</v>
      </c>
      <c r="L99" s="582"/>
      <c r="M99" s="235"/>
      <c r="N99" s="235">
        <f>2100000+500000-283600</f>
        <v>2316400</v>
      </c>
      <c r="O99" s="582"/>
      <c r="P99" s="235"/>
      <c r="Q99" s="235">
        <v>1381913</v>
      </c>
    </row>
    <row r="100" spans="1:18" s="46" customFormat="1" outlineLevel="3" x14ac:dyDescent="0.25">
      <c r="A100" s="295" t="s">
        <v>315</v>
      </c>
      <c r="B100" s="376" t="s">
        <v>1763</v>
      </c>
      <c r="C100" s="354"/>
      <c r="D100" s="507"/>
      <c r="E100" s="507"/>
      <c r="F100" s="354"/>
      <c r="G100" s="507"/>
      <c r="H100" s="507"/>
      <c r="I100" s="354"/>
      <c r="J100" s="507"/>
      <c r="K100" s="507"/>
      <c r="L100" s="354"/>
      <c r="M100" s="507"/>
      <c r="N100" s="507">
        <f>SUM(N101)</f>
        <v>2037</v>
      </c>
      <c r="O100" s="354"/>
      <c r="P100" s="507"/>
      <c r="Q100" s="507">
        <f>SUM(Q101)</f>
        <v>2037</v>
      </c>
      <c r="R100" s="39">
        <f>+N100-K100</f>
        <v>2037</v>
      </c>
    </row>
    <row r="101" spans="1:18" s="46" customFormat="1" outlineLevel="3" x14ac:dyDescent="0.25">
      <c r="A101" s="298"/>
      <c r="B101" s="299" t="s">
        <v>292</v>
      </c>
      <c r="C101" s="582"/>
      <c r="D101" s="235"/>
      <c r="E101" s="235"/>
      <c r="F101" s="582"/>
      <c r="G101" s="235"/>
      <c r="H101" s="235"/>
      <c r="I101" s="582"/>
      <c r="J101" s="235"/>
      <c r="K101" s="235"/>
      <c r="L101" s="582"/>
      <c r="M101" s="235"/>
      <c r="N101" s="693">
        <v>2037</v>
      </c>
      <c r="O101" s="582"/>
      <c r="P101" s="235"/>
      <c r="Q101" s="693">
        <v>2037</v>
      </c>
    </row>
    <row r="102" spans="1:18" outlineLevel="1" x14ac:dyDescent="0.25">
      <c r="A102" s="325" t="s">
        <v>318</v>
      </c>
      <c r="B102" s="326" t="s">
        <v>353</v>
      </c>
      <c r="C102" s="353">
        <f>+C103</f>
        <v>1</v>
      </c>
      <c r="D102" s="327">
        <v>0</v>
      </c>
      <c r="E102" s="327">
        <f>+E103</f>
        <v>8757500</v>
      </c>
      <c r="F102" s="353">
        <f>+F103</f>
        <v>1</v>
      </c>
      <c r="G102" s="327">
        <v>0</v>
      </c>
      <c r="H102" s="327">
        <f>+H103</f>
        <v>8757500</v>
      </c>
      <c r="I102" s="353">
        <f>+I103</f>
        <v>1</v>
      </c>
      <c r="J102" s="327">
        <v>0</v>
      </c>
      <c r="K102" s="327">
        <f>+K103</f>
        <v>8757500</v>
      </c>
      <c r="L102" s="353">
        <f>+L103</f>
        <v>1</v>
      </c>
      <c r="M102" s="327">
        <v>0</v>
      </c>
      <c r="N102" s="327">
        <f>+N103</f>
        <v>9183314</v>
      </c>
      <c r="O102" s="353">
        <f>+O103</f>
        <v>1</v>
      </c>
      <c r="P102" s="327">
        <v>0</v>
      </c>
      <c r="Q102" s="327">
        <f>+Q103</f>
        <v>7541266</v>
      </c>
      <c r="R102" s="39">
        <f>+N102-K102</f>
        <v>425814</v>
      </c>
    </row>
    <row r="103" spans="1:18" x14ac:dyDescent="0.25">
      <c r="A103" s="325" t="s">
        <v>311</v>
      </c>
      <c r="B103" s="326" t="s">
        <v>361</v>
      </c>
      <c r="C103" s="354">
        <v>1</v>
      </c>
      <c r="D103" s="297">
        <v>0</v>
      </c>
      <c r="E103" s="297">
        <f>SUM(E104:E107)</f>
        <v>8757500</v>
      </c>
      <c r="F103" s="354">
        <v>1</v>
      </c>
      <c r="G103" s="507">
        <v>0</v>
      </c>
      <c r="H103" s="507">
        <f>SUM(H104:H107)</f>
        <v>8757500</v>
      </c>
      <c r="I103" s="354">
        <v>1</v>
      </c>
      <c r="J103" s="507">
        <v>0</v>
      </c>
      <c r="K103" s="507">
        <f>SUM(K104:K107)</f>
        <v>8757500</v>
      </c>
      <c r="L103" s="354">
        <v>1</v>
      </c>
      <c r="M103" s="507">
        <v>0</v>
      </c>
      <c r="N103" s="507">
        <f>SUM(N104:N107)</f>
        <v>9183314</v>
      </c>
      <c r="O103" s="354">
        <v>1</v>
      </c>
      <c r="P103" s="507">
        <v>0</v>
      </c>
      <c r="Q103" s="507">
        <f>SUM(Q104:Q107)</f>
        <v>7541266</v>
      </c>
      <c r="R103" s="39">
        <f>+N103-K103</f>
        <v>425814</v>
      </c>
    </row>
    <row r="104" spans="1:18" s="46" customFormat="1" outlineLevel="1" x14ac:dyDescent="0.25">
      <c r="A104" s="298"/>
      <c r="B104" s="299" t="s">
        <v>286</v>
      </c>
      <c r="C104" s="355"/>
      <c r="D104" s="235"/>
      <c r="E104" s="379">
        <v>5382000</v>
      </c>
      <c r="F104" s="582"/>
      <c r="G104" s="235"/>
      <c r="H104" s="512">
        <f>5382000</f>
        <v>5382000</v>
      </c>
      <c r="I104" s="582"/>
      <c r="J104" s="235"/>
      <c r="K104" s="512">
        <f>5382000</f>
        <v>5382000</v>
      </c>
      <c r="L104" s="582"/>
      <c r="M104" s="235"/>
      <c r="N104" s="512">
        <f>5382000</f>
        <v>5382000</v>
      </c>
      <c r="O104" s="582"/>
      <c r="P104" s="235"/>
      <c r="Q104" s="512">
        <v>4272173</v>
      </c>
      <c r="R104" s="39">
        <f t="shared" ref="R104:R105" si="8">+N104-K104</f>
        <v>0</v>
      </c>
    </row>
    <row r="105" spans="1:18" s="46" customFormat="1" outlineLevel="1" x14ac:dyDescent="0.25">
      <c r="A105" s="298"/>
      <c r="B105" s="299" t="s">
        <v>350</v>
      </c>
      <c r="C105" s="355"/>
      <c r="D105" s="235"/>
      <c r="E105" s="379">
        <v>1216500</v>
      </c>
      <c r="F105" s="582"/>
      <c r="G105" s="235"/>
      <c r="H105" s="512">
        <f>1216500</f>
        <v>1216500</v>
      </c>
      <c r="I105" s="582"/>
      <c r="J105" s="235"/>
      <c r="K105" s="512">
        <f>1216500</f>
        <v>1216500</v>
      </c>
      <c r="L105" s="582"/>
      <c r="M105" s="235"/>
      <c r="N105" s="512">
        <f>1216500</f>
        <v>1216500</v>
      </c>
      <c r="O105" s="582"/>
      <c r="P105" s="235"/>
      <c r="Q105" s="512">
        <v>684279</v>
      </c>
      <c r="R105" s="39">
        <f t="shared" si="8"/>
        <v>0</v>
      </c>
    </row>
    <row r="106" spans="1:18" s="46" customFormat="1" outlineLevel="1" x14ac:dyDescent="0.25">
      <c r="A106" s="298"/>
      <c r="B106" s="299" t="s">
        <v>292</v>
      </c>
      <c r="C106" s="355"/>
      <c r="D106" s="235"/>
      <c r="E106" s="235">
        <f>630000+1000000+70000+459000</f>
        <v>2159000</v>
      </c>
      <c r="F106" s="582"/>
      <c r="G106" s="235"/>
      <c r="H106" s="235">
        <f>630000+1000000+70000+459000</f>
        <v>2159000</v>
      </c>
      <c r="I106" s="582"/>
      <c r="J106" s="235"/>
      <c r="K106" s="235">
        <f>630000+1000000+70000+459000</f>
        <v>2159000</v>
      </c>
      <c r="L106" s="582"/>
      <c r="M106" s="235"/>
      <c r="N106" s="235">
        <f>2159000+425814</f>
        <v>2584814</v>
      </c>
      <c r="O106" s="582"/>
      <c r="P106" s="235"/>
      <c r="Q106" s="235">
        <v>2584814</v>
      </c>
      <c r="R106" s="39">
        <f>+N106-K106</f>
        <v>425814</v>
      </c>
    </row>
    <row r="107" spans="1:18" s="46" customFormat="1" outlineLevel="1" x14ac:dyDescent="0.25">
      <c r="A107" s="298"/>
      <c r="B107" s="299" t="s">
        <v>351</v>
      </c>
      <c r="C107" s="355"/>
      <c r="D107" s="235"/>
      <c r="E107" s="235"/>
      <c r="F107" s="582"/>
      <c r="G107" s="235"/>
      <c r="H107" s="235"/>
      <c r="I107" s="582"/>
      <c r="J107" s="235"/>
      <c r="K107" s="235"/>
      <c r="L107" s="582"/>
      <c r="M107" s="235"/>
      <c r="N107" s="235"/>
      <c r="O107" s="582"/>
      <c r="P107" s="235"/>
      <c r="Q107" s="235"/>
    </row>
    <row r="108" spans="1:18" x14ac:dyDescent="0.25">
      <c r="A108" s="322" t="s">
        <v>1429</v>
      </c>
      <c r="B108" s="323" t="s">
        <v>362</v>
      </c>
      <c r="C108" s="352">
        <f>+C109</f>
        <v>19</v>
      </c>
      <c r="D108" s="324">
        <v>0</v>
      </c>
      <c r="E108" s="324">
        <f>+E109+E128</f>
        <v>171285590</v>
      </c>
      <c r="F108" s="352">
        <f>+F109</f>
        <v>19</v>
      </c>
      <c r="G108" s="324">
        <v>0</v>
      </c>
      <c r="H108" s="324">
        <f>+H109+H128</f>
        <v>180745107</v>
      </c>
      <c r="I108" s="352">
        <f>+I109</f>
        <v>19</v>
      </c>
      <c r="J108" s="324">
        <v>0</v>
      </c>
      <c r="K108" s="324">
        <f>+K109+K128</f>
        <v>181545107</v>
      </c>
      <c r="L108" s="352">
        <f>+L109</f>
        <v>19</v>
      </c>
      <c r="M108" s="324">
        <v>0</v>
      </c>
      <c r="N108" s="324">
        <f>+N109+N128</f>
        <v>182469107</v>
      </c>
      <c r="O108" s="352">
        <f>+O109</f>
        <v>19</v>
      </c>
      <c r="P108" s="324">
        <v>0</v>
      </c>
      <c r="Q108" s="324">
        <f>+Q109+Q128</f>
        <v>170429020</v>
      </c>
      <c r="R108" s="39">
        <f>+N108-K108</f>
        <v>924000</v>
      </c>
    </row>
    <row r="109" spans="1:18" s="46" customFormat="1" outlineLevel="1" x14ac:dyDescent="0.25">
      <c r="A109" s="325" t="s">
        <v>309</v>
      </c>
      <c r="B109" s="326" t="s">
        <v>348</v>
      </c>
      <c r="C109" s="353">
        <f>+C110+C116</f>
        <v>19</v>
      </c>
      <c r="D109" s="327">
        <v>0</v>
      </c>
      <c r="E109" s="327">
        <f>+E110+E116+E121</f>
        <v>171285590</v>
      </c>
      <c r="F109" s="353">
        <f>+F110+F116</f>
        <v>19</v>
      </c>
      <c r="G109" s="327">
        <v>0</v>
      </c>
      <c r="H109" s="327">
        <f>+H110+H116+H121</f>
        <v>180745107</v>
      </c>
      <c r="I109" s="353">
        <f>+I110+I116</f>
        <v>19</v>
      </c>
      <c r="J109" s="327">
        <v>0</v>
      </c>
      <c r="K109" s="327">
        <f>+K110+K116+K121</f>
        <v>181545107</v>
      </c>
      <c r="L109" s="353">
        <f>+L110+L116</f>
        <v>19</v>
      </c>
      <c r="M109" s="327">
        <v>0</v>
      </c>
      <c r="N109" s="327">
        <f>+N110+N116+N121+N126</f>
        <v>182469107</v>
      </c>
      <c r="O109" s="353">
        <f>+O110+O116</f>
        <v>19</v>
      </c>
      <c r="P109" s="327">
        <v>0</v>
      </c>
      <c r="Q109" s="327">
        <f>+Q110+Q116+Q121+Q126</f>
        <v>170429020</v>
      </c>
    </row>
    <row r="110" spans="1:18" outlineLevel="2" x14ac:dyDescent="0.25">
      <c r="A110" s="295" t="s">
        <v>311</v>
      </c>
      <c r="B110" s="296" t="s">
        <v>363</v>
      </c>
      <c r="C110" s="354">
        <f>12+1</f>
        <v>13</v>
      </c>
      <c r="D110" s="297">
        <v>0</v>
      </c>
      <c r="E110" s="297">
        <f>SUM(E111:E115)</f>
        <v>120929930</v>
      </c>
      <c r="F110" s="354">
        <f>12+1</f>
        <v>13</v>
      </c>
      <c r="G110" s="507">
        <v>0</v>
      </c>
      <c r="H110" s="507">
        <f>SUM(H111:H115)</f>
        <v>130389447</v>
      </c>
      <c r="I110" s="354">
        <f>12+1</f>
        <v>13</v>
      </c>
      <c r="J110" s="507">
        <v>0</v>
      </c>
      <c r="K110" s="507">
        <f>SUM(K111:K115)</f>
        <v>131189447</v>
      </c>
      <c r="L110" s="354">
        <f>12+1</f>
        <v>13</v>
      </c>
      <c r="M110" s="507">
        <v>0</v>
      </c>
      <c r="N110" s="507">
        <f>SUM(N111:N115)</f>
        <v>120529442</v>
      </c>
      <c r="O110" s="354">
        <f>12+1</f>
        <v>13</v>
      </c>
      <c r="P110" s="507">
        <v>0</v>
      </c>
      <c r="Q110" s="507">
        <f>SUM(Q111:Q115)</f>
        <v>110181153</v>
      </c>
      <c r="R110" s="39">
        <f t="shared" ref="R110:R121" si="9">+N110-K110</f>
        <v>-10660005</v>
      </c>
    </row>
    <row r="111" spans="1:18" outlineLevel="3" x14ac:dyDescent="0.25">
      <c r="A111" s="298"/>
      <c r="B111" s="299" t="s">
        <v>286</v>
      </c>
      <c r="C111" s="355"/>
      <c r="D111" s="235"/>
      <c r="E111" s="379">
        <v>70486000</v>
      </c>
      <c r="F111" s="582"/>
      <c r="G111" s="235"/>
      <c r="H111" s="512">
        <f>70486000</f>
        <v>70486000</v>
      </c>
      <c r="I111" s="582"/>
      <c r="J111" s="235"/>
      <c r="K111" s="512">
        <f>70486000</f>
        <v>70486000</v>
      </c>
      <c r="L111" s="582"/>
      <c r="M111" s="235"/>
      <c r="N111" s="512">
        <f>70486000+800000-9000000</f>
        <v>62286000</v>
      </c>
      <c r="O111" s="582"/>
      <c r="P111" s="235"/>
      <c r="Q111" s="512">
        <v>60132924</v>
      </c>
      <c r="R111" s="39">
        <f t="shared" si="9"/>
        <v>-8200000</v>
      </c>
    </row>
    <row r="112" spans="1:18" outlineLevel="3" x14ac:dyDescent="0.25">
      <c r="A112" s="298"/>
      <c r="B112" s="299" t="s">
        <v>350</v>
      </c>
      <c r="C112" s="355"/>
      <c r="D112" s="235"/>
      <c r="E112" s="379">
        <v>11967930</v>
      </c>
      <c r="F112" s="582"/>
      <c r="G112" s="235"/>
      <c r="H112" s="512">
        <f>11967930</f>
        <v>11967930</v>
      </c>
      <c r="I112" s="582"/>
      <c r="J112" s="235"/>
      <c r="K112" s="512">
        <f>11967930</f>
        <v>11967930</v>
      </c>
      <c r="L112" s="582"/>
      <c r="M112" s="235"/>
      <c r="N112" s="512">
        <f>11967930+124000</f>
        <v>12091930</v>
      </c>
      <c r="O112" s="582"/>
      <c r="P112" s="235"/>
      <c r="Q112" s="512">
        <v>10750549</v>
      </c>
      <c r="R112" s="39">
        <f t="shared" si="9"/>
        <v>124000</v>
      </c>
    </row>
    <row r="113" spans="1:18" outlineLevel="3" x14ac:dyDescent="0.25">
      <c r="A113" s="298"/>
      <c r="B113" s="299" t="s">
        <v>292</v>
      </c>
      <c r="C113" s="355"/>
      <c r="D113" s="235"/>
      <c r="E113" s="379">
        <f>150000+1900000+2000000+400000+2000000+150000+450000+17112000+4134000+1000000+7910000</f>
        <v>37206000</v>
      </c>
      <c r="F113" s="582"/>
      <c r="G113" s="235"/>
      <c r="H113" s="512">
        <f>150000+1900000+2000000+400000+2000000+150000+450000+17112000+4134000+1000000+7910000+430790</f>
        <v>37636790</v>
      </c>
      <c r="I113" s="582"/>
      <c r="J113" s="235"/>
      <c r="K113" s="512">
        <f>150000+1900000+2000000+400000+2000000+150000+450000+17112000+4134000+1000000+7910000+430790+472000+128000+100000+100000</f>
        <v>38436790</v>
      </c>
      <c r="L113" s="582"/>
      <c r="M113" s="235"/>
      <c r="N113" s="512">
        <f>38436790-2000000-348244</f>
        <v>36088546</v>
      </c>
      <c r="O113" s="582"/>
      <c r="P113" s="235"/>
      <c r="Q113" s="512">
        <v>29460626</v>
      </c>
      <c r="R113" s="39">
        <f t="shared" si="9"/>
        <v>-2348244</v>
      </c>
    </row>
    <row r="114" spans="1:18" outlineLevel="3" x14ac:dyDescent="0.25">
      <c r="A114" s="298"/>
      <c r="B114" s="299" t="s">
        <v>339</v>
      </c>
      <c r="C114" s="355"/>
      <c r="D114" s="235"/>
      <c r="E114" s="379"/>
      <c r="F114" s="582"/>
      <c r="G114" s="235"/>
      <c r="H114" s="512">
        <v>9028727</v>
      </c>
      <c r="I114" s="582"/>
      <c r="J114" s="235"/>
      <c r="K114" s="512">
        <v>9028727</v>
      </c>
      <c r="L114" s="582"/>
      <c r="M114" s="235"/>
      <c r="N114" s="512">
        <v>9028727</v>
      </c>
      <c r="O114" s="582"/>
      <c r="P114" s="235"/>
      <c r="Q114" s="512">
        <v>9028727</v>
      </c>
      <c r="R114" s="39">
        <f t="shared" si="9"/>
        <v>0</v>
      </c>
    </row>
    <row r="115" spans="1:18" outlineLevel="3" x14ac:dyDescent="0.25">
      <c r="A115" s="298"/>
      <c r="B115" s="299" t="s">
        <v>351</v>
      </c>
      <c r="C115" s="355"/>
      <c r="D115" s="235"/>
      <c r="E115" s="743">
        <v>1270000</v>
      </c>
      <c r="F115" s="582"/>
      <c r="G115" s="235"/>
      <c r="H115" s="743">
        <v>1270000</v>
      </c>
      <c r="I115" s="582"/>
      <c r="J115" s="235"/>
      <c r="K115" s="743">
        <v>1270000</v>
      </c>
      <c r="L115" s="582"/>
      <c r="M115" s="235"/>
      <c r="N115" s="743">
        <f>1270000-170061-65700</f>
        <v>1034239</v>
      </c>
      <c r="O115" s="582"/>
      <c r="P115" s="235"/>
      <c r="Q115" s="743">
        <v>808327</v>
      </c>
      <c r="R115" s="39">
        <f t="shared" si="9"/>
        <v>-235761</v>
      </c>
    </row>
    <row r="116" spans="1:18" outlineLevel="2" x14ac:dyDescent="0.25">
      <c r="A116" s="295" t="s">
        <v>322</v>
      </c>
      <c r="B116" s="296" t="s">
        <v>364</v>
      </c>
      <c r="C116" s="354">
        <v>6</v>
      </c>
      <c r="D116" s="297">
        <v>0</v>
      </c>
      <c r="E116" s="377">
        <f>SUM(E117:E120)</f>
        <v>31609660</v>
      </c>
      <c r="F116" s="354">
        <v>6</v>
      </c>
      <c r="G116" s="507">
        <v>0</v>
      </c>
      <c r="H116" s="509">
        <f>SUM(H117:H120)</f>
        <v>31609660</v>
      </c>
      <c r="I116" s="354">
        <v>6</v>
      </c>
      <c r="J116" s="507">
        <v>0</v>
      </c>
      <c r="K116" s="509">
        <f>SUM(K117:K120)</f>
        <v>31609660</v>
      </c>
      <c r="L116" s="354">
        <v>6</v>
      </c>
      <c r="M116" s="507">
        <v>0</v>
      </c>
      <c r="N116" s="509">
        <f>SUM(N117:N120)</f>
        <v>40779721</v>
      </c>
      <c r="O116" s="354">
        <v>6</v>
      </c>
      <c r="P116" s="507">
        <v>0</v>
      </c>
      <c r="Q116" s="509">
        <f>SUM(Q117:Q120)</f>
        <v>39388613</v>
      </c>
      <c r="R116" s="39">
        <f t="shared" si="9"/>
        <v>9170061</v>
      </c>
    </row>
    <row r="117" spans="1:18" outlineLevel="3" x14ac:dyDescent="0.25">
      <c r="A117" s="298"/>
      <c r="B117" s="299" t="s">
        <v>286</v>
      </c>
      <c r="C117" s="355"/>
      <c r="D117" s="235"/>
      <c r="E117" s="379">
        <v>20994000</v>
      </c>
      <c r="F117" s="582"/>
      <c r="G117" s="235"/>
      <c r="H117" s="512">
        <f>20994000</f>
        <v>20994000</v>
      </c>
      <c r="I117" s="582"/>
      <c r="J117" s="235"/>
      <c r="K117" s="512">
        <f>20994000</f>
        <v>20994000</v>
      </c>
      <c r="L117" s="582"/>
      <c r="M117" s="235"/>
      <c r="N117" s="512">
        <f>20994000+9000000</f>
        <v>29994000</v>
      </c>
      <c r="O117" s="582"/>
      <c r="P117" s="235"/>
      <c r="Q117" s="512">
        <v>29887226</v>
      </c>
      <c r="R117" s="39">
        <f t="shared" si="9"/>
        <v>9000000</v>
      </c>
    </row>
    <row r="118" spans="1:18" outlineLevel="3" x14ac:dyDescent="0.25">
      <c r="A118" s="298"/>
      <c r="B118" s="299" t="s">
        <v>350</v>
      </c>
      <c r="C118" s="355"/>
      <c r="D118" s="235"/>
      <c r="E118" s="379">
        <v>5523660</v>
      </c>
      <c r="F118" s="582"/>
      <c r="G118" s="235"/>
      <c r="H118" s="512">
        <f>5523660</f>
        <v>5523660</v>
      </c>
      <c r="I118" s="582"/>
      <c r="J118" s="235"/>
      <c r="K118" s="512">
        <f>5523660</f>
        <v>5523660</v>
      </c>
      <c r="L118" s="582"/>
      <c r="M118" s="235"/>
      <c r="N118" s="512">
        <f>5523660</f>
        <v>5523660</v>
      </c>
      <c r="O118" s="582"/>
      <c r="P118" s="235"/>
      <c r="Q118" s="512">
        <v>4964299</v>
      </c>
      <c r="R118" s="39">
        <f t="shared" si="9"/>
        <v>0</v>
      </c>
    </row>
    <row r="119" spans="1:18" outlineLevel="3" x14ac:dyDescent="0.25">
      <c r="A119" s="298"/>
      <c r="B119" s="299" t="s">
        <v>292</v>
      </c>
      <c r="C119" s="355"/>
      <c r="D119" s="235"/>
      <c r="E119" s="235">
        <f>500000+140000+90000+500000+800000+1400000+500000+1062000+100000</f>
        <v>5092000</v>
      </c>
      <c r="F119" s="582"/>
      <c r="G119" s="235"/>
      <c r="H119" s="235">
        <f>500000+140000+90000+500000+800000+1400000+500000+1062000+100000</f>
        <v>5092000</v>
      </c>
      <c r="I119" s="582"/>
      <c r="J119" s="235"/>
      <c r="K119" s="235">
        <f>500000+140000+90000+500000+800000+1400000+500000+1062000+100000</f>
        <v>5092000</v>
      </c>
      <c r="L119" s="582"/>
      <c r="M119" s="235"/>
      <c r="N119" s="235">
        <f>500000+140000+90000+500000+800000+1400000+500000+1062000+100000</f>
        <v>5092000</v>
      </c>
      <c r="O119" s="582"/>
      <c r="P119" s="235"/>
      <c r="Q119" s="235">
        <v>4367027</v>
      </c>
      <c r="R119" s="39">
        <f t="shared" si="9"/>
        <v>0</v>
      </c>
    </row>
    <row r="120" spans="1:18" outlineLevel="3" x14ac:dyDescent="0.25">
      <c r="A120" s="298"/>
      <c r="B120" s="299" t="s">
        <v>351</v>
      </c>
      <c r="C120" s="355"/>
      <c r="D120" s="235"/>
      <c r="E120" s="235"/>
      <c r="F120" s="582"/>
      <c r="G120" s="235"/>
      <c r="H120" s="235"/>
      <c r="I120" s="582"/>
      <c r="J120" s="235"/>
      <c r="K120" s="235"/>
      <c r="L120" s="582"/>
      <c r="M120" s="235"/>
      <c r="N120" s="235">
        <v>170061</v>
      </c>
      <c r="O120" s="582"/>
      <c r="P120" s="235"/>
      <c r="Q120" s="235">
        <v>170061</v>
      </c>
      <c r="R120" s="39">
        <f t="shared" si="9"/>
        <v>170061</v>
      </c>
    </row>
    <row r="121" spans="1:18" outlineLevel="2" x14ac:dyDescent="0.25">
      <c r="A121" s="295" t="s">
        <v>315</v>
      </c>
      <c r="B121" s="296" t="s">
        <v>365</v>
      </c>
      <c r="C121" s="354">
        <v>0</v>
      </c>
      <c r="D121" s="297">
        <v>0</v>
      </c>
      <c r="E121" s="297">
        <f>SUM(E122:E125)</f>
        <v>18746000</v>
      </c>
      <c r="F121" s="354">
        <v>0</v>
      </c>
      <c r="G121" s="507">
        <v>0</v>
      </c>
      <c r="H121" s="507">
        <f>SUM(H122:H125)</f>
        <v>18746000</v>
      </c>
      <c r="I121" s="354">
        <v>0</v>
      </c>
      <c r="J121" s="507">
        <v>0</v>
      </c>
      <c r="K121" s="507">
        <f>SUM(K122:K125)</f>
        <v>18746000</v>
      </c>
      <c r="L121" s="354">
        <v>0</v>
      </c>
      <c r="M121" s="507">
        <v>0</v>
      </c>
      <c r="N121" s="507">
        <f>SUM(N122:N125)</f>
        <v>20811700</v>
      </c>
      <c r="O121" s="354">
        <v>0</v>
      </c>
      <c r="P121" s="507">
        <v>0</v>
      </c>
      <c r="Q121" s="507">
        <f>SUM(Q122:Q125)</f>
        <v>20511010</v>
      </c>
      <c r="R121" s="39">
        <f t="shared" si="9"/>
        <v>2065700</v>
      </c>
    </row>
    <row r="122" spans="1:18" outlineLevel="3" x14ac:dyDescent="0.25">
      <c r="A122" s="298"/>
      <c r="B122" s="299" t="s">
        <v>286</v>
      </c>
      <c r="C122" s="355"/>
      <c r="D122" s="235"/>
      <c r="E122" s="235"/>
      <c r="F122" s="582"/>
      <c r="G122" s="235"/>
      <c r="H122" s="235"/>
      <c r="I122" s="582"/>
      <c r="J122" s="235"/>
      <c r="K122" s="235"/>
      <c r="L122" s="582"/>
      <c r="M122" s="235"/>
      <c r="N122" s="235"/>
      <c r="O122" s="582"/>
      <c r="P122" s="235"/>
      <c r="Q122" s="235"/>
    </row>
    <row r="123" spans="1:18" outlineLevel="3" x14ac:dyDescent="0.25">
      <c r="A123" s="298"/>
      <c r="B123" s="299" t="s">
        <v>350</v>
      </c>
      <c r="C123" s="355"/>
      <c r="D123" s="235"/>
      <c r="E123" s="235"/>
      <c r="F123" s="582"/>
      <c r="G123" s="235"/>
      <c r="H123" s="235"/>
      <c r="I123" s="582"/>
      <c r="J123" s="235"/>
      <c r="K123" s="235"/>
      <c r="L123" s="582"/>
      <c r="M123" s="235"/>
      <c r="N123" s="235"/>
      <c r="O123" s="582"/>
      <c r="P123" s="235"/>
      <c r="Q123" s="235"/>
    </row>
    <row r="124" spans="1:18" outlineLevel="3" x14ac:dyDescent="0.25">
      <c r="A124" s="298"/>
      <c r="B124" s="299" t="s">
        <v>292</v>
      </c>
      <c r="C124" s="355"/>
      <c r="D124" s="235"/>
      <c r="E124" s="379">
        <f>500000+13100000+900000+260000+3986000</f>
        <v>18746000</v>
      </c>
      <c r="F124" s="582"/>
      <c r="G124" s="235"/>
      <c r="H124" s="512">
        <f>500000+13100000+900000+260000+3986000</f>
        <v>18746000</v>
      </c>
      <c r="I124" s="582"/>
      <c r="J124" s="235"/>
      <c r="K124" s="512">
        <f>500000+13100000+900000+260000+3986000</f>
        <v>18746000</v>
      </c>
      <c r="L124" s="582"/>
      <c r="M124" s="235"/>
      <c r="N124" s="512">
        <f>18746000+2000000</f>
        <v>20746000</v>
      </c>
      <c r="O124" s="582"/>
      <c r="P124" s="235"/>
      <c r="Q124" s="512">
        <v>20445310</v>
      </c>
      <c r="R124" s="39">
        <f>+N124-K124</f>
        <v>2000000</v>
      </c>
    </row>
    <row r="125" spans="1:18" outlineLevel="3" x14ac:dyDescent="0.25">
      <c r="A125" s="298"/>
      <c r="B125" s="299" t="s">
        <v>351</v>
      </c>
      <c r="C125" s="355"/>
      <c r="D125" s="235"/>
      <c r="E125" s="235"/>
      <c r="F125" s="582"/>
      <c r="G125" s="235"/>
      <c r="H125" s="235"/>
      <c r="I125" s="582"/>
      <c r="J125" s="235"/>
      <c r="K125" s="235"/>
      <c r="L125" s="582"/>
      <c r="M125" s="235"/>
      <c r="N125" s="235">
        <v>65700</v>
      </c>
      <c r="O125" s="582"/>
      <c r="P125" s="235"/>
      <c r="Q125" s="235">
        <v>65700</v>
      </c>
      <c r="R125" s="39">
        <f>+N125-K125</f>
        <v>65700</v>
      </c>
    </row>
    <row r="126" spans="1:18" outlineLevel="3" x14ac:dyDescent="0.25">
      <c r="A126" s="295" t="s">
        <v>336</v>
      </c>
      <c r="B126" s="376" t="s">
        <v>1763</v>
      </c>
      <c r="C126" s="354"/>
      <c r="D126" s="507"/>
      <c r="E126" s="507"/>
      <c r="F126" s="354"/>
      <c r="G126" s="507"/>
      <c r="H126" s="507"/>
      <c r="I126" s="354"/>
      <c r="J126" s="507"/>
      <c r="K126" s="507"/>
      <c r="L126" s="354"/>
      <c r="M126" s="507"/>
      <c r="N126" s="507">
        <f>SUM(N127)</f>
        <v>348244</v>
      </c>
      <c r="O126" s="354"/>
      <c r="P126" s="507"/>
      <c r="Q126" s="507">
        <f>SUM(Q127)</f>
        <v>348244</v>
      </c>
      <c r="R126" s="39">
        <f>+N126-K126</f>
        <v>348244</v>
      </c>
    </row>
    <row r="127" spans="1:18" outlineLevel="3" x14ac:dyDescent="0.25">
      <c r="A127" s="298"/>
      <c r="B127" s="299" t="s">
        <v>292</v>
      </c>
      <c r="C127" s="582"/>
      <c r="D127" s="235"/>
      <c r="E127" s="235"/>
      <c r="F127" s="582"/>
      <c r="G127" s="235"/>
      <c r="H127" s="235"/>
      <c r="I127" s="582"/>
      <c r="J127" s="235"/>
      <c r="K127" s="235"/>
      <c r="L127" s="582"/>
      <c r="M127" s="235"/>
      <c r="N127" s="235">
        <v>348244</v>
      </c>
      <c r="O127" s="582"/>
      <c r="P127" s="235"/>
      <c r="Q127" s="235">
        <v>348244</v>
      </c>
      <c r="R127" s="39">
        <f>+N127-K127</f>
        <v>348244</v>
      </c>
    </row>
    <row r="128" spans="1:18" outlineLevel="1" x14ac:dyDescent="0.25">
      <c r="A128" s="295" t="s">
        <v>318</v>
      </c>
      <c r="B128" s="296" t="s">
        <v>353</v>
      </c>
      <c r="C128" s="354">
        <v>0</v>
      </c>
      <c r="D128" s="297">
        <v>0</v>
      </c>
      <c r="E128" s="297">
        <f>+E129</f>
        <v>0</v>
      </c>
      <c r="F128" s="354">
        <v>0</v>
      </c>
      <c r="G128" s="507">
        <v>0</v>
      </c>
      <c r="H128" s="507">
        <f>+H129</f>
        <v>0</v>
      </c>
      <c r="I128" s="354">
        <v>0</v>
      </c>
      <c r="J128" s="507">
        <v>0</v>
      </c>
      <c r="K128" s="507">
        <f>+K129</f>
        <v>0</v>
      </c>
      <c r="L128" s="354">
        <v>0</v>
      </c>
      <c r="M128" s="507">
        <v>0</v>
      </c>
      <c r="N128" s="507">
        <f>+N129</f>
        <v>0</v>
      </c>
      <c r="O128" s="354">
        <v>0</v>
      </c>
      <c r="P128" s="507">
        <v>0</v>
      </c>
      <c r="Q128" s="507">
        <f>+Q129</f>
        <v>0</v>
      </c>
    </row>
    <row r="129" spans="1:18" s="46" customFormat="1" collapsed="1" x14ac:dyDescent="0.25">
      <c r="A129" s="295" t="s">
        <v>311</v>
      </c>
      <c r="B129" s="296" t="s">
        <v>1470</v>
      </c>
      <c r="C129" s="354"/>
      <c r="D129" s="297"/>
      <c r="E129" s="297">
        <f>SUM(E130:E133)</f>
        <v>0</v>
      </c>
      <c r="F129" s="354"/>
      <c r="G129" s="507"/>
      <c r="H129" s="507">
        <f>SUM(H130:H133)</f>
        <v>0</v>
      </c>
      <c r="I129" s="354"/>
      <c r="J129" s="507"/>
      <c r="K129" s="507">
        <f>SUM(K130:K133)</f>
        <v>0</v>
      </c>
      <c r="L129" s="354"/>
      <c r="M129" s="507"/>
      <c r="N129" s="507">
        <f>SUM(N130:N133)</f>
        <v>0</v>
      </c>
      <c r="O129" s="354"/>
      <c r="P129" s="507"/>
      <c r="Q129" s="507">
        <f>SUM(Q130:Q133)</f>
        <v>0</v>
      </c>
    </row>
    <row r="130" spans="1:18" s="128" customFormat="1" ht="15" hidden="1" customHeight="1" outlineLevel="1" x14ac:dyDescent="0.25">
      <c r="A130" s="581"/>
      <c r="B130" s="328" t="s">
        <v>286</v>
      </c>
      <c r="C130" s="582"/>
      <c r="D130" s="303"/>
      <c r="E130" s="303"/>
      <c r="F130" s="582"/>
      <c r="G130" s="693"/>
      <c r="H130" s="693"/>
      <c r="I130" s="582"/>
      <c r="J130" s="693"/>
      <c r="K130" s="693"/>
      <c r="L130" s="582"/>
      <c r="M130" s="693"/>
      <c r="N130" s="693"/>
      <c r="O130" s="582"/>
      <c r="P130" s="693"/>
      <c r="Q130" s="693"/>
    </row>
    <row r="131" spans="1:18" s="128" customFormat="1" ht="15" hidden="1" customHeight="1" outlineLevel="1" x14ac:dyDescent="0.25">
      <c r="A131" s="581"/>
      <c r="B131" s="328" t="s">
        <v>350</v>
      </c>
      <c r="C131" s="582"/>
      <c r="D131" s="303"/>
      <c r="E131" s="303"/>
      <c r="F131" s="582"/>
      <c r="G131" s="693"/>
      <c r="H131" s="693"/>
      <c r="I131" s="582"/>
      <c r="J131" s="693"/>
      <c r="K131" s="693"/>
      <c r="L131" s="582"/>
      <c r="M131" s="693"/>
      <c r="N131" s="693"/>
      <c r="O131" s="582"/>
      <c r="P131" s="693"/>
      <c r="Q131" s="693"/>
    </row>
    <row r="132" spans="1:18" s="128" customFormat="1" ht="15" hidden="1" customHeight="1" outlineLevel="1" x14ac:dyDescent="0.25">
      <c r="A132" s="581"/>
      <c r="B132" s="328" t="s">
        <v>292</v>
      </c>
      <c r="C132" s="582"/>
      <c r="D132" s="303"/>
      <c r="E132" s="303"/>
      <c r="F132" s="582"/>
      <c r="G132" s="693"/>
      <c r="H132" s="693"/>
      <c r="I132" s="582"/>
      <c r="J132" s="693"/>
      <c r="K132" s="693"/>
      <c r="L132" s="582"/>
      <c r="M132" s="693"/>
      <c r="N132" s="693"/>
      <c r="O132" s="582"/>
      <c r="P132" s="693"/>
      <c r="Q132" s="693"/>
    </row>
    <row r="133" spans="1:18" s="128" customFormat="1" ht="15" hidden="1" customHeight="1" outlineLevel="1" x14ac:dyDescent="0.25">
      <c r="A133" s="581"/>
      <c r="B133" s="328" t="s">
        <v>351</v>
      </c>
      <c r="C133" s="582"/>
      <c r="D133" s="303"/>
      <c r="E133" s="303"/>
      <c r="F133" s="582"/>
      <c r="G133" s="693"/>
      <c r="H133" s="693"/>
      <c r="I133" s="582"/>
      <c r="J133" s="693"/>
      <c r="K133" s="693"/>
      <c r="L133" s="582"/>
      <c r="M133" s="693"/>
      <c r="N133" s="693"/>
      <c r="O133" s="582"/>
      <c r="P133" s="693"/>
      <c r="Q133" s="693"/>
    </row>
    <row r="134" spans="1:18" x14ac:dyDescent="0.25">
      <c r="A134" s="322" t="s">
        <v>1430</v>
      </c>
      <c r="B134" s="323" t="s">
        <v>1291</v>
      </c>
      <c r="C134" s="352">
        <v>24</v>
      </c>
      <c r="D134" s="324">
        <v>0</v>
      </c>
      <c r="E134" s="324">
        <f>+E135+E149</f>
        <v>151368720</v>
      </c>
      <c r="F134" s="352">
        <v>24</v>
      </c>
      <c r="G134" s="324">
        <v>0</v>
      </c>
      <c r="H134" s="324">
        <f>+H135+H149</f>
        <v>155571090</v>
      </c>
      <c r="I134" s="352">
        <v>24</v>
      </c>
      <c r="J134" s="324">
        <v>0</v>
      </c>
      <c r="K134" s="324">
        <f>+K135+K149</f>
        <v>153503915</v>
      </c>
      <c r="L134" s="352">
        <v>24</v>
      </c>
      <c r="M134" s="324">
        <v>0</v>
      </c>
      <c r="N134" s="324">
        <f>+N135+N149</f>
        <v>153503915</v>
      </c>
      <c r="O134" s="352">
        <v>24</v>
      </c>
      <c r="P134" s="324">
        <v>0</v>
      </c>
      <c r="Q134" s="324">
        <f>+Q135+Q149</f>
        <v>138672444</v>
      </c>
      <c r="R134" s="39">
        <f t="shared" ref="R134:R142" si="10">+N134-K134</f>
        <v>0</v>
      </c>
    </row>
    <row r="135" spans="1:18" outlineLevel="1" x14ac:dyDescent="0.25">
      <c r="A135" s="295" t="s">
        <v>309</v>
      </c>
      <c r="B135" s="296" t="s">
        <v>348</v>
      </c>
      <c r="C135" s="354">
        <v>24</v>
      </c>
      <c r="D135" s="297">
        <v>0</v>
      </c>
      <c r="E135" s="377">
        <f>+E136+E142</f>
        <v>151368720</v>
      </c>
      <c r="F135" s="354">
        <v>24</v>
      </c>
      <c r="G135" s="507">
        <v>0</v>
      </c>
      <c r="H135" s="509">
        <f>+H136+H142</f>
        <v>155571090</v>
      </c>
      <c r="I135" s="354">
        <v>24</v>
      </c>
      <c r="J135" s="507">
        <v>0</v>
      </c>
      <c r="K135" s="509">
        <f>+K136+K142</f>
        <v>153503915</v>
      </c>
      <c r="L135" s="354">
        <v>24</v>
      </c>
      <c r="M135" s="507">
        <v>0</v>
      </c>
      <c r="N135" s="509">
        <f>+N136+N142+N147</f>
        <v>153503915</v>
      </c>
      <c r="O135" s="354">
        <v>24</v>
      </c>
      <c r="P135" s="507">
        <v>0</v>
      </c>
      <c r="Q135" s="509">
        <f>+Q136+Q142+Q147</f>
        <v>138672444</v>
      </c>
      <c r="R135" s="39">
        <f t="shared" si="10"/>
        <v>0</v>
      </c>
    </row>
    <row r="136" spans="1:18" outlineLevel="2" x14ac:dyDescent="0.25">
      <c r="A136" s="295" t="s">
        <v>311</v>
      </c>
      <c r="B136" s="296" t="s">
        <v>366</v>
      </c>
      <c r="C136" s="354">
        <v>24</v>
      </c>
      <c r="D136" s="297">
        <v>0</v>
      </c>
      <c r="E136" s="377">
        <f>SUM(E137:E141)</f>
        <v>138668720</v>
      </c>
      <c r="F136" s="354">
        <v>24</v>
      </c>
      <c r="G136" s="507">
        <v>0</v>
      </c>
      <c r="H136" s="509">
        <f>SUM(H137:H141)</f>
        <v>142871090</v>
      </c>
      <c r="I136" s="354">
        <v>24</v>
      </c>
      <c r="J136" s="507">
        <v>0</v>
      </c>
      <c r="K136" s="509">
        <f>SUM(K137:K141)</f>
        <v>142871090</v>
      </c>
      <c r="L136" s="354">
        <v>24</v>
      </c>
      <c r="M136" s="507">
        <v>0</v>
      </c>
      <c r="N136" s="509">
        <f>SUM(N137:N141)</f>
        <v>142700108</v>
      </c>
      <c r="O136" s="354">
        <v>24</v>
      </c>
      <c r="P136" s="507">
        <v>0</v>
      </c>
      <c r="Q136" s="509">
        <f>SUM(Q137:Q141)</f>
        <v>132395522</v>
      </c>
      <c r="R136" s="39">
        <f t="shared" si="10"/>
        <v>-170982</v>
      </c>
    </row>
    <row r="137" spans="1:18" outlineLevel="3" x14ac:dyDescent="0.25">
      <c r="A137" s="298"/>
      <c r="B137" s="299" t="s">
        <v>286</v>
      </c>
      <c r="C137" s="355"/>
      <c r="D137" s="235"/>
      <c r="E137" s="379">
        <v>97000000</v>
      </c>
      <c r="F137" s="582"/>
      <c r="G137" s="235"/>
      <c r="H137" s="512">
        <f>97000000</f>
        <v>97000000</v>
      </c>
      <c r="I137" s="582"/>
      <c r="J137" s="235"/>
      <c r="K137" s="512">
        <f>97000000</f>
        <v>97000000</v>
      </c>
      <c r="L137" s="582"/>
      <c r="M137" s="235"/>
      <c r="N137" s="512">
        <f>97000000+268483</f>
        <v>97268483</v>
      </c>
      <c r="O137" s="582"/>
      <c r="P137" s="235"/>
      <c r="Q137" s="512">
        <v>97268483</v>
      </c>
      <c r="R137" s="39">
        <f t="shared" si="10"/>
        <v>268483</v>
      </c>
    </row>
    <row r="138" spans="1:18" outlineLevel="3" x14ac:dyDescent="0.25">
      <c r="A138" s="295"/>
      <c r="B138" s="299" t="s">
        <v>350</v>
      </c>
      <c r="C138" s="355"/>
      <c r="D138" s="303"/>
      <c r="E138" s="379">
        <v>18593440</v>
      </c>
      <c r="F138" s="582"/>
      <c r="G138" s="693"/>
      <c r="H138" s="512">
        <f>18593440</f>
        <v>18593440</v>
      </c>
      <c r="I138" s="582"/>
      <c r="J138" s="693"/>
      <c r="K138" s="512">
        <f>18593440</f>
        <v>18593440</v>
      </c>
      <c r="L138" s="582"/>
      <c r="M138" s="693"/>
      <c r="N138" s="512">
        <f>18593440-268483</f>
        <v>18324957</v>
      </c>
      <c r="O138" s="582"/>
      <c r="P138" s="693"/>
      <c r="Q138" s="512">
        <v>16490298</v>
      </c>
      <c r="R138" s="39">
        <f t="shared" si="10"/>
        <v>-268483</v>
      </c>
    </row>
    <row r="139" spans="1:18" outlineLevel="3" x14ac:dyDescent="0.25">
      <c r="A139" s="298"/>
      <c r="B139" s="299" t="s">
        <v>292</v>
      </c>
      <c r="C139" s="355"/>
      <c r="D139" s="235"/>
      <c r="E139" s="379">
        <f>250000+5200000+100000+50000+5500000+200000+50000+951200+2840000+1749080+200000+4615000+100000</f>
        <v>21805280</v>
      </c>
      <c r="F139" s="582"/>
      <c r="G139" s="235"/>
      <c r="H139" s="512">
        <f>250000+5200000+100000+50000+5500000+200000+50000+951200+2840000+1749080+200000+4615000+100000+14505</f>
        <v>21819785</v>
      </c>
      <c r="I139" s="582"/>
      <c r="J139" s="235"/>
      <c r="K139" s="512">
        <f>250000+5200000+100000+50000+5500000+200000+50000+951200+2840000+1749080+200000+4615000+100000+14505</f>
        <v>21819785</v>
      </c>
      <c r="L139" s="582"/>
      <c r="M139" s="235"/>
      <c r="N139" s="512">
        <f>21819785-170982</f>
        <v>21648803</v>
      </c>
      <c r="O139" s="582"/>
      <c r="P139" s="235"/>
      <c r="Q139" s="512">
        <f>13238529+1</f>
        <v>13238530</v>
      </c>
      <c r="R139" s="39">
        <f t="shared" si="10"/>
        <v>-170982</v>
      </c>
    </row>
    <row r="140" spans="1:18" outlineLevel="3" x14ac:dyDescent="0.25">
      <c r="A140" s="298"/>
      <c r="B140" s="299" t="s">
        <v>339</v>
      </c>
      <c r="C140" s="355"/>
      <c r="D140" s="235"/>
      <c r="E140" s="235"/>
      <c r="F140" s="582"/>
      <c r="G140" s="235"/>
      <c r="H140" s="235">
        <v>4187865</v>
      </c>
      <c r="I140" s="582"/>
      <c r="J140" s="235"/>
      <c r="K140" s="235">
        <v>4187865</v>
      </c>
      <c r="L140" s="582"/>
      <c r="M140" s="235"/>
      <c r="N140" s="235">
        <v>4187865</v>
      </c>
      <c r="O140" s="582"/>
      <c r="P140" s="235"/>
      <c r="Q140" s="235">
        <v>4187865</v>
      </c>
      <c r="R140" s="39">
        <f t="shared" si="10"/>
        <v>0</v>
      </c>
    </row>
    <row r="141" spans="1:18" outlineLevel="3" x14ac:dyDescent="0.25">
      <c r="A141" s="298"/>
      <c r="B141" s="299" t="s">
        <v>351</v>
      </c>
      <c r="C141" s="355"/>
      <c r="D141" s="235"/>
      <c r="E141" s="235">
        <v>1270000</v>
      </c>
      <c r="F141" s="582"/>
      <c r="G141" s="235"/>
      <c r="H141" s="235">
        <f>1270000</f>
        <v>1270000</v>
      </c>
      <c r="I141" s="582"/>
      <c r="J141" s="235"/>
      <c r="K141" s="235">
        <f>1270000</f>
        <v>1270000</v>
      </c>
      <c r="L141" s="582"/>
      <c r="M141" s="235"/>
      <c r="N141" s="235">
        <f>1270000</f>
        <v>1270000</v>
      </c>
      <c r="O141" s="582"/>
      <c r="P141" s="235"/>
      <c r="Q141" s="235">
        <v>1210346</v>
      </c>
      <c r="R141" s="39">
        <f t="shared" si="10"/>
        <v>0</v>
      </c>
    </row>
    <row r="142" spans="1:18" outlineLevel="2" x14ac:dyDescent="0.25">
      <c r="A142" s="295" t="s">
        <v>322</v>
      </c>
      <c r="B142" s="296" t="s">
        <v>367</v>
      </c>
      <c r="C142" s="354">
        <v>0</v>
      </c>
      <c r="D142" s="297">
        <v>0</v>
      </c>
      <c r="E142" s="297">
        <f>SUM(E143:E146)</f>
        <v>12700000</v>
      </c>
      <c r="F142" s="354">
        <v>0</v>
      </c>
      <c r="G142" s="507">
        <v>0</v>
      </c>
      <c r="H142" s="507">
        <f>SUM(H143:H146)</f>
        <v>12700000</v>
      </c>
      <c r="I142" s="354">
        <v>0</v>
      </c>
      <c r="J142" s="507">
        <v>0</v>
      </c>
      <c r="K142" s="507">
        <f>SUM(K143:K146)</f>
        <v>10632825</v>
      </c>
      <c r="L142" s="354">
        <v>0</v>
      </c>
      <c r="M142" s="507">
        <v>0</v>
      </c>
      <c r="N142" s="507">
        <f>SUM(N143:N146)</f>
        <v>10632825</v>
      </c>
      <c r="O142" s="354">
        <v>0</v>
      </c>
      <c r="P142" s="507">
        <v>0</v>
      </c>
      <c r="Q142" s="507">
        <f>SUM(Q143:Q146)</f>
        <v>6105940</v>
      </c>
      <c r="R142" s="39">
        <f t="shared" si="10"/>
        <v>0</v>
      </c>
    </row>
    <row r="143" spans="1:18" outlineLevel="3" x14ac:dyDescent="0.25">
      <c r="A143" s="298"/>
      <c r="B143" s="299" t="s">
        <v>286</v>
      </c>
      <c r="C143" s="355"/>
      <c r="D143" s="235"/>
      <c r="E143" s="235"/>
      <c r="F143" s="582"/>
      <c r="G143" s="235"/>
      <c r="H143" s="235"/>
      <c r="I143" s="582"/>
      <c r="J143" s="235"/>
      <c r="K143" s="235"/>
      <c r="L143" s="582"/>
      <c r="M143" s="235"/>
      <c r="N143" s="235"/>
      <c r="O143" s="582"/>
      <c r="P143" s="235"/>
      <c r="Q143" s="235"/>
    </row>
    <row r="144" spans="1:18" outlineLevel="3" x14ac:dyDescent="0.25">
      <c r="A144" s="325"/>
      <c r="B144" s="299" t="s">
        <v>350</v>
      </c>
      <c r="C144" s="357"/>
      <c r="D144" s="329"/>
      <c r="E144" s="329">
        <v>0</v>
      </c>
      <c r="F144" s="357"/>
      <c r="G144" s="329"/>
      <c r="H144" s="329">
        <v>0</v>
      </c>
      <c r="I144" s="357"/>
      <c r="J144" s="329"/>
      <c r="K144" s="329">
        <v>0</v>
      </c>
      <c r="L144" s="357"/>
      <c r="M144" s="329"/>
      <c r="N144" s="329">
        <v>0</v>
      </c>
      <c r="O144" s="357"/>
      <c r="P144" s="329"/>
      <c r="Q144" s="329">
        <v>0</v>
      </c>
    </row>
    <row r="145" spans="1:18" s="46" customFormat="1" outlineLevel="3" x14ac:dyDescent="0.25">
      <c r="A145" s="295"/>
      <c r="B145" s="299" t="s">
        <v>292</v>
      </c>
      <c r="C145" s="355"/>
      <c r="D145" s="303"/>
      <c r="E145" s="303">
        <f>10000000*1.27</f>
        <v>12700000</v>
      </c>
      <c r="F145" s="582"/>
      <c r="G145" s="693"/>
      <c r="H145" s="693">
        <f>10000000*1.27</f>
        <v>12700000</v>
      </c>
      <c r="I145" s="582"/>
      <c r="J145" s="693"/>
      <c r="K145" s="693">
        <f>10000000*1.27-1627697-439478</f>
        <v>10632825</v>
      </c>
      <c r="L145" s="582"/>
      <c r="M145" s="693"/>
      <c r="N145" s="693">
        <f>10000000*1.27-1627697-439478</f>
        <v>10632825</v>
      </c>
      <c r="O145" s="582"/>
      <c r="P145" s="693"/>
      <c r="Q145" s="693">
        <v>6105940</v>
      </c>
      <c r="R145" s="39">
        <f>+N145-K145</f>
        <v>0</v>
      </c>
    </row>
    <row r="146" spans="1:18" outlineLevel="3" x14ac:dyDescent="0.25">
      <c r="A146" s="298"/>
      <c r="B146" s="299" t="s">
        <v>351</v>
      </c>
      <c r="C146" s="355"/>
      <c r="D146" s="235"/>
      <c r="E146" s="235">
        <v>0</v>
      </c>
      <c r="F146" s="582"/>
      <c r="G146" s="235"/>
      <c r="H146" s="235">
        <v>0</v>
      </c>
      <c r="I146" s="582"/>
      <c r="J146" s="235"/>
      <c r="K146" s="235">
        <v>0</v>
      </c>
      <c r="L146" s="582"/>
      <c r="M146" s="235"/>
      <c r="N146" s="235">
        <v>0</v>
      </c>
      <c r="O146" s="582"/>
      <c r="P146" s="235"/>
      <c r="Q146" s="235">
        <v>0</v>
      </c>
    </row>
    <row r="147" spans="1:18" outlineLevel="3" x14ac:dyDescent="0.25">
      <c r="A147" s="295" t="s">
        <v>1810</v>
      </c>
      <c r="B147" s="376" t="s">
        <v>1763</v>
      </c>
      <c r="C147" s="354"/>
      <c r="D147" s="507"/>
      <c r="E147" s="507"/>
      <c r="F147" s="354"/>
      <c r="G147" s="507"/>
      <c r="H147" s="507"/>
      <c r="I147" s="354"/>
      <c r="J147" s="507"/>
      <c r="K147" s="507"/>
      <c r="L147" s="354"/>
      <c r="M147" s="507"/>
      <c r="N147" s="507">
        <f>SUM(N148)</f>
        <v>170982</v>
      </c>
      <c r="O147" s="354"/>
      <c r="P147" s="507"/>
      <c r="Q147" s="507">
        <f>SUM(Q148)</f>
        <v>170982</v>
      </c>
      <c r="R147" s="39">
        <f t="shared" ref="R147:R207" si="11">+N147-K147</f>
        <v>170982</v>
      </c>
    </row>
    <row r="148" spans="1:18" outlineLevel="3" x14ac:dyDescent="0.25">
      <c r="A148" s="298"/>
      <c r="B148" s="299" t="s">
        <v>292</v>
      </c>
      <c r="C148" s="582"/>
      <c r="D148" s="235"/>
      <c r="E148" s="235"/>
      <c r="F148" s="582"/>
      <c r="G148" s="235"/>
      <c r="H148" s="235"/>
      <c r="I148" s="582"/>
      <c r="J148" s="235"/>
      <c r="K148" s="235"/>
      <c r="L148" s="582"/>
      <c r="M148" s="235"/>
      <c r="N148" s="235">
        <v>170982</v>
      </c>
      <c r="O148" s="582"/>
      <c r="P148" s="235"/>
      <c r="Q148" s="235">
        <v>170982</v>
      </c>
      <c r="R148" s="39">
        <f t="shared" si="11"/>
        <v>170982</v>
      </c>
    </row>
    <row r="149" spans="1:18" outlineLevel="1" x14ac:dyDescent="0.25">
      <c r="A149" s="295" t="s">
        <v>318</v>
      </c>
      <c r="B149" s="296" t="s">
        <v>353</v>
      </c>
      <c r="C149" s="354">
        <v>0</v>
      </c>
      <c r="D149" s="297">
        <v>0</v>
      </c>
      <c r="E149" s="297">
        <v>0</v>
      </c>
      <c r="F149" s="354">
        <v>0</v>
      </c>
      <c r="G149" s="507">
        <v>0</v>
      </c>
      <c r="H149" s="507">
        <v>0</v>
      </c>
      <c r="I149" s="354">
        <v>0</v>
      </c>
      <c r="J149" s="507">
        <v>0</v>
      </c>
      <c r="K149" s="507">
        <v>0</v>
      </c>
      <c r="L149" s="354">
        <v>0</v>
      </c>
      <c r="M149" s="507">
        <v>0</v>
      </c>
      <c r="N149" s="507">
        <v>0</v>
      </c>
      <c r="O149" s="354">
        <v>0</v>
      </c>
      <c r="P149" s="507">
        <v>0</v>
      </c>
      <c r="Q149" s="507">
        <v>0</v>
      </c>
    </row>
    <row r="150" spans="1:18" x14ac:dyDescent="0.25">
      <c r="A150" s="322" t="s">
        <v>1431</v>
      </c>
      <c r="B150" s="323" t="s">
        <v>551</v>
      </c>
      <c r="C150" s="696">
        <f>+C151</f>
        <v>68.75</v>
      </c>
      <c r="D150" s="324">
        <v>0</v>
      </c>
      <c r="E150" s="324">
        <f>+E151+E207</f>
        <v>803390775</v>
      </c>
      <c r="F150" s="696">
        <f>+F151</f>
        <v>68.75</v>
      </c>
      <c r="G150" s="324">
        <v>0</v>
      </c>
      <c r="H150" s="324">
        <f>+H151+H207</f>
        <v>842646737</v>
      </c>
      <c r="I150" s="696">
        <f>+I151</f>
        <v>68.75</v>
      </c>
      <c r="J150" s="324">
        <v>0</v>
      </c>
      <c r="K150" s="324">
        <f>+K151+K207</f>
        <v>784372544</v>
      </c>
      <c r="L150" s="696">
        <f>+L151</f>
        <v>68.75</v>
      </c>
      <c r="M150" s="324">
        <v>0</v>
      </c>
      <c r="N150" s="324">
        <f>+N151+N207</f>
        <v>782456497</v>
      </c>
      <c r="O150" s="696">
        <f>+O151</f>
        <v>68.75</v>
      </c>
      <c r="P150" s="324">
        <v>0</v>
      </c>
      <c r="Q150" s="324">
        <f>+Q151+Q207</f>
        <v>726911540</v>
      </c>
      <c r="R150" s="39">
        <f t="shared" si="11"/>
        <v>-1916047</v>
      </c>
    </row>
    <row r="151" spans="1:18" outlineLevel="1" x14ac:dyDescent="0.25">
      <c r="A151" s="295" t="s">
        <v>309</v>
      </c>
      <c r="B151" s="296" t="s">
        <v>348</v>
      </c>
      <c r="C151" s="695">
        <f>+C152+C157+C173+C178+C187+C194+C199</f>
        <v>68.75</v>
      </c>
      <c r="D151" s="297">
        <v>0</v>
      </c>
      <c r="E151" s="297">
        <f>+E152+E157+E163+E166+E170+E173+E178+E183+E187+E194+E199</f>
        <v>803390775</v>
      </c>
      <c r="F151" s="695">
        <f>+F152+F157+F173+F178+F187+F194+F199</f>
        <v>68.75</v>
      </c>
      <c r="G151" s="507">
        <v>0</v>
      </c>
      <c r="H151" s="507">
        <f>+H152+H157+H163+H166+H170+H173+H178+H183+H187+H194+H199</f>
        <v>842646737</v>
      </c>
      <c r="I151" s="695">
        <f>+I152+I157+I173+I178+I187+I194+I199</f>
        <v>68.75</v>
      </c>
      <c r="J151" s="507">
        <v>0</v>
      </c>
      <c r="K151" s="507">
        <f>+K152+K157+K163+K166+K170+K173+K178+K183+K187+K194+K199</f>
        <v>784372544</v>
      </c>
      <c r="L151" s="695">
        <f>+L152+L157+L173+L178+L187+L194+L199</f>
        <v>68.75</v>
      </c>
      <c r="M151" s="507">
        <v>0</v>
      </c>
      <c r="N151" s="507">
        <f>+N152+N157+N163+N166+N170+N173+N178+N183+N187+N194+N199+N204</f>
        <v>782456497</v>
      </c>
      <c r="O151" s="695">
        <f>+O152+O157+O173+O178+O187+O194+O199</f>
        <v>68.75</v>
      </c>
      <c r="P151" s="507">
        <v>0</v>
      </c>
      <c r="Q151" s="507">
        <f>+Q152+Q157+Q163+Q166+Q170+Q173+Q178+Q183+Q187+Q194+Q199+Q204</f>
        <v>726911540</v>
      </c>
      <c r="R151" s="39">
        <f t="shared" si="11"/>
        <v>-1916047</v>
      </c>
    </row>
    <row r="152" spans="1:18" s="853" customFormat="1" outlineLevel="2" x14ac:dyDescent="0.25">
      <c r="A152" s="848" t="s">
        <v>311</v>
      </c>
      <c r="B152" s="849" t="s">
        <v>552</v>
      </c>
      <c r="C152" s="850">
        <v>5</v>
      </c>
      <c r="D152" s="851">
        <v>0</v>
      </c>
      <c r="E152" s="852">
        <f>SUM(E153:E156)</f>
        <v>90511500</v>
      </c>
      <c r="F152" s="850">
        <v>5</v>
      </c>
      <c r="G152" s="851">
        <v>0</v>
      </c>
      <c r="H152" s="852">
        <f>SUM(H153:H156)</f>
        <v>90511500</v>
      </c>
      <c r="I152" s="850">
        <v>5</v>
      </c>
      <c r="J152" s="851">
        <v>0</v>
      </c>
      <c r="K152" s="852">
        <f>SUM(K153:K156)</f>
        <v>90511500</v>
      </c>
      <c r="L152" s="850">
        <v>5</v>
      </c>
      <c r="M152" s="851">
        <v>0</v>
      </c>
      <c r="N152" s="852">
        <f>SUM(N153:N156)</f>
        <v>94477711</v>
      </c>
      <c r="O152" s="850">
        <v>5</v>
      </c>
      <c r="P152" s="851">
        <v>0</v>
      </c>
      <c r="Q152" s="852">
        <f>SUM(Q153:Q156)</f>
        <v>93648608</v>
      </c>
      <c r="R152" s="39">
        <f t="shared" si="11"/>
        <v>3966211</v>
      </c>
    </row>
    <row r="153" spans="1:18" s="853" customFormat="1" outlineLevel="3" x14ac:dyDescent="0.25">
      <c r="A153" s="854"/>
      <c r="B153" s="855" t="s">
        <v>286</v>
      </c>
      <c r="C153" s="856"/>
      <c r="D153" s="857"/>
      <c r="E153" s="364">
        <f>21324000+255000</f>
        <v>21579000</v>
      </c>
      <c r="F153" s="856"/>
      <c r="G153" s="857"/>
      <c r="H153" s="364">
        <f>21324000+255000</f>
        <v>21579000</v>
      </c>
      <c r="I153" s="856"/>
      <c r="J153" s="857"/>
      <c r="K153" s="364">
        <f>21324000+255000</f>
        <v>21579000</v>
      </c>
      <c r="L153" s="856"/>
      <c r="M153" s="857"/>
      <c r="N153" s="364">
        <f>21579000+1246359</f>
        <v>22825359</v>
      </c>
      <c r="O153" s="856"/>
      <c r="P153" s="857"/>
      <c r="Q153" s="364">
        <v>22825359</v>
      </c>
      <c r="R153" s="39">
        <f t="shared" si="11"/>
        <v>1246359</v>
      </c>
    </row>
    <row r="154" spans="1:18" s="853" customFormat="1" outlineLevel="3" x14ac:dyDescent="0.25">
      <c r="A154" s="854"/>
      <c r="B154" s="855" t="s">
        <v>350</v>
      </c>
      <c r="C154" s="856"/>
      <c r="D154" s="858"/>
      <c r="E154" s="364">
        <f>3765000+82500</f>
        <v>3847500</v>
      </c>
      <c r="F154" s="856"/>
      <c r="G154" s="858"/>
      <c r="H154" s="364">
        <f>3765000+82500</f>
        <v>3847500</v>
      </c>
      <c r="I154" s="856"/>
      <c r="J154" s="858"/>
      <c r="K154" s="364">
        <f>3765000+82500</f>
        <v>3847500</v>
      </c>
      <c r="L154" s="856"/>
      <c r="M154" s="858"/>
      <c r="N154" s="364">
        <f>3765000+82500-9082</f>
        <v>3838418</v>
      </c>
      <c r="O154" s="856"/>
      <c r="P154" s="858"/>
      <c r="Q154" s="364">
        <v>3760471</v>
      </c>
      <c r="R154" s="39">
        <f t="shared" si="11"/>
        <v>-9082</v>
      </c>
    </row>
    <row r="155" spans="1:18" s="853" customFormat="1" outlineLevel="3" x14ac:dyDescent="0.25">
      <c r="A155" s="854"/>
      <c r="B155" s="855" t="s">
        <v>292</v>
      </c>
      <c r="C155" s="856"/>
      <c r="D155" s="857"/>
      <c r="E155" s="364">
        <f>8500000+8500000+35825000+160000+12100000</f>
        <v>65085000</v>
      </c>
      <c r="F155" s="856"/>
      <c r="G155" s="857"/>
      <c r="H155" s="364">
        <f>8500000+8500000+35825000+160000+12100000</f>
        <v>65085000</v>
      </c>
      <c r="I155" s="856"/>
      <c r="J155" s="857"/>
      <c r="K155" s="364">
        <f>8500000+8500000+35825000+160000+12100000</f>
        <v>65085000</v>
      </c>
      <c r="L155" s="856"/>
      <c r="M155" s="857"/>
      <c r="N155" s="364">
        <f>64385225+2227928+751156</f>
        <v>67364309</v>
      </c>
      <c r="O155" s="856"/>
      <c r="P155" s="857"/>
      <c r="Q155" s="364">
        <v>66613153</v>
      </c>
      <c r="R155" s="39">
        <f t="shared" si="11"/>
        <v>2279309</v>
      </c>
    </row>
    <row r="156" spans="1:18" s="853" customFormat="1" outlineLevel="3" x14ac:dyDescent="0.25">
      <c r="A156" s="854"/>
      <c r="B156" s="855" t="s">
        <v>351</v>
      </c>
      <c r="C156" s="856"/>
      <c r="D156" s="857"/>
      <c r="E156" s="364"/>
      <c r="F156" s="856"/>
      <c r="G156" s="857"/>
      <c r="H156" s="364"/>
      <c r="I156" s="856"/>
      <c r="J156" s="857"/>
      <c r="K156" s="364"/>
      <c r="L156" s="856"/>
      <c r="M156" s="857"/>
      <c r="N156" s="364">
        <f>699775-250150</f>
        <v>449625</v>
      </c>
      <c r="O156" s="856"/>
      <c r="P156" s="857"/>
      <c r="Q156" s="364">
        <v>449625</v>
      </c>
      <c r="R156" s="39">
        <f t="shared" si="11"/>
        <v>449625</v>
      </c>
    </row>
    <row r="157" spans="1:18" s="853" customFormat="1" outlineLevel="2" x14ac:dyDescent="0.25">
      <c r="A157" s="848" t="s">
        <v>322</v>
      </c>
      <c r="B157" s="849" t="s">
        <v>553</v>
      </c>
      <c r="C157" s="850">
        <v>21</v>
      </c>
      <c r="D157" s="851">
        <v>0</v>
      </c>
      <c r="E157" s="852">
        <f>SUM(E158:E161)</f>
        <v>124299500</v>
      </c>
      <c r="F157" s="850">
        <v>21</v>
      </c>
      <c r="G157" s="851">
        <v>0</v>
      </c>
      <c r="H157" s="852">
        <f>SUM(H158:H161)</f>
        <v>124299500</v>
      </c>
      <c r="I157" s="850">
        <v>21</v>
      </c>
      <c r="J157" s="851">
        <v>0</v>
      </c>
      <c r="K157" s="852">
        <f>SUM(K158:K161)</f>
        <v>124299500</v>
      </c>
      <c r="L157" s="850">
        <v>21</v>
      </c>
      <c r="M157" s="851">
        <v>0</v>
      </c>
      <c r="N157" s="852">
        <f>SUM(N158:N162)</f>
        <v>105675323</v>
      </c>
      <c r="O157" s="850">
        <v>21</v>
      </c>
      <c r="P157" s="851">
        <v>0</v>
      </c>
      <c r="Q157" s="852">
        <f>SUM(Q158:Q161)</f>
        <v>96485823</v>
      </c>
      <c r="R157" s="39">
        <f t="shared" si="11"/>
        <v>-18624177</v>
      </c>
    </row>
    <row r="158" spans="1:18" s="853" customFormat="1" outlineLevel="3" x14ac:dyDescent="0.25">
      <c r="A158" s="854"/>
      <c r="B158" s="855" t="s">
        <v>286</v>
      </c>
      <c r="C158" s="859"/>
      <c r="D158" s="851"/>
      <c r="E158" s="364">
        <f>76114000+1071000</f>
        <v>77185000</v>
      </c>
      <c r="F158" s="859"/>
      <c r="G158" s="851"/>
      <c r="H158" s="364">
        <f>76114000+1071000</f>
        <v>77185000</v>
      </c>
      <c r="I158" s="859"/>
      <c r="J158" s="851"/>
      <c r="K158" s="364">
        <f>76114000+1071000</f>
        <v>77185000</v>
      </c>
      <c r="L158" s="859"/>
      <c r="M158" s="851"/>
      <c r="N158" s="364">
        <f>76114000+1071000-7980759</f>
        <v>69204241</v>
      </c>
      <c r="O158" s="859"/>
      <c r="P158" s="851"/>
      <c r="Q158" s="364">
        <v>69203641</v>
      </c>
      <c r="R158" s="39">
        <f t="shared" si="11"/>
        <v>-7980759</v>
      </c>
    </row>
    <row r="159" spans="1:18" s="853" customFormat="1" outlineLevel="4" x14ac:dyDescent="0.25">
      <c r="A159" s="854"/>
      <c r="B159" s="855" t="s">
        <v>350</v>
      </c>
      <c r="C159" s="859"/>
      <c r="D159" s="857"/>
      <c r="E159" s="364">
        <f>13433000+346500</f>
        <v>13779500</v>
      </c>
      <c r="F159" s="859"/>
      <c r="G159" s="857"/>
      <c r="H159" s="364">
        <f>13433000+346500</f>
        <v>13779500</v>
      </c>
      <c r="I159" s="859"/>
      <c r="J159" s="857"/>
      <c r="K159" s="364">
        <f>13433000+346500</f>
        <v>13779500</v>
      </c>
      <c r="L159" s="859"/>
      <c r="M159" s="857"/>
      <c r="N159" s="364">
        <f>13433000+346500</f>
        <v>13779500</v>
      </c>
      <c r="O159" s="859"/>
      <c r="P159" s="857"/>
      <c r="Q159" s="364">
        <v>12091444</v>
      </c>
      <c r="R159" s="39">
        <f t="shared" si="11"/>
        <v>0</v>
      </c>
    </row>
    <row r="160" spans="1:18" s="853" customFormat="1" outlineLevel="4" x14ac:dyDescent="0.25">
      <c r="A160" s="854"/>
      <c r="B160" s="855" t="s">
        <v>292</v>
      </c>
      <c r="C160" s="859"/>
      <c r="D160" s="860"/>
      <c r="E160" s="364">
        <f>8281000+198000+800000+17356000+6700000</f>
        <v>33335000</v>
      </c>
      <c r="F160" s="859"/>
      <c r="G160" s="860"/>
      <c r="H160" s="364">
        <f>8281000+198000+800000+17356000+6700000</f>
        <v>33335000</v>
      </c>
      <c r="I160" s="859"/>
      <c r="J160" s="860"/>
      <c r="K160" s="364">
        <f>8281000+198000+800000+17356000+6700000</f>
        <v>33335000</v>
      </c>
      <c r="L160" s="859"/>
      <c r="M160" s="860"/>
      <c r="N160" s="364">
        <f>29335000-1134776-1959193-1916047-1664335</f>
        <v>22660649</v>
      </c>
      <c r="O160" s="859"/>
      <c r="P160" s="860"/>
      <c r="Q160" s="364">
        <v>15159805</v>
      </c>
      <c r="R160" s="39">
        <f t="shared" si="11"/>
        <v>-10674351</v>
      </c>
    </row>
    <row r="161" spans="1:18" s="853" customFormat="1" outlineLevel="4" x14ac:dyDescent="0.25">
      <c r="A161" s="854"/>
      <c r="B161" s="855" t="s">
        <v>351</v>
      </c>
      <c r="C161" s="859"/>
      <c r="D161" s="858"/>
      <c r="E161" s="364"/>
      <c r="F161" s="859"/>
      <c r="G161" s="858"/>
      <c r="H161" s="364"/>
      <c r="I161" s="859"/>
      <c r="J161" s="858"/>
      <c r="K161" s="364"/>
      <c r="L161" s="859"/>
      <c r="M161" s="858"/>
      <c r="N161" s="364">
        <f>686699-655766</f>
        <v>30933</v>
      </c>
      <c r="O161" s="859"/>
      <c r="P161" s="858"/>
      <c r="Q161" s="364">
        <v>30933</v>
      </c>
      <c r="R161" s="39">
        <f t="shared" si="11"/>
        <v>30933</v>
      </c>
    </row>
    <row r="162" spans="1:18" s="853" customFormat="1" outlineLevel="4" x14ac:dyDescent="0.25">
      <c r="A162" s="854"/>
      <c r="B162" s="855" t="s">
        <v>342</v>
      </c>
      <c r="C162" s="859"/>
      <c r="D162" s="858"/>
      <c r="E162" s="364"/>
      <c r="F162" s="859"/>
      <c r="G162" s="858"/>
      <c r="H162" s="364"/>
      <c r="I162" s="859"/>
      <c r="J162" s="858"/>
      <c r="K162" s="364"/>
      <c r="L162" s="859"/>
      <c r="M162" s="858"/>
      <c r="N162" s="364">
        <f>1088898-1088898</f>
        <v>0</v>
      </c>
      <c r="O162" s="859"/>
      <c r="P162" s="858"/>
      <c r="Q162" s="364"/>
      <c r="R162" s="39">
        <f t="shared" si="11"/>
        <v>0</v>
      </c>
    </row>
    <row r="163" spans="1:18" s="853" customFormat="1" outlineLevel="3" x14ac:dyDescent="0.25">
      <c r="A163" s="848" t="s">
        <v>315</v>
      </c>
      <c r="B163" s="849" t="s">
        <v>554</v>
      </c>
      <c r="C163" s="859"/>
      <c r="D163" s="851">
        <v>0</v>
      </c>
      <c r="E163" s="852">
        <f>SUM(E164:E165)</f>
        <v>56134000</v>
      </c>
      <c r="F163" s="859"/>
      <c r="G163" s="851">
        <v>0</v>
      </c>
      <c r="H163" s="852">
        <f>SUM(H164:H165)</f>
        <v>56300472</v>
      </c>
      <c r="I163" s="859"/>
      <c r="J163" s="851">
        <v>0</v>
      </c>
      <c r="K163" s="852">
        <f>SUM(K164:K165)</f>
        <v>56300472</v>
      </c>
      <c r="L163" s="859"/>
      <c r="M163" s="851">
        <v>0</v>
      </c>
      <c r="N163" s="852">
        <f>SUM(N164:N165)</f>
        <v>59557561</v>
      </c>
      <c r="O163" s="859"/>
      <c r="P163" s="851">
        <v>0</v>
      </c>
      <c r="Q163" s="852">
        <f>SUM(Q164:Q165)</f>
        <v>57893226</v>
      </c>
      <c r="R163" s="39">
        <f t="shared" si="11"/>
        <v>3257089</v>
      </c>
    </row>
    <row r="164" spans="1:18" s="853" customFormat="1" outlineLevel="3" x14ac:dyDescent="0.25">
      <c r="A164" s="854"/>
      <c r="B164" s="855" t="s">
        <v>292</v>
      </c>
      <c r="C164" s="859"/>
      <c r="D164" s="851"/>
      <c r="E164" s="364">
        <f>29134000+15000000+12000000</f>
        <v>56134000</v>
      </c>
      <c r="F164" s="859"/>
      <c r="G164" s="851"/>
      <c r="H164" s="364">
        <f>29134000+15000000+12000000+166472</f>
        <v>56300472</v>
      </c>
      <c r="I164" s="859"/>
      <c r="J164" s="851"/>
      <c r="K164" s="364">
        <f>29134000+15000000+12000000+166472</f>
        <v>56300472</v>
      </c>
      <c r="L164" s="859"/>
      <c r="M164" s="851"/>
      <c r="N164" s="364">
        <f>56300472+1134776+1664335</f>
        <v>59099583</v>
      </c>
      <c r="O164" s="859"/>
      <c r="P164" s="851"/>
      <c r="Q164" s="364">
        <v>57435248</v>
      </c>
      <c r="R164" s="39">
        <f t="shared" si="11"/>
        <v>2799111</v>
      </c>
    </row>
    <row r="165" spans="1:18" s="853" customFormat="1" outlineLevel="3" x14ac:dyDescent="0.25">
      <c r="A165" s="854"/>
      <c r="B165" s="855" t="s">
        <v>351</v>
      </c>
      <c r="C165" s="859"/>
      <c r="E165" s="364">
        <v>0</v>
      </c>
      <c r="F165" s="859"/>
      <c r="H165" s="364">
        <v>0</v>
      </c>
      <c r="I165" s="859"/>
      <c r="J165" s="851"/>
      <c r="K165" s="364">
        <v>0</v>
      </c>
      <c r="L165" s="859"/>
      <c r="M165" s="851"/>
      <c r="N165" s="364">
        <f>0+457978</f>
        <v>457978</v>
      </c>
      <c r="O165" s="859"/>
      <c r="Q165" s="364">
        <v>457978</v>
      </c>
      <c r="R165" s="39">
        <f t="shared" si="11"/>
        <v>457978</v>
      </c>
    </row>
    <row r="166" spans="1:18" s="853" customFormat="1" outlineLevel="2" x14ac:dyDescent="0.25">
      <c r="A166" s="848" t="s">
        <v>336</v>
      </c>
      <c r="B166" s="849" t="s">
        <v>555</v>
      </c>
      <c r="C166" s="850"/>
      <c r="E166" s="852">
        <f>SUM(E167:E168)</f>
        <v>21975000</v>
      </c>
      <c r="F166" s="850"/>
      <c r="H166" s="852">
        <f>SUM(H167:H168)</f>
        <v>22971550</v>
      </c>
      <c r="I166" s="850"/>
      <c r="J166" s="851"/>
      <c r="K166" s="852">
        <f>SUM(K167:K168)</f>
        <v>22971550</v>
      </c>
      <c r="L166" s="850"/>
      <c r="M166" s="851"/>
      <c r="N166" s="852">
        <f>SUM(N167:N169)</f>
        <v>24102380</v>
      </c>
      <c r="O166" s="850"/>
      <c r="Q166" s="852">
        <f>SUM(Q167:Q169)</f>
        <v>15038122</v>
      </c>
      <c r="R166" s="39">
        <f t="shared" si="11"/>
        <v>1130830</v>
      </c>
    </row>
    <row r="167" spans="1:18" s="853" customFormat="1" outlineLevel="3" x14ac:dyDescent="0.25">
      <c r="A167" s="854"/>
      <c r="B167" s="855" t="s">
        <v>292</v>
      </c>
      <c r="C167" s="859"/>
      <c r="E167" s="364">
        <f>6700000+10375000+1000000+3900000</f>
        <v>21975000</v>
      </c>
      <c r="F167" s="859"/>
      <c r="H167" s="364">
        <f>6700000+10375000+1000000+3900000+996950-400</f>
        <v>22971550</v>
      </c>
      <c r="I167" s="859"/>
      <c r="J167" s="851"/>
      <c r="K167" s="364">
        <f>6700000+10375000+1000000+3900000+996950-400</f>
        <v>22971550</v>
      </c>
      <c r="L167" s="859"/>
      <c r="M167" s="851"/>
      <c r="N167" s="364">
        <v>22471950</v>
      </c>
      <c r="O167" s="859"/>
      <c r="Q167" s="364">
        <v>13407692</v>
      </c>
      <c r="R167" s="39">
        <f t="shared" si="11"/>
        <v>-499600</v>
      </c>
    </row>
    <row r="168" spans="1:18" s="853" customFormat="1" outlineLevel="3" x14ac:dyDescent="0.25">
      <c r="A168" s="854"/>
      <c r="B168" s="855" t="s">
        <v>351</v>
      </c>
      <c r="C168" s="859"/>
      <c r="E168" s="364"/>
      <c r="F168" s="859"/>
      <c r="H168" s="364"/>
      <c r="I168" s="859"/>
      <c r="J168" s="851"/>
      <c r="K168" s="364"/>
      <c r="L168" s="859"/>
      <c r="M168" s="851"/>
      <c r="N168" s="364">
        <f>500000+41532</f>
        <v>541532</v>
      </c>
      <c r="O168" s="859"/>
      <c r="Q168" s="364">
        <v>541532</v>
      </c>
      <c r="R168" s="39">
        <f t="shared" si="11"/>
        <v>541532</v>
      </c>
    </row>
    <row r="169" spans="1:18" s="853" customFormat="1" outlineLevel="3" x14ac:dyDescent="0.25">
      <c r="A169" s="854"/>
      <c r="B169" s="855" t="s">
        <v>342</v>
      </c>
      <c r="C169" s="859"/>
      <c r="E169" s="364"/>
      <c r="F169" s="859"/>
      <c r="H169" s="364"/>
      <c r="I169" s="859"/>
      <c r="J169" s="851"/>
      <c r="K169" s="364"/>
      <c r="L169" s="859"/>
      <c r="M169" s="851"/>
      <c r="N169" s="364">
        <f>0+1088898</f>
        <v>1088898</v>
      </c>
      <c r="O169" s="859"/>
      <c r="Q169" s="364">
        <v>1088898</v>
      </c>
      <c r="R169" s="39">
        <f t="shared" si="11"/>
        <v>1088898</v>
      </c>
    </row>
    <row r="170" spans="1:18" s="853" customFormat="1" outlineLevel="2" x14ac:dyDescent="0.25">
      <c r="A170" s="848" t="s">
        <v>338</v>
      </c>
      <c r="B170" s="849" t="s">
        <v>556</v>
      </c>
      <c r="C170" s="850"/>
      <c r="E170" s="852">
        <f>SUM(E171:E172)</f>
        <v>8930000</v>
      </c>
      <c r="F170" s="850"/>
      <c r="H170" s="852">
        <f>SUM(H171:H172)</f>
        <v>8930000</v>
      </c>
      <c r="I170" s="850"/>
      <c r="J170" s="851"/>
      <c r="K170" s="852">
        <f>SUM(K171:K172)</f>
        <v>8930000</v>
      </c>
      <c r="L170" s="850"/>
      <c r="M170" s="851"/>
      <c r="N170" s="852">
        <f>SUM(N171:N172)</f>
        <v>10349425</v>
      </c>
      <c r="O170" s="850"/>
      <c r="Q170" s="852">
        <f>SUM(Q171:Q172)</f>
        <v>9184713</v>
      </c>
      <c r="R170" s="39">
        <f t="shared" si="11"/>
        <v>1419425</v>
      </c>
    </row>
    <row r="171" spans="1:18" s="853" customFormat="1" outlineLevel="3" x14ac:dyDescent="0.25">
      <c r="A171" s="854"/>
      <c r="B171" s="861" t="s">
        <v>292</v>
      </c>
      <c r="C171" s="862"/>
      <c r="E171" s="863">
        <f>80000+350000+1500000+6000000+1000000</f>
        <v>8930000</v>
      </c>
      <c r="F171" s="862"/>
      <c r="H171" s="863">
        <f>80000+350000+1500000+6000000+1000000</f>
        <v>8930000</v>
      </c>
      <c r="I171" s="862"/>
      <c r="J171" s="851"/>
      <c r="K171" s="863">
        <f>80000+350000+1500000+6000000+1000000</f>
        <v>8930000</v>
      </c>
      <c r="L171" s="862"/>
      <c r="M171" s="851"/>
      <c r="N171" s="863">
        <f>80000+350000+1500000+6000000+1000000+1127038</f>
        <v>10057038</v>
      </c>
      <c r="O171" s="862"/>
      <c r="Q171" s="863">
        <v>8892326</v>
      </c>
      <c r="R171" s="39">
        <f t="shared" si="11"/>
        <v>1127038</v>
      </c>
    </row>
    <row r="172" spans="1:18" s="853" customFormat="1" outlineLevel="3" x14ac:dyDescent="0.25">
      <c r="A172" s="854"/>
      <c r="B172" s="861" t="s">
        <v>351</v>
      </c>
      <c r="C172" s="862"/>
      <c r="E172" s="863"/>
      <c r="F172" s="862"/>
      <c r="H172" s="863"/>
      <c r="I172" s="862"/>
      <c r="J172" s="851"/>
      <c r="K172" s="863"/>
      <c r="L172" s="862"/>
      <c r="M172" s="851"/>
      <c r="N172" s="863">
        <f>0+292387</f>
        <v>292387</v>
      </c>
      <c r="O172" s="862"/>
      <c r="Q172" s="863">
        <v>292387</v>
      </c>
      <c r="R172" s="39">
        <f t="shared" si="11"/>
        <v>292387</v>
      </c>
    </row>
    <row r="173" spans="1:18" s="853" customFormat="1" outlineLevel="2" x14ac:dyDescent="0.25">
      <c r="A173" s="848" t="s">
        <v>557</v>
      </c>
      <c r="B173" s="849" t="s">
        <v>558</v>
      </c>
      <c r="C173" s="864">
        <v>1.75</v>
      </c>
      <c r="E173" s="852">
        <f>SUM(E174:E177)</f>
        <v>10614125</v>
      </c>
      <c r="F173" s="864">
        <v>1.75</v>
      </c>
      <c r="H173" s="852">
        <f>SUM(H174:H177)</f>
        <v>10614125</v>
      </c>
      <c r="I173" s="864">
        <v>1.75</v>
      </c>
      <c r="J173" s="851"/>
      <c r="K173" s="852">
        <f>SUM(K174:K177)</f>
        <v>10614125</v>
      </c>
      <c r="L173" s="864">
        <v>1.75</v>
      </c>
      <c r="M173" s="851"/>
      <c r="N173" s="852">
        <f>SUM(N174:N177)</f>
        <v>10727823</v>
      </c>
      <c r="O173" s="864">
        <v>1.75</v>
      </c>
      <c r="Q173" s="852">
        <f>SUM(Q174:Q177)</f>
        <v>10721824</v>
      </c>
      <c r="R173" s="39">
        <f t="shared" si="11"/>
        <v>113698</v>
      </c>
    </row>
    <row r="174" spans="1:18" s="853" customFormat="1" outlineLevel="3" x14ac:dyDescent="0.25">
      <c r="A174" s="854"/>
      <c r="B174" s="855" t="s">
        <v>286</v>
      </c>
      <c r="C174" s="862"/>
      <c r="E174" s="863">
        <f>5095000+89250</f>
        <v>5184250</v>
      </c>
      <c r="F174" s="862"/>
      <c r="H174" s="863">
        <f>5095000+89250</f>
        <v>5184250</v>
      </c>
      <c r="I174" s="862"/>
      <c r="J174" s="851"/>
      <c r="K174" s="863">
        <f>5095000+89250</f>
        <v>5184250</v>
      </c>
      <c r="L174" s="862"/>
      <c r="M174" s="851"/>
      <c r="N174" s="863">
        <f>5095000+89250-1030725</f>
        <v>4153525</v>
      </c>
      <c r="O174" s="862"/>
      <c r="Q174" s="863">
        <v>4153525</v>
      </c>
      <c r="R174" s="39">
        <f t="shared" si="11"/>
        <v>-1030725</v>
      </c>
    </row>
    <row r="175" spans="1:18" s="853" customFormat="1" outlineLevel="3" x14ac:dyDescent="0.25">
      <c r="A175" s="848"/>
      <c r="B175" s="855" t="s">
        <v>350</v>
      </c>
      <c r="C175" s="862"/>
      <c r="E175" s="863">
        <f>914000+28875</f>
        <v>942875</v>
      </c>
      <c r="F175" s="862"/>
      <c r="H175" s="863">
        <f>914000+28875</f>
        <v>942875</v>
      </c>
      <c r="I175" s="862"/>
      <c r="J175" s="851"/>
      <c r="K175" s="863">
        <f>914000+28875</f>
        <v>942875</v>
      </c>
      <c r="L175" s="862"/>
      <c r="M175" s="851"/>
      <c r="N175" s="863">
        <f>942875+9082</f>
        <v>951957</v>
      </c>
      <c r="O175" s="862"/>
      <c r="Q175" s="863">
        <v>951957</v>
      </c>
      <c r="R175" s="39">
        <f t="shared" si="11"/>
        <v>9082</v>
      </c>
    </row>
    <row r="176" spans="1:18" s="853" customFormat="1" outlineLevel="3" x14ac:dyDescent="0.25">
      <c r="A176" s="848"/>
      <c r="B176" s="855" t="s">
        <v>292</v>
      </c>
      <c r="C176" s="862"/>
      <c r="E176" s="863">
        <f>512000+3465000+510000</f>
        <v>4487000</v>
      </c>
      <c r="F176" s="862"/>
      <c r="H176" s="863">
        <f>512000+3465000+510000</f>
        <v>4487000</v>
      </c>
      <c r="I176" s="862"/>
      <c r="J176" s="851"/>
      <c r="K176" s="863">
        <f>512000+3465000+510000</f>
        <v>4487000</v>
      </c>
      <c r="L176" s="862"/>
      <c r="M176" s="851"/>
      <c r="N176" s="863">
        <f>2857000+2734044+5997</f>
        <v>5597041</v>
      </c>
      <c r="O176" s="862"/>
      <c r="Q176" s="863">
        <v>5591044</v>
      </c>
      <c r="R176" s="39">
        <f t="shared" si="11"/>
        <v>1110041</v>
      </c>
    </row>
    <row r="177" spans="1:18" s="853" customFormat="1" outlineLevel="3" x14ac:dyDescent="0.25">
      <c r="A177" s="848"/>
      <c r="B177" s="855" t="s">
        <v>351</v>
      </c>
      <c r="C177" s="862"/>
      <c r="E177" s="863"/>
      <c r="F177" s="862"/>
      <c r="H177" s="863"/>
      <c r="I177" s="862"/>
      <c r="J177" s="851"/>
      <c r="K177" s="863"/>
      <c r="L177" s="862"/>
      <c r="M177" s="851"/>
      <c r="N177" s="863">
        <f>1231167-1205869+2</f>
        <v>25300</v>
      </c>
      <c r="O177" s="862"/>
      <c r="Q177" s="863">
        <v>25298</v>
      </c>
      <c r="R177" s="39">
        <f t="shared" si="11"/>
        <v>25300</v>
      </c>
    </row>
    <row r="178" spans="1:18" s="853" customFormat="1" outlineLevel="2" x14ac:dyDescent="0.25">
      <c r="A178" s="848" t="s">
        <v>559</v>
      </c>
      <c r="B178" s="849" t="s">
        <v>560</v>
      </c>
      <c r="C178" s="850">
        <v>2</v>
      </c>
      <c r="E178" s="852">
        <f>SUM(E179:E182)</f>
        <v>15217000</v>
      </c>
      <c r="F178" s="850">
        <v>2</v>
      </c>
      <c r="H178" s="852">
        <f>SUM(H179:H182)</f>
        <v>15217000</v>
      </c>
      <c r="I178" s="850">
        <v>2</v>
      </c>
      <c r="J178" s="851"/>
      <c r="K178" s="852">
        <f>SUM(K179:K182)</f>
        <v>15217000</v>
      </c>
      <c r="L178" s="850">
        <v>2</v>
      </c>
      <c r="M178" s="851"/>
      <c r="N178" s="852">
        <f>SUM(N179:N182)</f>
        <v>14832655</v>
      </c>
      <c r="O178" s="850">
        <v>2</v>
      </c>
      <c r="Q178" s="852">
        <f>SUM(Q179:Q182)</f>
        <v>14126174</v>
      </c>
      <c r="R178" s="39">
        <f t="shared" si="11"/>
        <v>-384345</v>
      </c>
    </row>
    <row r="179" spans="1:18" s="853" customFormat="1" outlineLevel="3" x14ac:dyDescent="0.25">
      <c r="A179" s="848"/>
      <c r="B179" s="855" t="s">
        <v>286</v>
      </c>
      <c r="C179" s="859"/>
      <c r="E179" s="364">
        <f>7197000+102000</f>
        <v>7299000</v>
      </c>
      <c r="F179" s="859"/>
      <c r="H179" s="364">
        <f>7197000+102000</f>
        <v>7299000</v>
      </c>
      <c r="I179" s="859"/>
      <c r="J179" s="851"/>
      <c r="K179" s="364">
        <f>7197000+102000</f>
        <v>7299000</v>
      </c>
      <c r="L179" s="859"/>
      <c r="M179" s="851"/>
      <c r="N179" s="364">
        <f>7299000+186814</f>
        <v>7485814</v>
      </c>
      <c r="O179" s="859"/>
      <c r="Q179" s="364">
        <v>7485814</v>
      </c>
      <c r="R179" s="39">
        <f t="shared" si="11"/>
        <v>186814</v>
      </c>
    </row>
    <row r="180" spans="1:18" s="853" customFormat="1" outlineLevel="3" x14ac:dyDescent="0.25">
      <c r="A180" s="848"/>
      <c r="B180" s="855" t="s">
        <v>350</v>
      </c>
      <c r="C180" s="859"/>
      <c r="E180" s="364">
        <f>1285000+33000</f>
        <v>1318000</v>
      </c>
      <c r="F180" s="859"/>
      <c r="H180" s="364">
        <f>1285000+33000</f>
        <v>1318000</v>
      </c>
      <c r="I180" s="859"/>
      <c r="J180" s="851"/>
      <c r="K180" s="364">
        <f>1285000+33000</f>
        <v>1318000</v>
      </c>
      <c r="L180" s="859"/>
      <c r="M180" s="851"/>
      <c r="N180" s="364">
        <f>1285000+33000</f>
        <v>1318000</v>
      </c>
      <c r="O180" s="859"/>
      <c r="Q180" s="364">
        <v>1251551</v>
      </c>
      <c r="R180" s="39">
        <f t="shared" si="11"/>
        <v>0</v>
      </c>
    </row>
    <row r="181" spans="1:18" s="853" customFormat="1" outlineLevel="3" x14ac:dyDescent="0.25">
      <c r="A181" s="848"/>
      <c r="B181" s="855" t="s">
        <v>292</v>
      </c>
      <c r="C181" s="859"/>
      <c r="E181" s="364">
        <f>600000+600000+3300000+700000+1400000</f>
        <v>6600000</v>
      </c>
      <c r="F181" s="859"/>
      <c r="H181" s="364">
        <f>600000+600000+3300000+700000+1400000</f>
        <v>6600000</v>
      </c>
      <c r="I181" s="859"/>
      <c r="J181" s="851"/>
      <c r="K181" s="364">
        <f>600000+600000+3300000+700000+1400000</f>
        <v>6600000</v>
      </c>
      <c r="L181" s="859"/>
      <c r="M181" s="851"/>
      <c r="N181" s="364">
        <v>5817000</v>
      </c>
      <c r="O181" s="859"/>
      <c r="Q181" s="364">
        <v>5176968</v>
      </c>
      <c r="R181" s="39">
        <f t="shared" si="11"/>
        <v>-783000</v>
      </c>
    </row>
    <row r="182" spans="1:18" s="853" customFormat="1" outlineLevel="3" x14ac:dyDescent="0.25">
      <c r="A182" s="848"/>
      <c r="B182" s="855" t="s">
        <v>351</v>
      </c>
      <c r="C182" s="859"/>
      <c r="E182" s="364"/>
      <c r="F182" s="859"/>
      <c r="H182" s="364"/>
      <c r="I182" s="859"/>
      <c r="J182" s="851"/>
      <c r="K182" s="364"/>
      <c r="L182" s="859"/>
      <c r="M182" s="851"/>
      <c r="N182" s="364">
        <f>783000-349758-221401</f>
        <v>211841</v>
      </c>
      <c r="O182" s="859"/>
      <c r="Q182" s="364">
        <v>211841</v>
      </c>
      <c r="R182" s="39">
        <f t="shared" si="11"/>
        <v>211841</v>
      </c>
    </row>
    <row r="183" spans="1:18" s="853" customFormat="1" outlineLevel="2" x14ac:dyDescent="0.25">
      <c r="A183" s="848" t="s">
        <v>561</v>
      </c>
      <c r="B183" s="849" t="s">
        <v>563</v>
      </c>
      <c r="C183" s="850"/>
      <c r="E183" s="852">
        <f>SUM(E184:E186)</f>
        <v>11000000</v>
      </c>
      <c r="F183" s="850"/>
      <c r="H183" s="852">
        <f>SUM(H184:H186)</f>
        <v>11000000</v>
      </c>
      <c r="I183" s="850"/>
      <c r="J183" s="851"/>
      <c r="K183" s="852">
        <f>SUM(K184:K186)</f>
        <v>11000000</v>
      </c>
      <c r="L183" s="850"/>
      <c r="M183" s="851"/>
      <c r="N183" s="852">
        <f>SUM(N184:N186)</f>
        <v>6893878</v>
      </c>
      <c r="O183" s="850"/>
      <c r="Q183" s="852">
        <f>SUM(Q184:Q186)</f>
        <v>6327294</v>
      </c>
      <c r="R183" s="39">
        <f t="shared" si="11"/>
        <v>-4106122</v>
      </c>
    </row>
    <row r="184" spans="1:18" s="853" customFormat="1" outlineLevel="3" x14ac:dyDescent="0.25">
      <c r="A184" s="848"/>
      <c r="B184" s="855" t="s">
        <v>292</v>
      </c>
      <c r="C184" s="859"/>
      <c r="E184" s="364">
        <f>200000+8000000+300000+1000000+1500000</f>
        <v>11000000</v>
      </c>
      <c r="F184" s="859"/>
      <c r="H184" s="364">
        <f>200000+8000000+300000+1000000+1500000</f>
        <v>11000000</v>
      </c>
      <c r="I184" s="859"/>
      <c r="J184" s="851"/>
      <c r="K184" s="364">
        <f>200000+8000000+300000+1000000+1500000</f>
        <v>11000000</v>
      </c>
      <c r="L184" s="859"/>
      <c r="M184" s="851"/>
      <c r="N184" s="364">
        <f>11000000-2734044-1372078</f>
        <v>6893878</v>
      </c>
      <c r="O184" s="859"/>
      <c r="Q184" s="364">
        <v>6327294</v>
      </c>
      <c r="R184" s="39">
        <f t="shared" si="11"/>
        <v>-4106122</v>
      </c>
    </row>
    <row r="185" spans="1:18" s="853" customFormat="1" outlineLevel="3" x14ac:dyDescent="0.25">
      <c r="A185" s="848"/>
      <c r="B185" s="855" t="s">
        <v>351</v>
      </c>
      <c r="C185" s="859"/>
      <c r="E185" s="364"/>
      <c r="F185" s="859"/>
      <c r="H185" s="364"/>
      <c r="I185" s="859"/>
      <c r="J185" s="851"/>
      <c r="K185" s="364"/>
      <c r="L185" s="859"/>
      <c r="M185" s="851"/>
      <c r="N185" s="364"/>
      <c r="O185" s="859"/>
      <c r="Q185" s="364"/>
      <c r="R185" s="39">
        <f t="shared" si="11"/>
        <v>0</v>
      </c>
    </row>
    <row r="186" spans="1:18" s="853" customFormat="1" outlineLevel="3" x14ac:dyDescent="0.25">
      <c r="A186" s="848"/>
      <c r="B186" s="855" t="s">
        <v>342</v>
      </c>
      <c r="C186" s="859"/>
      <c r="E186" s="364"/>
      <c r="F186" s="859"/>
      <c r="H186" s="364"/>
      <c r="I186" s="859"/>
      <c r="J186" s="851"/>
      <c r="K186" s="364"/>
      <c r="L186" s="859"/>
      <c r="M186" s="851"/>
      <c r="N186" s="364"/>
      <c r="O186" s="859"/>
      <c r="Q186" s="364"/>
      <c r="R186" s="39">
        <f t="shared" si="11"/>
        <v>0</v>
      </c>
    </row>
    <row r="187" spans="1:18" s="853" customFormat="1" outlineLevel="2" x14ac:dyDescent="0.25">
      <c r="A187" s="848" t="s">
        <v>562</v>
      </c>
      <c r="B187" s="849" t="s">
        <v>1395</v>
      </c>
      <c r="C187" s="850">
        <v>11</v>
      </c>
      <c r="E187" s="852">
        <f>SUM(E188:E192)</f>
        <v>110669650</v>
      </c>
      <c r="F187" s="850">
        <v>11</v>
      </c>
      <c r="H187" s="852">
        <f>SUM(H188:H193)</f>
        <v>142949267</v>
      </c>
      <c r="I187" s="850">
        <v>11</v>
      </c>
      <c r="J187" s="851"/>
      <c r="K187" s="852">
        <f>SUM(K188:K193)</f>
        <v>142949267</v>
      </c>
      <c r="L187" s="850">
        <v>11</v>
      </c>
      <c r="M187" s="851"/>
      <c r="N187" s="852">
        <f>SUM(N188:N193)</f>
        <v>172738754</v>
      </c>
      <c r="O187" s="850">
        <v>11</v>
      </c>
      <c r="Q187" s="852">
        <f>SUM(Q188:Q193)</f>
        <v>171101611</v>
      </c>
      <c r="R187" s="39">
        <f t="shared" si="11"/>
        <v>29789487</v>
      </c>
    </row>
    <row r="188" spans="1:18" s="853" customFormat="1" outlineLevel="3" x14ac:dyDescent="0.25">
      <c r="A188" s="848"/>
      <c r="B188" s="855" t="s">
        <v>286</v>
      </c>
      <c r="C188" s="859"/>
      <c r="E188" s="364">
        <f>55709000+561000</f>
        <v>56270000</v>
      </c>
      <c r="F188" s="859"/>
      <c r="H188" s="364">
        <f>55709000+561000</f>
        <v>56270000</v>
      </c>
      <c r="I188" s="859"/>
      <c r="J188" s="851"/>
      <c r="K188" s="364">
        <f>55709000+561000</f>
        <v>56270000</v>
      </c>
      <c r="L188" s="859"/>
      <c r="M188" s="851"/>
      <c r="N188" s="364">
        <f>56270000-1246359-186814+29299685</f>
        <v>84136512</v>
      </c>
      <c r="O188" s="859"/>
      <c r="Q188" s="364">
        <v>84136512</v>
      </c>
      <c r="R188" s="39">
        <f t="shared" si="11"/>
        <v>27866512</v>
      </c>
    </row>
    <row r="189" spans="1:18" s="853" customFormat="1" outlineLevel="3" x14ac:dyDescent="0.25">
      <c r="A189" s="854"/>
      <c r="B189" s="855" t="s">
        <v>350</v>
      </c>
      <c r="C189" s="859"/>
      <c r="E189" s="364">
        <f>9661000+6794150+181500</f>
        <v>16636650</v>
      </c>
      <c r="F189" s="859"/>
      <c r="H189" s="364">
        <f>9661000+6794150+181500</f>
        <v>16636650</v>
      </c>
      <c r="I189" s="859"/>
      <c r="J189" s="851"/>
      <c r="K189" s="364">
        <f>9661000+6794150+181500</f>
        <v>16636650</v>
      </c>
      <c r="L189" s="859"/>
      <c r="M189" s="851"/>
      <c r="N189" s="364">
        <f>16636650-9082+1989156</f>
        <v>18616724</v>
      </c>
      <c r="O189" s="859"/>
      <c r="Q189" s="364">
        <v>18616724</v>
      </c>
      <c r="R189" s="39">
        <f t="shared" si="11"/>
        <v>1980074</v>
      </c>
    </row>
    <row r="190" spans="1:18" s="853" customFormat="1" outlineLevel="3" x14ac:dyDescent="0.25">
      <c r="A190" s="848"/>
      <c r="B190" s="855" t="s">
        <v>292</v>
      </c>
      <c r="C190" s="859"/>
      <c r="E190" s="364">
        <f>200000+787000+6535000+1179000+3596000+529000+2280000+15147000+140000+3700000+2400000</f>
        <v>36493000</v>
      </c>
      <c r="F190" s="859"/>
      <c r="H190" s="364">
        <f>200000+787000+6535000+1179000+3596000+529000+2280000+15147000+140000+3700000+2400000+91163-1397451-1837005</f>
        <v>33349707</v>
      </c>
      <c r="I190" s="859"/>
      <c r="J190" s="851"/>
      <c r="K190" s="364">
        <f>200000+787000+6535000+1179000+3596000+529000+2280000+15147000+140000+3700000+2400000+91163-1397451-1837005-56338-1439206</f>
        <v>31854163</v>
      </c>
      <c r="L190" s="859"/>
      <c r="M190" s="851"/>
      <c r="N190" s="364">
        <f>34548267-2227928-512113</f>
        <v>31808226</v>
      </c>
      <c r="O190" s="859"/>
      <c r="Q190" s="364">
        <v>30392482</v>
      </c>
      <c r="R190" s="39">
        <f t="shared" si="11"/>
        <v>-45937</v>
      </c>
    </row>
    <row r="191" spans="1:18" s="853" customFormat="1" outlineLevel="3" x14ac:dyDescent="0.25">
      <c r="A191" s="848"/>
      <c r="B191" s="855" t="s">
        <v>565</v>
      </c>
      <c r="C191" s="859"/>
      <c r="E191" s="364"/>
      <c r="F191" s="859"/>
      <c r="H191" s="364">
        <f>32188454</f>
        <v>32188454</v>
      </c>
      <c r="I191" s="859"/>
      <c r="J191" s="851"/>
      <c r="K191" s="364">
        <f>32188454</f>
        <v>32188454</v>
      </c>
      <c r="L191" s="859"/>
      <c r="M191" s="851"/>
      <c r="N191" s="364">
        <f>32188454</f>
        <v>32188454</v>
      </c>
      <c r="O191" s="859"/>
      <c r="Q191" s="364">
        <f>32188454</f>
        <v>32188454</v>
      </c>
      <c r="R191" s="39">
        <f t="shared" si="11"/>
        <v>0</v>
      </c>
    </row>
    <row r="192" spans="1:18" s="853" customFormat="1" outlineLevel="3" x14ac:dyDescent="0.25">
      <c r="A192" s="848"/>
      <c r="B192" s="855" t="s">
        <v>351</v>
      </c>
      <c r="C192" s="859"/>
      <c r="E192" s="364">
        <v>1270000</v>
      </c>
      <c r="F192" s="859"/>
      <c r="H192" s="364">
        <f>1270000+1397451+23159</f>
        <v>2690610</v>
      </c>
      <c r="I192" s="859"/>
      <c r="J192" s="851"/>
      <c r="K192" s="364">
        <f>1270000+1397451+23159+56338+2164154</f>
        <v>4911102</v>
      </c>
      <c r="L192" s="859"/>
      <c r="M192" s="851"/>
      <c r="N192" s="364">
        <f>3305896+2461543+221399</f>
        <v>5988838</v>
      </c>
      <c r="O192" s="859"/>
      <c r="Q192" s="364">
        <v>5767439</v>
      </c>
      <c r="R192" s="39">
        <f t="shared" si="11"/>
        <v>1077736</v>
      </c>
    </row>
    <row r="193" spans="1:18" s="853" customFormat="1" outlineLevel="3" x14ac:dyDescent="0.25">
      <c r="A193" s="848"/>
      <c r="B193" s="855" t="s">
        <v>342</v>
      </c>
      <c r="C193" s="859"/>
      <c r="E193" s="364"/>
      <c r="F193" s="859"/>
      <c r="H193" s="364">
        <v>1813846</v>
      </c>
      <c r="I193" s="859"/>
      <c r="J193" s="851"/>
      <c r="K193" s="364">
        <f>1813846-724948</f>
        <v>1088898</v>
      </c>
      <c r="L193" s="859"/>
      <c r="M193" s="851"/>
      <c r="N193" s="364"/>
      <c r="O193" s="859"/>
      <c r="Q193" s="364"/>
      <c r="R193" s="39">
        <f t="shared" si="11"/>
        <v>-1088898</v>
      </c>
    </row>
    <row r="194" spans="1:18" s="853" customFormat="1" outlineLevel="2" x14ac:dyDescent="0.25">
      <c r="A194" s="848" t="s">
        <v>564</v>
      </c>
      <c r="B194" s="849" t="s">
        <v>568</v>
      </c>
      <c r="C194" s="850">
        <v>9</v>
      </c>
      <c r="E194" s="852">
        <f>SUM(E195:E198)</f>
        <v>45011500</v>
      </c>
      <c r="F194" s="850">
        <v>9</v>
      </c>
      <c r="H194" s="852">
        <f>SUM(H195:H198)</f>
        <v>45011500</v>
      </c>
      <c r="I194" s="850">
        <v>9</v>
      </c>
      <c r="J194" s="851"/>
      <c r="K194" s="852">
        <f>SUM(K195:K198)</f>
        <v>45011500</v>
      </c>
      <c r="L194" s="850">
        <v>9</v>
      </c>
      <c r="M194" s="851"/>
      <c r="N194" s="852">
        <f>SUM(N195:N198)</f>
        <v>25219823</v>
      </c>
      <c r="O194" s="850">
        <v>9</v>
      </c>
      <c r="Q194" s="852">
        <f>SUM(Q195:Q198)</f>
        <v>4255331</v>
      </c>
      <c r="R194" s="39">
        <f t="shared" si="11"/>
        <v>-19791677</v>
      </c>
    </row>
    <row r="195" spans="1:18" s="853" customFormat="1" outlineLevel="3" x14ac:dyDescent="0.25">
      <c r="A195" s="848"/>
      <c r="B195" s="855" t="s">
        <v>286</v>
      </c>
      <c r="C195" s="859"/>
      <c r="E195" s="364">
        <f>33163000+459000</f>
        <v>33622000</v>
      </c>
      <c r="F195" s="859"/>
      <c r="H195" s="364">
        <f>33163000+459000</f>
        <v>33622000</v>
      </c>
      <c r="I195" s="859"/>
      <c r="J195" s="851"/>
      <c r="K195" s="364">
        <f>33163000+459000</f>
        <v>33622000</v>
      </c>
      <c r="L195" s="859"/>
      <c r="M195" s="851"/>
      <c r="N195" s="364">
        <f>33163000+459000-18210436</f>
        <v>15411564</v>
      </c>
      <c r="O195" s="859"/>
      <c r="Q195" s="364"/>
      <c r="R195" s="39">
        <f t="shared" si="11"/>
        <v>-18210436</v>
      </c>
    </row>
    <row r="196" spans="1:18" s="853" customFormat="1" outlineLevel="3" x14ac:dyDescent="0.25">
      <c r="A196" s="848"/>
      <c r="B196" s="855" t="s">
        <v>350</v>
      </c>
      <c r="C196" s="859"/>
      <c r="E196" s="364">
        <f>5841000+148500</f>
        <v>5989500</v>
      </c>
      <c r="F196" s="859"/>
      <c r="H196" s="364">
        <f>5841000+148500</f>
        <v>5989500</v>
      </c>
      <c r="I196" s="859"/>
      <c r="J196" s="851"/>
      <c r="K196" s="364">
        <f>5841000+148500</f>
        <v>5989500</v>
      </c>
      <c r="L196" s="859"/>
      <c r="M196" s="851"/>
      <c r="N196" s="364">
        <f>5841000+148500-1980074</f>
        <v>4009426</v>
      </c>
      <c r="O196" s="859"/>
      <c r="Q196" s="364"/>
      <c r="R196" s="39">
        <f t="shared" si="11"/>
        <v>-1980074</v>
      </c>
    </row>
    <row r="197" spans="1:18" s="853" customFormat="1" outlineLevel="3" x14ac:dyDescent="0.25">
      <c r="A197" s="848"/>
      <c r="B197" s="855" t="s">
        <v>292</v>
      </c>
      <c r="C197" s="859"/>
      <c r="E197" s="364">
        <f>400000+4000000+1000000</f>
        <v>5400000</v>
      </c>
      <c r="F197" s="859"/>
      <c r="H197" s="364">
        <f>400000+4000000+1000000</f>
        <v>5400000</v>
      </c>
      <c r="I197" s="859"/>
      <c r="J197" s="851"/>
      <c r="K197" s="364">
        <f>400000+4000000+1000000</f>
        <v>5400000</v>
      </c>
      <c r="L197" s="859"/>
      <c r="M197" s="851"/>
      <c r="N197" s="364">
        <f>400000+4000000+1000000</f>
        <v>5400000</v>
      </c>
      <c r="O197" s="859"/>
      <c r="Q197" s="364">
        <v>3856498</v>
      </c>
      <c r="R197" s="39">
        <f t="shared" si="11"/>
        <v>0</v>
      </c>
    </row>
    <row r="198" spans="1:18" s="853" customFormat="1" outlineLevel="3" x14ac:dyDescent="0.25">
      <c r="A198" s="848"/>
      <c r="B198" s="855" t="s">
        <v>351</v>
      </c>
      <c r="C198" s="859"/>
      <c r="E198" s="364"/>
      <c r="F198" s="859"/>
      <c r="H198" s="364"/>
      <c r="I198" s="859"/>
      <c r="J198" s="851"/>
      <c r="K198" s="364"/>
      <c r="L198" s="859"/>
      <c r="M198" s="851"/>
      <c r="N198" s="364">
        <f>0+398833</f>
        <v>398833</v>
      </c>
      <c r="O198" s="859"/>
      <c r="Q198" s="364">
        <v>398833</v>
      </c>
      <c r="R198" s="39">
        <f t="shared" si="11"/>
        <v>398833</v>
      </c>
    </row>
    <row r="199" spans="1:18" s="853" customFormat="1" outlineLevel="2" x14ac:dyDescent="0.25">
      <c r="A199" s="848" t="s">
        <v>566</v>
      </c>
      <c r="B199" s="849" t="s">
        <v>572</v>
      </c>
      <c r="C199" s="850">
        <v>19</v>
      </c>
      <c r="E199" s="852">
        <f>SUM(E200:E203)</f>
        <v>309028500</v>
      </c>
      <c r="F199" s="850">
        <v>19</v>
      </c>
      <c r="H199" s="852">
        <f>SUM(H200:H203)</f>
        <v>314841823</v>
      </c>
      <c r="I199" s="850">
        <v>19</v>
      </c>
      <c r="J199" s="851"/>
      <c r="K199" s="852">
        <f>SUM(K200:K203)</f>
        <v>256567630</v>
      </c>
      <c r="L199" s="850">
        <v>19</v>
      </c>
      <c r="M199" s="851"/>
      <c r="N199" s="852">
        <f>SUM(N200:N203)</f>
        <v>255877480</v>
      </c>
      <c r="O199" s="850">
        <v>19</v>
      </c>
      <c r="Q199" s="852">
        <f>SUM(Q200:Q203)</f>
        <v>246125130</v>
      </c>
      <c r="R199" s="39">
        <f t="shared" si="11"/>
        <v>-690150</v>
      </c>
    </row>
    <row r="200" spans="1:18" s="853" customFormat="1" outlineLevel="3" x14ac:dyDescent="0.25">
      <c r="A200" s="848"/>
      <c r="B200" s="855" t="s">
        <v>286</v>
      </c>
      <c r="C200" s="859"/>
      <c r="E200" s="364">
        <f>62083000+969000</f>
        <v>63052000</v>
      </c>
      <c r="F200" s="859"/>
      <c r="H200" s="364">
        <f>62083000+969000</f>
        <v>63052000</v>
      </c>
      <c r="I200" s="859"/>
      <c r="J200" s="851"/>
      <c r="K200" s="364">
        <f>62083000+969000</f>
        <v>63052000</v>
      </c>
      <c r="L200" s="859"/>
      <c r="M200" s="851"/>
      <c r="N200" s="364">
        <f>62083000+969000-2077765</f>
        <v>60974235</v>
      </c>
      <c r="O200" s="859"/>
      <c r="Q200" s="364">
        <f>43444203+17530032</f>
        <v>60974235</v>
      </c>
      <c r="R200" s="39">
        <f t="shared" si="11"/>
        <v>-2077765</v>
      </c>
    </row>
    <row r="201" spans="1:18" s="853" customFormat="1" outlineLevel="3" x14ac:dyDescent="0.25">
      <c r="A201" s="848"/>
      <c r="B201" s="855" t="s">
        <v>350</v>
      </c>
      <c r="C201" s="859"/>
      <c r="E201" s="364">
        <f>10922000+313500</f>
        <v>11235500</v>
      </c>
      <c r="F201" s="859"/>
      <c r="H201" s="364">
        <f>10922000+313500</f>
        <v>11235500</v>
      </c>
      <c r="I201" s="859"/>
      <c r="J201" s="851"/>
      <c r="K201" s="364">
        <f>10922000+313500</f>
        <v>11235500</v>
      </c>
      <c r="L201" s="859"/>
      <c r="M201" s="851"/>
      <c r="N201" s="364">
        <f>10922000+313500</f>
        <v>11235500</v>
      </c>
      <c r="O201" s="859"/>
      <c r="Q201" s="364">
        <f>7009244+2940112</f>
        <v>9949356</v>
      </c>
      <c r="R201" s="39">
        <f t="shared" si="11"/>
        <v>0</v>
      </c>
    </row>
    <row r="202" spans="1:18" s="853" customFormat="1" outlineLevel="3" x14ac:dyDescent="0.25">
      <c r="A202" s="848"/>
      <c r="B202" s="855" t="s">
        <v>292</v>
      </c>
      <c r="C202" s="859"/>
      <c r="E202" s="364">
        <f>3750000+184915000+2700000+2800000+40576000</f>
        <v>234741000</v>
      </c>
      <c r="F202" s="859"/>
      <c r="H202" s="364">
        <f>3750000+184915000+2700000+2800000+40576000+5813323</f>
        <v>240554323</v>
      </c>
      <c r="I202" s="859"/>
      <c r="J202" s="851"/>
      <c r="K202" s="364">
        <f>3750000+184915000+2700000+2800000+40576000+5813323-45885191-12389002</f>
        <v>182280130</v>
      </c>
      <c r="L202" s="859"/>
      <c r="M202" s="851"/>
      <c r="N202" s="364">
        <f>182280130-400</f>
        <v>182279730</v>
      </c>
      <c r="O202" s="859"/>
      <c r="Q202" s="364">
        <f>6536465+109450375+57826684</f>
        <v>173813524</v>
      </c>
      <c r="R202" s="39">
        <f t="shared" si="11"/>
        <v>-400</v>
      </c>
    </row>
    <row r="203" spans="1:18" s="853" customFormat="1" outlineLevel="3" x14ac:dyDescent="0.25">
      <c r="A203" s="848"/>
      <c r="B203" s="855" t="s">
        <v>351</v>
      </c>
      <c r="C203" s="859"/>
      <c r="E203" s="364"/>
      <c r="F203" s="859"/>
      <c r="H203" s="364"/>
      <c r="I203" s="859"/>
      <c r="J203" s="851"/>
      <c r="K203" s="364"/>
      <c r="L203" s="859"/>
      <c r="M203" s="851"/>
      <c r="N203" s="364">
        <f>0+1388015</f>
        <v>1388015</v>
      </c>
      <c r="O203" s="859"/>
      <c r="Q203" s="364">
        <f>45646+1342369</f>
        <v>1388015</v>
      </c>
      <c r="R203" s="39">
        <f t="shared" si="11"/>
        <v>1388015</v>
      </c>
    </row>
    <row r="204" spans="1:18" s="853" customFormat="1" outlineLevel="3" x14ac:dyDescent="0.25">
      <c r="A204" s="865" t="s">
        <v>1191</v>
      </c>
      <c r="B204" s="849" t="s">
        <v>1763</v>
      </c>
      <c r="C204" s="866"/>
      <c r="D204" s="851"/>
      <c r="E204" s="851"/>
      <c r="F204" s="866"/>
      <c r="G204" s="851"/>
      <c r="H204" s="851"/>
      <c r="I204" s="866"/>
      <c r="J204" s="851"/>
      <c r="K204" s="851"/>
      <c r="L204" s="866"/>
      <c r="M204" s="851"/>
      <c r="N204" s="851">
        <f>N205+N206</f>
        <v>2003684</v>
      </c>
      <c r="O204" s="866"/>
      <c r="P204" s="851"/>
      <c r="Q204" s="851">
        <f>Q205+Q206</f>
        <v>2003684</v>
      </c>
      <c r="R204" s="39">
        <f t="shared" si="11"/>
        <v>2003684</v>
      </c>
    </row>
    <row r="205" spans="1:18" s="869" customFormat="1" outlineLevel="3" x14ac:dyDescent="0.25">
      <c r="A205" s="867"/>
      <c r="B205" s="868" t="s">
        <v>292</v>
      </c>
      <c r="C205" s="856"/>
      <c r="D205" s="858"/>
      <c r="E205" s="858"/>
      <c r="F205" s="856"/>
      <c r="G205" s="858"/>
      <c r="H205" s="858"/>
      <c r="I205" s="856"/>
      <c r="J205" s="858"/>
      <c r="K205" s="858"/>
      <c r="L205" s="856"/>
      <c r="M205" s="858"/>
      <c r="N205" s="858">
        <f>1959193</f>
        <v>1959193</v>
      </c>
      <c r="O205" s="856"/>
      <c r="P205" s="858"/>
      <c r="Q205" s="858">
        <f>1279958+679235</f>
        <v>1959193</v>
      </c>
      <c r="R205" s="39">
        <f t="shared" si="11"/>
        <v>1959193</v>
      </c>
    </row>
    <row r="206" spans="1:18" s="869" customFormat="1" outlineLevel="3" x14ac:dyDescent="0.25">
      <c r="A206" s="867"/>
      <c r="B206" s="870" t="s">
        <v>351</v>
      </c>
      <c r="C206" s="856"/>
      <c r="D206" s="858"/>
      <c r="E206" s="858"/>
      <c r="F206" s="856"/>
      <c r="G206" s="858"/>
      <c r="H206" s="858"/>
      <c r="I206" s="856"/>
      <c r="J206" s="858"/>
      <c r="K206" s="858"/>
      <c r="L206" s="856"/>
      <c r="M206" s="858"/>
      <c r="N206" s="858">
        <v>44491</v>
      </c>
      <c r="O206" s="856"/>
      <c r="P206" s="858"/>
      <c r="Q206" s="858">
        <f>44491</f>
        <v>44491</v>
      </c>
      <c r="R206" s="39">
        <f t="shared" si="11"/>
        <v>44491</v>
      </c>
    </row>
    <row r="207" spans="1:18" outlineLevel="1" x14ac:dyDescent="0.25">
      <c r="A207" s="536" t="s">
        <v>318</v>
      </c>
      <c r="B207" s="625" t="s">
        <v>353</v>
      </c>
      <c r="C207" s="353">
        <v>0</v>
      </c>
      <c r="D207" s="327">
        <v>0</v>
      </c>
      <c r="E207" s="327">
        <v>0</v>
      </c>
      <c r="F207" s="353">
        <v>0</v>
      </c>
      <c r="G207" s="327">
        <v>0</v>
      </c>
      <c r="H207" s="327">
        <v>0</v>
      </c>
      <c r="I207" s="353">
        <v>0</v>
      </c>
      <c r="J207" s="327">
        <v>0</v>
      </c>
      <c r="K207" s="327">
        <v>0</v>
      </c>
      <c r="L207" s="353">
        <v>0</v>
      </c>
      <c r="M207" s="327">
        <v>0</v>
      </c>
      <c r="N207" s="327">
        <v>0</v>
      </c>
      <c r="O207" s="353">
        <v>0</v>
      </c>
      <c r="P207" s="327">
        <v>0</v>
      </c>
      <c r="Q207" s="327">
        <v>0</v>
      </c>
      <c r="R207" s="39">
        <f t="shared" si="11"/>
        <v>0</v>
      </c>
    </row>
    <row r="213" spans="2:17" x14ac:dyDescent="0.25">
      <c r="B213" s="41" t="s">
        <v>1655</v>
      </c>
    </row>
    <row r="214" spans="2:17" x14ac:dyDescent="0.25">
      <c r="B214" s="41" t="s">
        <v>573</v>
      </c>
      <c r="E214" s="39">
        <f>+E153+E158+E174+E179+E188+E195+E200</f>
        <v>264191250</v>
      </c>
      <c r="H214" s="39">
        <f>+H153+H158+H174+H179+H188+H195+H200</f>
        <v>264191250</v>
      </c>
      <c r="K214" s="39">
        <f>+K153+K158+K174+K179+K188+K195+K200</f>
        <v>264191250</v>
      </c>
      <c r="N214" s="39">
        <f t="shared" ref="N214" si="12">+N153+N158+N174+N179+N188+N195+N200</f>
        <v>264191250</v>
      </c>
      <c r="Q214" s="39">
        <f t="shared" ref="Q214" si="13">+Q153+Q158+Q174+Q179+Q188+Q195+Q200</f>
        <v>248779086</v>
      </c>
    </row>
    <row r="215" spans="2:17" x14ac:dyDescent="0.25">
      <c r="B215" s="41" t="s">
        <v>574</v>
      </c>
      <c r="E215" s="39">
        <f>+E154+E159+E175+E180+E189+E196+E201</f>
        <v>53749525</v>
      </c>
      <c r="H215" s="39">
        <f>+H154+H159+H175+H180+H189+H196+H201</f>
        <v>53749525</v>
      </c>
      <c r="K215" s="39">
        <f>+K154+K159+K175+K180+K189+K196+K201</f>
        <v>53749525</v>
      </c>
      <c r="N215" s="39">
        <f t="shared" ref="N215" si="14">+N154+N159+N175+N180+N189+N196+N201</f>
        <v>53749525</v>
      </c>
      <c r="Q215" s="39">
        <f t="shared" ref="Q215" si="15">+Q154+Q159+Q175+Q180+Q189+Q196+Q201</f>
        <v>46621503</v>
      </c>
    </row>
    <row r="216" spans="2:17" x14ac:dyDescent="0.25">
      <c r="B216" s="41" t="s">
        <v>575</v>
      </c>
      <c r="E216" s="39">
        <f>+E155+E160+E164+E167+E171+E176+E181+E184+E190+E197+E202</f>
        <v>484180000</v>
      </c>
      <c r="H216" s="39">
        <f>+H155+H160+H164+H167+H171+H176+H181+H184+H190+H197+H202</f>
        <v>488013052</v>
      </c>
      <c r="K216" s="39">
        <f>+K155+K160+K164+K167+K171+K176+K181+K184+K190+K197+K202</f>
        <v>428243315</v>
      </c>
      <c r="N216" s="39">
        <f>+N155+N160+N164+N167+N171+N176+N181+N184+N190+N197+N202+N205</f>
        <v>421408597</v>
      </c>
      <c r="Q216" s="39">
        <f>+Q155+Q160+Q164+Q167+Q171+Q176+Q181+Q184+Q190+Q197+Q202+Q205</f>
        <v>388625227</v>
      </c>
    </row>
    <row r="217" spans="2:17" x14ac:dyDescent="0.25">
      <c r="B217" s="41" t="s">
        <v>1476</v>
      </c>
      <c r="E217" s="39">
        <f>+E191</f>
        <v>0</v>
      </c>
      <c r="H217" s="39">
        <f>+H191</f>
        <v>32188454</v>
      </c>
      <c r="K217" s="39">
        <f>+K191</f>
        <v>32188454</v>
      </c>
      <c r="N217" s="39">
        <f>+N191</f>
        <v>32188454</v>
      </c>
      <c r="Q217" s="39">
        <f>+Q191</f>
        <v>32188454</v>
      </c>
    </row>
    <row r="218" spans="2:17" x14ac:dyDescent="0.25">
      <c r="B218" s="41" t="s">
        <v>576</v>
      </c>
      <c r="E218" s="39">
        <f>+E156+E161+E165+E168+E172+E177+E182+E185+E192+E198+E203</f>
        <v>1270000</v>
      </c>
      <c r="H218" s="39">
        <f>+H156+H161+H165+H168+H172+H177+H182+H185+H192+H198+H203</f>
        <v>2690610</v>
      </c>
      <c r="K218" s="39">
        <f>+K156+K161+K165+K168+K172+K177+K182+K185+K192+K198+K203</f>
        <v>4911102</v>
      </c>
      <c r="N218" s="39">
        <f>+N156+N161+N165+N168+N172+N177+N182+N185+N192+N198+N203+N206</f>
        <v>9829773</v>
      </c>
      <c r="Q218" s="39">
        <f>+Q156+Q161+Q165+Q168+Q172+Q177+Q182+Q185+Q192+Q198+Q203+Q206</f>
        <v>9608372</v>
      </c>
    </row>
    <row r="219" spans="2:17" x14ac:dyDescent="0.25">
      <c r="B219" s="41" t="s">
        <v>577</v>
      </c>
      <c r="E219" s="39">
        <f>+E186</f>
        <v>0</v>
      </c>
      <c r="H219" s="39">
        <f>+H186+H193</f>
        <v>1813846</v>
      </c>
      <c r="K219" s="39">
        <f>+K186+K193</f>
        <v>1088898</v>
      </c>
      <c r="N219" s="39">
        <f>+N186+N193+N162+N169</f>
        <v>1088898</v>
      </c>
      <c r="Q219" s="39">
        <f>+Q186+Q193+Q169</f>
        <v>1088898</v>
      </c>
    </row>
    <row r="220" spans="2:17" x14ac:dyDescent="0.25">
      <c r="B220" s="41" t="s">
        <v>578</v>
      </c>
      <c r="E220" s="39">
        <f>SUM(E214:E219)</f>
        <v>803390775</v>
      </c>
      <c r="H220" s="39">
        <f>SUM(H214:H219)</f>
        <v>842646737</v>
      </c>
      <c r="K220" s="39">
        <f>SUM(K214:K219)</f>
        <v>784372544</v>
      </c>
      <c r="N220" s="39">
        <f>SUM(N214:N219)</f>
        <v>782456497</v>
      </c>
      <c r="Q220" s="39">
        <f>SUM(Q214:Q219)</f>
        <v>726911540</v>
      </c>
    </row>
  </sheetData>
  <mergeCells count="22">
    <mergeCell ref="P2:P3"/>
    <mergeCell ref="Q2:Q3"/>
    <mergeCell ref="O4:Q4"/>
    <mergeCell ref="L2:L3"/>
    <mergeCell ref="M2:M3"/>
    <mergeCell ref="N2:N3"/>
    <mergeCell ref="L4:N4"/>
    <mergeCell ref="O2:O3"/>
    <mergeCell ref="I2:I3"/>
    <mergeCell ref="J2:J3"/>
    <mergeCell ref="K2:K3"/>
    <mergeCell ref="I4:K4"/>
    <mergeCell ref="A2:A4"/>
    <mergeCell ref="B2:B4"/>
    <mergeCell ref="F2:F3"/>
    <mergeCell ref="G2:G3"/>
    <mergeCell ref="H2:H3"/>
    <mergeCell ref="F4:H4"/>
    <mergeCell ref="C2:C3"/>
    <mergeCell ref="D2:D3"/>
    <mergeCell ref="E2:E3"/>
    <mergeCell ref="C4:E4"/>
  </mergeCells>
  <printOptions horizontalCentered="1" gridLines="1"/>
  <pageMargins left="0.19685039370078741" right="0.19685039370078741" top="0.86614173228346458" bottom="0.47244094488188981" header="0.15748031496062992" footer="0.27559055118110237"/>
  <pageSetup paperSize="8" scale="90" fitToWidth="0" fitToHeight="6" pageOrder="overThenDown" orientation="portrait" r:id="rId1"/>
  <headerFooter>
    <oddHeader>&amp;L5.  melléklet a ......./2021. (.................) önkormányzati rendelethez&amp;C&amp;"-,Félkövér"&amp;16
A gazdasági szervezettel nem rendelkező költségvetési szervek 2020. évi kiadásai költségvetési szervenként és feladatonként részletes bontásban</oddHeader>
    <oddFooter>&amp;C&amp;P&amp;R&amp;D, &amp;T</oddFooter>
  </headerFooter>
  <rowBreaks count="1" manualBreakCount="1">
    <brk id="207" max="24" man="1"/>
  </row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7D09F7-7A17-4B8A-B277-4F0369844E01}">
  <sheetPr>
    <pageSetUpPr fitToPage="1"/>
  </sheetPr>
  <dimension ref="A1:I19"/>
  <sheetViews>
    <sheetView showZeros="0" view="pageLayout" topLeftCell="A7" zoomScaleNormal="100" zoomScaleSheetLayoutView="74" workbookViewId="0">
      <selection activeCell="I7" sqref="I7"/>
    </sheetView>
  </sheetViews>
  <sheetFormatPr defaultColWidth="12.28515625" defaultRowHeight="12.75" x14ac:dyDescent="0.2"/>
  <cols>
    <col min="1" max="1" width="57" style="267" customWidth="1"/>
    <col min="2" max="3" width="10.140625" style="268" hidden="1" customWidth="1"/>
    <col min="4" max="4" width="14" style="930" customWidth="1"/>
    <col min="5" max="5" width="14" style="267" hidden="1" customWidth="1"/>
    <col min="6" max="7" width="12.28515625" style="267" customWidth="1"/>
    <col min="8" max="256" width="12.28515625" style="267"/>
    <col min="257" max="257" width="57" style="267" customWidth="1"/>
    <col min="258" max="259" width="0" style="267" hidden="1" customWidth="1"/>
    <col min="260" max="260" width="14" style="267" customWidth="1"/>
    <col min="261" max="261" width="0" style="267" hidden="1" customWidth="1"/>
    <col min="262" max="512" width="12.28515625" style="267"/>
    <col min="513" max="513" width="57" style="267" customWidth="1"/>
    <col min="514" max="515" width="0" style="267" hidden="1" customWidth="1"/>
    <col min="516" max="516" width="14" style="267" customWidth="1"/>
    <col min="517" max="517" width="0" style="267" hidden="1" customWidth="1"/>
    <col min="518" max="768" width="12.28515625" style="267"/>
    <col min="769" max="769" width="57" style="267" customWidth="1"/>
    <col min="770" max="771" width="0" style="267" hidden="1" customWidth="1"/>
    <col min="772" max="772" width="14" style="267" customWidth="1"/>
    <col min="773" max="773" width="0" style="267" hidden="1" customWidth="1"/>
    <col min="774" max="1024" width="12.28515625" style="267"/>
    <col min="1025" max="1025" width="57" style="267" customWidth="1"/>
    <col min="1026" max="1027" width="0" style="267" hidden="1" customWidth="1"/>
    <col min="1028" max="1028" width="14" style="267" customWidth="1"/>
    <col min="1029" max="1029" width="0" style="267" hidden="1" customWidth="1"/>
    <col min="1030" max="1280" width="12.28515625" style="267"/>
    <col min="1281" max="1281" width="57" style="267" customWidth="1"/>
    <col min="1282" max="1283" width="0" style="267" hidden="1" customWidth="1"/>
    <col min="1284" max="1284" width="14" style="267" customWidth="1"/>
    <col min="1285" max="1285" width="0" style="267" hidden="1" customWidth="1"/>
    <col min="1286" max="1536" width="12.28515625" style="267"/>
    <col min="1537" max="1537" width="57" style="267" customWidth="1"/>
    <col min="1538" max="1539" width="0" style="267" hidden="1" customWidth="1"/>
    <col min="1540" max="1540" width="14" style="267" customWidth="1"/>
    <col min="1541" max="1541" width="0" style="267" hidden="1" customWidth="1"/>
    <col min="1542" max="1792" width="12.28515625" style="267"/>
    <col min="1793" max="1793" width="57" style="267" customWidth="1"/>
    <col min="1794" max="1795" width="0" style="267" hidden="1" customWidth="1"/>
    <col min="1796" max="1796" width="14" style="267" customWidth="1"/>
    <col min="1797" max="1797" width="0" style="267" hidden="1" customWidth="1"/>
    <col min="1798" max="2048" width="12.28515625" style="267"/>
    <col min="2049" max="2049" width="57" style="267" customWidth="1"/>
    <col min="2050" max="2051" width="0" style="267" hidden="1" customWidth="1"/>
    <col min="2052" max="2052" width="14" style="267" customWidth="1"/>
    <col min="2053" max="2053" width="0" style="267" hidden="1" customWidth="1"/>
    <col min="2054" max="2304" width="12.28515625" style="267"/>
    <col min="2305" max="2305" width="57" style="267" customWidth="1"/>
    <col min="2306" max="2307" width="0" style="267" hidden="1" customWidth="1"/>
    <col min="2308" max="2308" width="14" style="267" customWidth="1"/>
    <col min="2309" max="2309" width="0" style="267" hidden="1" customWidth="1"/>
    <col min="2310" max="2560" width="12.28515625" style="267"/>
    <col min="2561" max="2561" width="57" style="267" customWidth="1"/>
    <col min="2562" max="2563" width="0" style="267" hidden="1" customWidth="1"/>
    <col min="2564" max="2564" width="14" style="267" customWidth="1"/>
    <col min="2565" max="2565" width="0" style="267" hidden="1" customWidth="1"/>
    <col min="2566" max="2816" width="12.28515625" style="267"/>
    <col min="2817" max="2817" width="57" style="267" customWidth="1"/>
    <col min="2818" max="2819" width="0" style="267" hidden="1" customWidth="1"/>
    <col min="2820" max="2820" width="14" style="267" customWidth="1"/>
    <col min="2821" max="2821" width="0" style="267" hidden="1" customWidth="1"/>
    <col min="2822" max="3072" width="12.28515625" style="267"/>
    <col min="3073" max="3073" width="57" style="267" customWidth="1"/>
    <col min="3074" max="3075" width="0" style="267" hidden="1" customWidth="1"/>
    <col min="3076" max="3076" width="14" style="267" customWidth="1"/>
    <col min="3077" max="3077" width="0" style="267" hidden="1" customWidth="1"/>
    <col min="3078" max="3328" width="12.28515625" style="267"/>
    <col min="3329" max="3329" width="57" style="267" customWidth="1"/>
    <col min="3330" max="3331" width="0" style="267" hidden="1" customWidth="1"/>
    <col min="3332" max="3332" width="14" style="267" customWidth="1"/>
    <col min="3333" max="3333" width="0" style="267" hidden="1" customWidth="1"/>
    <col min="3334" max="3584" width="12.28515625" style="267"/>
    <col min="3585" max="3585" width="57" style="267" customWidth="1"/>
    <col min="3586" max="3587" width="0" style="267" hidden="1" customWidth="1"/>
    <col min="3588" max="3588" width="14" style="267" customWidth="1"/>
    <col min="3589" max="3589" width="0" style="267" hidden="1" customWidth="1"/>
    <col min="3590" max="3840" width="12.28515625" style="267"/>
    <col min="3841" max="3841" width="57" style="267" customWidth="1"/>
    <col min="3842" max="3843" width="0" style="267" hidden="1" customWidth="1"/>
    <col min="3844" max="3844" width="14" style="267" customWidth="1"/>
    <col min="3845" max="3845" width="0" style="267" hidden="1" customWidth="1"/>
    <col min="3846" max="4096" width="12.28515625" style="267"/>
    <col min="4097" max="4097" width="57" style="267" customWidth="1"/>
    <col min="4098" max="4099" width="0" style="267" hidden="1" customWidth="1"/>
    <col min="4100" max="4100" width="14" style="267" customWidth="1"/>
    <col min="4101" max="4101" width="0" style="267" hidden="1" customWidth="1"/>
    <col min="4102" max="4352" width="12.28515625" style="267"/>
    <col min="4353" max="4353" width="57" style="267" customWidth="1"/>
    <col min="4354" max="4355" width="0" style="267" hidden="1" customWidth="1"/>
    <col min="4356" max="4356" width="14" style="267" customWidth="1"/>
    <col min="4357" max="4357" width="0" style="267" hidden="1" customWidth="1"/>
    <col min="4358" max="4608" width="12.28515625" style="267"/>
    <col min="4609" max="4609" width="57" style="267" customWidth="1"/>
    <col min="4610" max="4611" width="0" style="267" hidden="1" customWidth="1"/>
    <col min="4612" max="4612" width="14" style="267" customWidth="1"/>
    <col min="4613" max="4613" width="0" style="267" hidden="1" customWidth="1"/>
    <col min="4614" max="4864" width="12.28515625" style="267"/>
    <col min="4865" max="4865" width="57" style="267" customWidth="1"/>
    <col min="4866" max="4867" width="0" style="267" hidden="1" customWidth="1"/>
    <col min="4868" max="4868" width="14" style="267" customWidth="1"/>
    <col min="4869" max="4869" width="0" style="267" hidden="1" customWidth="1"/>
    <col min="4870" max="5120" width="12.28515625" style="267"/>
    <col min="5121" max="5121" width="57" style="267" customWidth="1"/>
    <col min="5122" max="5123" width="0" style="267" hidden="1" customWidth="1"/>
    <col min="5124" max="5124" width="14" style="267" customWidth="1"/>
    <col min="5125" max="5125" width="0" style="267" hidden="1" customWidth="1"/>
    <col min="5126" max="5376" width="12.28515625" style="267"/>
    <col min="5377" max="5377" width="57" style="267" customWidth="1"/>
    <col min="5378" max="5379" width="0" style="267" hidden="1" customWidth="1"/>
    <col min="5380" max="5380" width="14" style="267" customWidth="1"/>
    <col min="5381" max="5381" width="0" style="267" hidden="1" customWidth="1"/>
    <col min="5382" max="5632" width="12.28515625" style="267"/>
    <col min="5633" max="5633" width="57" style="267" customWidth="1"/>
    <col min="5634" max="5635" width="0" style="267" hidden="1" customWidth="1"/>
    <col min="5636" max="5636" width="14" style="267" customWidth="1"/>
    <col min="5637" max="5637" width="0" style="267" hidden="1" customWidth="1"/>
    <col min="5638" max="5888" width="12.28515625" style="267"/>
    <col min="5889" max="5889" width="57" style="267" customWidth="1"/>
    <col min="5890" max="5891" width="0" style="267" hidden="1" customWidth="1"/>
    <col min="5892" max="5892" width="14" style="267" customWidth="1"/>
    <col min="5893" max="5893" width="0" style="267" hidden="1" customWidth="1"/>
    <col min="5894" max="6144" width="12.28515625" style="267"/>
    <col min="6145" max="6145" width="57" style="267" customWidth="1"/>
    <col min="6146" max="6147" width="0" style="267" hidden="1" customWidth="1"/>
    <col min="6148" max="6148" width="14" style="267" customWidth="1"/>
    <col min="6149" max="6149" width="0" style="267" hidden="1" customWidth="1"/>
    <col min="6150" max="6400" width="12.28515625" style="267"/>
    <col min="6401" max="6401" width="57" style="267" customWidth="1"/>
    <col min="6402" max="6403" width="0" style="267" hidden="1" customWidth="1"/>
    <col min="6404" max="6404" width="14" style="267" customWidth="1"/>
    <col min="6405" max="6405" width="0" style="267" hidden="1" customWidth="1"/>
    <col min="6406" max="6656" width="12.28515625" style="267"/>
    <col min="6657" max="6657" width="57" style="267" customWidth="1"/>
    <col min="6658" max="6659" width="0" style="267" hidden="1" customWidth="1"/>
    <col min="6660" max="6660" width="14" style="267" customWidth="1"/>
    <col min="6661" max="6661" width="0" style="267" hidden="1" customWidth="1"/>
    <col min="6662" max="6912" width="12.28515625" style="267"/>
    <col min="6913" max="6913" width="57" style="267" customWidth="1"/>
    <col min="6914" max="6915" width="0" style="267" hidden="1" customWidth="1"/>
    <col min="6916" max="6916" width="14" style="267" customWidth="1"/>
    <col min="6917" max="6917" width="0" style="267" hidden="1" customWidth="1"/>
    <col min="6918" max="7168" width="12.28515625" style="267"/>
    <col min="7169" max="7169" width="57" style="267" customWidth="1"/>
    <col min="7170" max="7171" width="0" style="267" hidden="1" customWidth="1"/>
    <col min="7172" max="7172" width="14" style="267" customWidth="1"/>
    <col min="7173" max="7173" width="0" style="267" hidden="1" customWidth="1"/>
    <col min="7174" max="7424" width="12.28515625" style="267"/>
    <col min="7425" max="7425" width="57" style="267" customWidth="1"/>
    <col min="7426" max="7427" width="0" style="267" hidden="1" customWidth="1"/>
    <col min="7428" max="7428" width="14" style="267" customWidth="1"/>
    <col min="7429" max="7429" width="0" style="267" hidden="1" customWidth="1"/>
    <col min="7430" max="7680" width="12.28515625" style="267"/>
    <col min="7681" max="7681" width="57" style="267" customWidth="1"/>
    <col min="7682" max="7683" width="0" style="267" hidden="1" customWidth="1"/>
    <col min="7684" max="7684" width="14" style="267" customWidth="1"/>
    <col min="7685" max="7685" width="0" style="267" hidden="1" customWidth="1"/>
    <col min="7686" max="7936" width="12.28515625" style="267"/>
    <col min="7937" max="7937" width="57" style="267" customWidth="1"/>
    <col min="7938" max="7939" width="0" style="267" hidden="1" customWidth="1"/>
    <col min="7940" max="7940" width="14" style="267" customWidth="1"/>
    <col min="7941" max="7941" width="0" style="267" hidden="1" customWidth="1"/>
    <col min="7942" max="8192" width="12.28515625" style="267"/>
    <col min="8193" max="8193" width="57" style="267" customWidth="1"/>
    <col min="8194" max="8195" width="0" style="267" hidden="1" customWidth="1"/>
    <col min="8196" max="8196" width="14" style="267" customWidth="1"/>
    <col min="8197" max="8197" width="0" style="267" hidden="1" customWidth="1"/>
    <col min="8198" max="8448" width="12.28515625" style="267"/>
    <col min="8449" max="8449" width="57" style="267" customWidth="1"/>
    <col min="8450" max="8451" width="0" style="267" hidden="1" customWidth="1"/>
    <col min="8452" max="8452" width="14" style="267" customWidth="1"/>
    <col min="8453" max="8453" width="0" style="267" hidden="1" customWidth="1"/>
    <col min="8454" max="8704" width="12.28515625" style="267"/>
    <col min="8705" max="8705" width="57" style="267" customWidth="1"/>
    <col min="8706" max="8707" width="0" style="267" hidden="1" customWidth="1"/>
    <col min="8708" max="8708" width="14" style="267" customWidth="1"/>
    <col min="8709" max="8709" width="0" style="267" hidden="1" customWidth="1"/>
    <col min="8710" max="8960" width="12.28515625" style="267"/>
    <col min="8961" max="8961" width="57" style="267" customWidth="1"/>
    <col min="8962" max="8963" width="0" style="267" hidden="1" customWidth="1"/>
    <col min="8964" max="8964" width="14" style="267" customWidth="1"/>
    <col min="8965" max="8965" width="0" style="267" hidden="1" customWidth="1"/>
    <col min="8966" max="9216" width="12.28515625" style="267"/>
    <col min="9217" max="9217" width="57" style="267" customWidth="1"/>
    <col min="9218" max="9219" width="0" style="267" hidden="1" customWidth="1"/>
    <col min="9220" max="9220" width="14" style="267" customWidth="1"/>
    <col min="9221" max="9221" width="0" style="267" hidden="1" customWidth="1"/>
    <col min="9222" max="9472" width="12.28515625" style="267"/>
    <col min="9473" max="9473" width="57" style="267" customWidth="1"/>
    <col min="9474" max="9475" width="0" style="267" hidden="1" customWidth="1"/>
    <col min="9476" max="9476" width="14" style="267" customWidth="1"/>
    <col min="9477" max="9477" width="0" style="267" hidden="1" customWidth="1"/>
    <col min="9478" max="9728" width="12.28515625" style="267"/>
    <col min="9729" max="9729" width="57" style="267" customWidth="1"/>
    <col min="9730" max="9731" width="0" style="267" hidden="1" customWidth="1"/>
    <col min="9732" max="9732" width="14" style="267" customWidth="1"/>
    <col min="9733" max="9733" width="0" style="267" hidden="1" customWidth="1"/>
    <col min="9734" max="9984" width="12.28515625" style="267"/>
    <col min="9985" max="9985" width="57" style="267" customWidth="1"/>
    <col min="9986" max="9987" width="0" style="267" hidden="1" customWidth="1"/>
    <col min="9988" max="9988" width="14" style="267" customWidth="1"/>
    <col min="9989" max="9989" width="0" style="267" hidden="1" customWidth="1"/>
    <col min="9990" max="10240" width="12.28515625" style="267"/>
    <col min="10241" max="10241" width="57" style="267" customWidth="1"/>
    <col min="10242" max="10243" width="0" style="267" hidden="1" customWidth="1"/>
    <col min="10244" max="10244" width="14" style="267" customWidth="1"/>
    <col min="10245" max="10245" width="0" style="267" hidden="1" customWidth="1"/>
    <col min="10246" max="10496" width="12.28515625" style="267"/>
    <col min="10497" max="10497" width="57" style="267" customWidth="1"/>
    <col min="10498" max="10499" width="0" style="267" hidden="1" customWidth="1"/>
    <col min="10500" max="10500" width="14" style="267" customWidth="1"/>
    <col min="10501" max="10501" width="0" style="267" hidden="1" customWidth="1"/>
    <col min="10502" max="10752" width="12.28515625" style="267"/>
    <col min="10753" max="10753" width="57" style="267" customWidth="1"/>
    <col min="10754" max="10755" width="0" style="267" hidden="1" customWidth="1"/>
    <col min="10756" max="10756" width="14" style="267" customWidth="1"/>
    <col min="10757" max="10757" width="0" style="267" hidden="1" customWidth="1"/>
    <col min="10758" max="11008" width="12.28515625" style="267"/>
    <col min="11009" max="11009" width="57" style="267" customWidth="1"/>
    <col min="11010" max="11011" width="0" style="267" hidden="1" customWidth="1"/>
    <col min="11012" max="11012" width="14" style="267" customWidth="1"/>
    <col min="11013" max="11013" width="0" style="267" hidden="1" customWidth="1"/>
    <col min="11014" max="11264" width="12.28515625" style="267"/>
    <col min="11265" max="11265" width="57" style="267" customWidth="1"/>
    <col min="11266" max="11267" width="0" style="267" hidden="1" customWidth="1"/>
    <col min="11268" max="11268" width="14" style="267" customWidth="1"/>
    <col min="11269" max="11269" width="0" style="267" hidden="1" customWidth="1"/>
    <col min="11270" max="11520" width="12.28515625" style="267"/>
    <col min="11521" max="11521" width="57" style="267" customWidth="1"/>
    <col min="11522" max="11523" width="0" style="267" hidden="1" customWidth="1"/>
    <col min="11524" max="11524" width="14" style="267" customWidth="1"/>
    <col min="11525" max="11525" width="0" style="267" hidden="1" customWidth="1"/>
    <col min="11526" max="11776" width="12.28515625" style="267"/>
    <col min="11777" max="11777" width="57" style="267" customWidth="1"/>
    <col min="11778" max="11779" width="0" style="267" hidden="1" customWidth="1"/>
    <col min="11780" max="11780" width="14" style="267" customWidth="1"/>
    <col min="11781" max="11781" width="0" style="267" hidden="1" customWidth="1"/>
    <col min="11782" max="12032" width="12.28515625" style="267"/>
    <col min="12033" max="12033" width="57" style="267" customWidth="1"/>
    <col min="12034" max="12035" width="0" style="267" hidden="1" customWidth="1"/>
    <col min="12036" max="12036" width="14" style="267" customWidth="1"/>
    <col min="12037" max="12037" width="0" style="267" hidden="1" customWidth="1"/>
    <col min="12038" max="12288" width="12.28515625" style="267"/>
    <col min="12289" max="12289" width="57" style="267" customWidth="1"/>
    <col min="12290" max="12291" width="0" style="267" hidden="1" customWidth="1"/>
    <col min="12292" max="12292" width="14" style="267" customWidth="1"/>
    <col min="12293" max="12293" width="0" style="267" hidden="1" customWidth="1"/>
    <col min="12294" max="12544" width="12.28515625" style="267"/>
    <col min="12545" max="12545" width="57" style="267" customWidth="1"/>
    <col min="12546" max="12547" width="0" style="267" hidden="1" customWidth="1"/>
    <col min="12548" max="12548" width="14" style="267" customWidth="1"/>
    <col min="12549" max="12549" width="0" style="267" hidden="1" customWidth="1"/>
    <col min="12550" max="12800" width="12.28515625" style="267"/>
    <col min="12801" max="12801" width="57" style="267" customWidth="1"/>
    <col min="12802" max="12803" width="0" style="267" hidden="1" customWidth="1"/>
    <col min="12804" max="12804" width="14" style="267" customWidth="1"/>
    <col min="12805" max="12805" width="0" style="267" hidden="1" customWidth="1"/>
    <col min="12806" max="13056" width="12.28515625" style="267"/>
    <col min="13057" max="13057" width="57" style="267" customWidth="1"/>
    <col min="13058" max="13059" width="0" style="267" hidden="1" customWidth="1"/>
    <col min="13060" max="13060" width="14" style="267" customWidth="1"/>
    <col min="13061" max="13061" width="0" style="267" hidden="1" customWidth="1"/>
    <col min="13062" max="13312" width="12.28515625" style="267"/>
    <col min="13313" max="13313" width="57" style="267" customWidth="1"/>
    <col min="13314" max="13315" width="0" style="267" hidden="1" customWidth="1"/>
    <col min="13316" max="13316" width="14" style="267" customWidth="1"/>
    <col min="13317" max="13317" width="0" style="267" hidden="1" customWidth="1"/>
    <col min="13318" max="13568" width="12.28515625" style="267"/>
    <col min="13569" max="13569" width="57" style="267" customWidth="1"/>
    <col min="13570" max="13571" width="0" style="267" hidden="1" customWidth="1"/>
    <col min="13572" max="13572" width="14" style="267" customWidth="1"/>
    <col min="13573" max="13573" width="0" style="267" hidden="1" customWidth="1"/>
    <col min="13574" max="13824" width="12.28515625" style="267"/>
    <col min="13825" max="13825" width="57" style="267" customWidth="1"/>
    <col min="13826" max="13827" width="0" style="267" hidden="1" customWidth="1"/>
    <col min="13828" max="13828" width="14" style="267" customWidth="1"/>
    <col min="13829" max="13829" width="0" style="267" hidden="1" customWidth="1"/>
    <col min="13830" max="14080" width="12.28515625" style="267"/>
    <col min="14081" max="14081" width="57" style="267" customWidth="1"/>
    <col min="14082" max="14083" width="0" style="267" hidden="1" customWidth="1"/>
    <col min="14084" max="14084" width="14" style="267" customWidth="1"/>
    <col min="14085" max="14085" width="0" style="267" hidden="1" customWidth="1"/>
    <col min="14086" max="14336" width="12.28515625" style="267"/>
    <col min="14337" max="14337" width="57" style="267" customWidth="1"/>
    <col min="14338" max="14339" width="0" style="267" hidden="1" customWidth="1"/>
    <col min="14340" max="14340" width="14" style="267" customWidth="1"/>
    <col min="14341" max="14341" width="0" style="267" hidden="1" customWidth="1"/>
    <col min="14342" max="14592" width="12.28515625" style="267"/>
    <col min="14593" max="14593" width="57" style="267" customWidth="1"/>
    <col min="14594" max="14595" width="0" style="267" hidden="1" customWidth="1"/>
    <col min="14596" max="14596" width="14" style="267" customWidth="1"/>
    <col min="14597" max="14597" width="0" style="267" hidden="1" customWidth="1"/>
    <col min="14598" max="14848" width="12.28515625" style="267"/>
    <col min="14849" max="14849" width="57" style="267" customWidth="1"/>
    <col min="14850" max="14851" width="0" style="267" hidden="1" customWidth="1"/>
    <col min="14852" max="14852" width="14" style="267" customWidth="1"/>
    <col min="14853" max="14853" width="0" style="267" hidden="1" customWidth="1"/>
    <col min="14854" max="15104" width="12.28515625" style="267"/>
    <col min="15105" max="15105" width="57" style="267" customWidth="1"/>
    <col min="15106" max="15107" width="0" style="267" hidden="1" customWidth="1"/>
    <col min="15108" max="15108" width="14" style="267" customWidth="1"/>
    <col min="15109" max="15109" width="0" style="267" hidden="1" customWidth="1"/>
    <col min="15110" max="15360" width="12.28515625" style="267"/>
    <col min="15361" max="15361" width="57" style="267" customWidth="1"/>
    <col min="15362" max="15363" width="0" style="267" hidden="1" customWidth="1"/>
    <col min="15364" max="15364" width="14" style="267" customWidth="1"/>
    <col min="15365" max="15365" width="0" style="267" hidden="1" customWidth="1"/>
    <col min="15366" max="15616" width="12.28515625" style="267"/>
    <col min="15617" max="15617" width="57" style="267" customWidth="1"/>
    <col min="15618" max="15619" width="0" style="267" hidden="1" customWidth="1"/>
    <col min="15620" max="15620" width="14" style="267" customWidth="1"/>
    <col min="15621" max="15621" width="0" style="267" hidden="1" customWidth="1"/>
    <col min="15622" max="15872" width="12.28515625" style="267"/>
    <col min="15873" max="15873" width="57" style="267" customWidth="1"/>
    <col min="15874" max="15875" width="0" style="267" hidden="1" customWidth="1"/>
    <col min="15876" max="15876" width="14" style="267" customWidth="1"/>
    <col min="15877" max="15877" width="0" style="267" hidden="1" customWidth="1"/>
    <col min="15878" max="16128" width="12.28515625" style="267"/>
    <col min="16129" max="16129" width="57" style="267" customWidth="1"/>
    <col min="16130" max="16131" width="0" style="267" hidden="1" customWidth="1"/>
    <col min="16132" max="16132" width="14" style="267" customWidth="1"/>
    <col min="16133" max="16133" width="0" style="267" hidden="1" customWidth="1"/>
    <col min="16134" max="16384" width="12.28515625" style="267"/>
  </cols>
  <sheetData>
    <row r="1" spans="1:9" s="266" customFormat="1" ht="42.6" customHeight="1" x14ac:dyDescent="0.25">
      <c r="A1" s="984" t="s">
        <v>1240</v>
      </c>
      <c r="B1" s="984"/>
      <c r="C1" s="984"/>
      <c r="D1" s="984"/>
      <c r="E1" s="984"/>
      <c r="F1" s="984"/>
      <c r="G1" s="984"/>
      <c r="H1" s="984"/>
      <c r="I1" s="984"/>
    </row>
    <row r="2" spans="1:9" ht="39.75" customHeight="1" x14ac:dyDescent="0.2">
      <c r="A2" s="985" t="s">
        <v>1241</v>
      </c>
      <c r="B2" s="986" t="s">
        <v>1289</v>
      </c>
      <c r="C2" s="986"/>
      <c r="D2" s="987" t="s">
        <v>1368</v>
      </c>
      <c r="E2" s="986" t="s">
        <v>1459</v>
      </c>
      <c r="F2" s="986" t="s">
        <v>1711</v>
      </c>
      <c r="G2" s="986"/>
      <c r="H2" s="986" t="s">
        <v>1242</v>
      </c>
      <c r="I2" s="986" t="s">
        <v>1247</v>
      </c>
    </row>
    <row r="3" spans="1:9" s="268" customFormat="1" ht="25.5" x14ac:dyDescent="0.25">
      <c r="A3" s="985"/>
      <c r="B3" s="913" t="s">
        <v>1243</v>
      </c>
      <c r="C3" s="913" t="s">
        <v>1244</v>
      </c>
      <c r="D3" s="987"/>
      <c r="E3" s="986"/>
      <c r="F3" s="913" t="s">
        <v>1243</v>
      </c>
      <c r="G3" s="913" t="s">
        <v>1244</v>
      </c>
      <c r="H3" s="986"/>
      <c r="I3" s="986"/>
    </row>
    <row r="4" spans="1:9" s="268" customFormat="1" x14ac:dyDescent="0.25">
      <c r="A4" s="914"/>
      <c r="B4" s="913"/>
      <c r="C4" s="913"/>
      <c r="D4" s="925" t="s">
        <v>1710</v>
      </c>
      <c r="E4" s="269" t="s">
        <v>1460</v>
      </c>
      <c r="F4" s="913"/>
      <c r="G4" s="913"/>
      <c r="H4" s="269" t="s">
        <v>1710</v>
      </c>
      <c r="I4" s="269" t="s">
        <v>1710</v>
      </c>
    </row>
    <row r="5" spans="1:9" s="271" customFormat="1" ht="24" customHeight="1" x14ac:dyDescent="0.25">
      <c r="A5" s="270" t="s">
        <v>1245</v>
      </c>
      <c r="B5" s="270"/>
      <c r="C5" s="270"/>
      <c r="D5" s="926"/>
      <c r="E5" s="270"/>
      <c r="F5" s="270"/>
      <c r="G5" s="270"/>
      <c r="H5" s="270"/>
      <c r="I5" s="270"/>
    </row>
    <row r="6" spans="1:9" s="271" customFormat="1" ht="23.25" customHeight="1" x14ac:dyDescent="0.25">
      <c r="A6" s="272" t="s">
        <v>1218</v>
      </c>
      <c r="B6" s="914">
        <v>7</v>
      </c>
      <c r="C6" s="914">
        <v>1</v>
      </c>
      <c r="D6" s="927">
        <f>'[6]2B Önk kiad'!F5</f>
        <v>11</v>
      </c>
      <c r="E6" s="273">
        <v>16</v>
      </c>
      <c r="F6" s="914"/>
      <c r="G6" s="914"/>
      <c r="H6" s="273">
        <f>'[6]2B Önk kiad'!F6</f>
        <v>0</v>
      </c>
      <c r="I6" s="273">
        <v>0</v>
      </c>
    </row>
    <row r="7" spans="1:9" s="271" customFormat="1" ht="23.25" customHeight="1" x14ac:dyDescent="0.25">
      <c r="A7" s="272" t="s">
        <v>985</v>
      </c>
      <c r="B7" s="914">
        <v>69</v>
      </c>
      <c r="C7" s="914">
        <v>2</v>
      </c>
      <c r="D7" s="927">
        <f>'[6]3A PH'!F5</f>
        <v>84</v>
      </c>
      <c r="E7" s="273">
        <v>79</v>
      </c>
      <c r="F7" s="914"/>
      <c r="G7" s="914"/>
      <c r="H7" s="273">
        <f>'[6]3A PH'!F6</f>
        <v>0</v>
      </c>
      <c r="I7" s="273">
        <f>'[6]3A PH'!F7</f>
        <v>7</v>
      </c>
    </row>
    <row r="8" spans="1:9" s="278" customFormat="1" ht="23.25" customHeight="1" x14ac:dyDescent="0.25">
      <c r="A8" s="275" t="s">
        <v>1018</v>
      </c>
      <c r="B8" s="277">
        <f t="shared" ref="B8:H8" si="0">SUM(B6:B7)</f>
        <v>76</v>
      </c>
      <c r="C8" s="277">
        <f t="shared" si="0"/>
        <v>3</v>
      </c>
      <c r="D8" s="928">
        <f t="shared" si="0"/>
        <v>95</v>
      </c>
      <c r="E8" s="276">
        <f t="shared" si="0"/>
        <v>95</v>
      </c>
      <c r="F8" s="277">
        <f t="shared" si="0"/>
        <v>0</v>
      </c>
      <c r="G8" s="277">
        <f t="shared" si="0"/>
        <v>0</v>
      </c>
      <c r="H8" s="276">
        <f t="shared" si="0"/>
        <v>0</v>
      </c>
      <c r="I8" s="276">
        <f>SUM(I7:I7)</f>
        <v>7</v>
      </c>
    </row>
    <row r="9" spans="1:9" s="271" customFormat="1" ht="23.25" customHeight="1" x14ac:dyDescent="0.25">
      <c r="A9" s="270" t="s">
        <v>1219</v>
      </c>
      <c r="B9" s="270"/>
      <c r="C9" s="270"/>
      <c r="D9" s="926"/>
      <c r="E9" s="270"/>
      <c r="F9" s="270"/>
      <c r="G9" s="270"/>
      <c r="H9" s="270"/>
      <c r="I9" s="270"/>
    </row>
    <row r="10" spans="1:9" s="266" customFormat="1" ht="23.25" customHeight="1" x14ac:dyDescent="0.25">
      <c r="A10" s="274" t="s">
        <v>347</v>
      </c>
      <c r="B10" s="914">
        <v>12</v>
      </c>
      <c r="C10" s="914">
        <v>1</v>
      </c>
      <c r="D10" s="927">
        <f>'[6]4A Walla'!E6</f>
        <v>13</v>
      </c>
      <c r="E10" s="672">
        <v>13</v>
      </c>
      <c r="F10" s="914"/>
      <c r="G10" s="914"/>
      <c r="H10" s="672"/>
      <c r="I10" s="672">
        <v>0</v>
      </c>
    </row>
    <row r="11" spans="1:9" s="266" customFormat="1" ht="23.25" customHeight="1" x14ac:dyDescent="0.25">
      <c r="A11" s="274" t="s">
        <v>354</v>
      </c>
      <c r="B11" s="914">
        <v>28</v>
      </c>
      <c r="C11" s="914">
        <v>1</v>
      </c>
      <c r="D11" s="927">
        <f>'[6]4B Nyitnikék'!E6</f>
        <v>32</v>
      </c>
      <c r="E11" s="672">
        <v>32</v>
      </c>
      <c r="F11" s="914"/>
      <c r="G11" s="914"/>
      <c r="H11" s="279"/>
      <c r="I11" s="279">
        <v>0</v>
      </c>
    </row>
    <row r="12" spans="1:9" s="266" customFormat="1" ht="23.25" customHeight="1" x14ac:dyDescent="0.25">
      <c r="A12" s="274" t="s">
        <v>355</v>
      </c>
      <c r="B12" s="914">
        <v>53</v>
      </c>
      <c r="C12" s="914">
        <v>4</v>
      </c>
      <c r="D12" s="927">
        <f>'[6]4C Bóbita'!E6</f>
        <v>55</v>
      </c>
      <c r="E12" s="672">
        <v>56</v>
      </c>
      <c r="F12" s="914"/>
      <c r="G12" s="914"/>
      <c r="H12" s="672"/>
      <c r="I12" s="672">
        <v>0</v>
      </c>
    </row>
    <row r="13" spans="1:9" s="266" customFormat="1" ht="23.25" customHeight="1" x14ac:dyDescent="0.25">
      <c r="A13" s="274" t="s">
        <v>356</v>
      </c>
      <c r="B13" s="914">
        <v>11</v>
      </c>
      <c r="C13" s="914">
        <v>3</v>
      </c>
      <c r="D13" s="927">
        <f>+'[6]4D MMMH'!E6</f>
        <v>17</v>
      </c>
      <c r="E13" s="672">
        <v>15</v>
      </c>
      <c r="F13" s="914"/>
      <c r="G13" s="914"/>
      <c r="H13" s="279"/>
      <c r="I13" s="279">
        <v>0</v>
      </c>
    </row>
    <row r="14" spans="1:9" s="266" customFormat="1" ht="23.25" customHeight="1" x14ac:dyDescent="0.25">
      <c r="A14" s="274" t="s">
        <v>1225</v>
      </c>
      <c r="B14" s="914">
        <v>4</v>
      </c>
      <c r="C14" s="914">
        <v>1</v>
      </c>
      <c r="D14" s="927">
        <f>+'[6]4E Könyvtár'!E6</f>
        <v>5.5</v>
      </c>
      <c r="E14" s="672">
        <v>5</v>
      </c>
      <c r="F14" s="914"/>
      <c r="G14" s="914"/>
      <c r="H14" s="279"/>
      <c r="I14" s="279">
        <v>0</v>
      </c>
    </row>
    <row r="15" spans="1:9" s="266" customFormat="1" ht="23.25" customHeight="1" x14ac:dyDescent="0.25">
      <c r="A15" s="274" t="s">
        <v>362</v>
      </c>
      <c r="B15" s="914">
        <v>13</v>
      </c>
      <c r="C15" s="914">
        <v>4</v>
      </c>
      <c r="D15" s="927">
        <v>19</v>
      </c>
      <c r="E15" s="672">
        <v>17</v>
      </c>
      <c r="F15" s="914"/>
      <c r="G15" s="914"/>
      <c r="H15" s="672"/>
      <c r="I15" s="672">
        <v>0</v>
      </c>
    </row>
    <row r="16" spans="1:9" s="266" customFormat="1" ht="23.25" customHeight="1" x14ac:dyDescent="0.25">
      <c r="A16" s="274" t="s">
        <v>1291</v>
      </c>
      <c r="B16" s="914">
        <v>22</v>
      </c>
      <c r="C16" s="914"/>
      <c r="D16" s="927">
        <f>+'[6]4G Szérüskert'!E6</f>
        <v>24</v>
      </c>
      <c r="E16" s="672">
        <v>24</v>
      </c>
      <c r="F16" s="914"/>
      <c r="G16" s="914"/>
      <c r="H16" s="672"/>
      <c r="I16" s="672"/>
    </row>
    <row r="17" spans="1:9" s="266" customFormat="1" ht="23.25" customHeight="1" x14ac:dyDescent="0.25">
      <c r="A17" s="274" t="s">
        <v>988</v>
      </c>
      <c r="B17" s="914"/>
      <c r="C17" s="914"/>
      <c r="D17" s="927">
        <v>68.75</v>
      </c>
      <c r="E17" s="672"/>
      <c r="F17" s="914"/>
      <c r="G17" s="914"/>
      <c r="H17" s="672"/>
      <c r="I17" s="672"/>
    </row>
    <row r="18" spans="1:9" s="278" customFormat="1" ht="23.25" customHeight="1" x14ac:dyDescent="0.25">
      <c r="A18" s="275" t="s">
        <v>1018</v>
      </c>
      <c r="B18" s="408">
        <f>SUM(B10:B16)</f>
        <v>143</v>
      </c>
      <c r="C18" s="408">
        <f>SUM(C10:C15)</f>
        <v>14</v>
      </c>
      <c r="D18" s="928">
        <f>SUM(D10:D17)</f>
        <v>234.25</v>
      </c>
      <c r="E18" s="280">
        <f>SUM(E10:E16)</f>
        <v>162</v>
      </c>
      <c r="F18" s="408">
        <f>SUM(F10:F17)</f>
        <v>0</v>
      </c>
      <c r="G18" s="408">
        <f>SUM(G10:G17)</f>
        <v>0</v>
      </c>
      <c r="H18" s="280">
        <f>SUM(H10:H15)</f>
        <v>0</v>
      </c>
      <c r="I18" s="280">
        <f>SUM(I10:I15)</f>
        <v>0</v>
      </c>
    </row>
    <row r="19" spans="1:9" s="283" customFormat="1" ht="23.25" customHeight="1" x14ac:dyDescent="0.25">
      <c r="A19" s="281" t="s">
        <v>1246</v>
      </c>
      <c r="B19" s="407">
        <f t="shared" ref="B19:I19" si="1">B18+B8</f>
        <v>219</v>
      </c>
      <c r="C19" s="407">
        <f t="shared" si="1"/>
        <v>17</v>
      </c>
      <c r="D19" s="929">
        <f t="shared" si="1"/>
        <v>329.25</v>
      </c>
      <c r="E19" s="282">
        <f t="shared" si="1"/>
        <v>257</v>
      </c>
      <c r="F19" s="407">
        <f t="shared" si="1"/>
        <v>0</v>
      </c>
      <c r="G19" s="407">
        <f t="shared" si="1"/>
        <v>0</v>
      </c>
      <c r="H19" s="282">
        <f t="shared" si="1"/>
        <v>0</v>
      </c>
      <c r="I19" s="282">
        <f t="shared" si="1"/>
        <v>7</v>
      </c>
    </row>
  </sheetData>
  <mergeCells count="8">
    <mergeCell ref="A1:I1"/>
    <mergeCell ref="A2:A3"/>
    <mergeCell ref="B2:C2"/>
    <mergeCell ref="D2:D3"/>
    <mergeCell ref="E2:E3"/>
    <mergeCell ref="F2:G2"/>
    <mergeCell ref="H2:H3"/>
    <mergeCell ref="I2:I3"/>
  </mergeCells>
  <pageMargins left="0.78740157480314965" right="0.78740157480314965" top="1.0236220472440944" bottom="1.0236220472440944" header="0.78740157480314965" footer="0.78740157480314965"/>
  <pageSetup paperSize="9" scale="70" firstPageNumber="0" orientation="portrait" r:id="rId1"/>
  <headerFooter alignWithMargins="0">
    <oddFooter xml:space="preserve">&amp;C&amp;10&amp;P&amp;R&amp;10&amp;D  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T94"/>
  <sheetViews>
    <sheetView view="pageBreakPreview" topLeftCell="A28" zoomScale="93" zoomScaleNormal="100" zoomScaleSheetLayoutView="93" workbookViewId="0">
      <selection activeCell="M46" sqref="M46"/>
    </sheetView>
  </sheetViews>
  <sheetFormatPr defaultColWidth="9" defaultRowHeight="15" x14ac:dyDescent="0.25"/>
  <cols>
    <col min="1" max="1" width="6.28515625" style="712" customWidth="1"/>
    <col min="2" max="2" width="9" style="753" customWidth="1"/>
    <col min="3" max="3" width="69.5703125" style="712" customWidth="1"/>
    <col min="4" max="4" width="16.5703125" style="712" hidden="1" customWidth="1"/>
    <col min="5" max="5" width="16.42578125" style="712" hidden="1" customWidth="1"/>
    <col min="6" max="6" width="20.85546875" style="712" hidden="1" customWidth="1"/>
    <col min="7" max="7" width="17.5703125" style="712" hidden="1" customWidth="1"/>
    <col min="8" max="8" width="16.5703125" style="712" hidden="1" customWidth="1"/>
    <col min="9" max="9" width="20.85546875" style="712" hidden="1" customWidth="1"/>
    <col min="10" max="10" width="17.5703125" style="712" customWidth="1"/>
    <col min="11" max="11" width="16.5703125" style="712" customWidth="1"/>
    <col min="12" max="12" width="20.85546875" style="712" bestFit="1" customWidth="1"/>
    <col min="13" max="13" width="17.5703125" style="712" customWidth="1"/>
    <col min="14" max="14" width="16.5703125" style="712" customWidth="1"/>
    <col min="15" max="15" width="20.85546875" style="712" bestFit="1" customWidth="1"/>
    <col min="16" max="16" width="17.5703125" style="712" hidden="1" customWidth="1"/>
    <col min="17" max="17" width="16.5703125" style="712" hidden="1" customWidth="1"/>
    <col min="18" max="18" width="20.85546875" style="712" hidden="1" customWidth="1"/>
    <col min="19" max="19" width="10.7109375" style="712" bestFit="1" customWidth="1"/>
    <col min="20" max="20" width="13.85546875" style="712" bestFit="1" customWidth="1"/>
    <col min="21" max="16384" width="9" style="712"/>
  </cols>
  <sheetData>
    <row r="1" spans="1:19" ht="20.25" x14ac:dyDescent="0.25">
      <c r="A1" s="988" t="s">
        <v>1639</v>
      </c>
      <c r="B1" s="988"/>
      <c r="C1" s="988"/>
      <c r="D1" s="989"/>
      <c r="F1" s="746"/>
      <c r="G1" s="746"/>
      <c r="I1" s="746"/>
      <c r="J1" s="746"/>
      <c r="L1" s="746"/>
      <c r="M1" s="746"/>
      <c r="O1" s="746" t="s">
        <v>1662</v>
      </c>
      <c r="P1" s="746"/>
    </row>
    <row r="2" spans="1:19" ht="35.25" customHeight="1" x14ac:dyDescent="0.25">
      <c r="A2" s="993" t="s">
        <v>1759</v>
      </c>
      <c r="B2" s="994" t="s">
        <v>1752</v>
      </c>
      <c r="C2" s="993" t="s">
        <v>306</v>
      </c>
      <c r="D2" s="990" t="s">
        <v>1671</v>
      </c>
      <c r="E2" s="991"/>
      <c r="F2" s="992"/>
      <c r="G2" s="990" t="s">
        <v>1758</v>
      </c>
      <c r="H2" s="991"/>
      <c r="I2" s="992"/>
      <c r="J2" s="990" t="s">
        <v>1794</v>
      </c>
      <c r="K2" s="991"/>
      <c r="L2" s="992"/>
      <c r="M2" s="990" t="s">
        <v>1802</v>
      </c>
      <c r="N2" s="991"/>
      <c r="O2" s="992"/>
      <c r="P2" s="990" t="s">
        <v>1805</v>
      </c>
      <c r="Q2" s="991"/>
      <c r="R2" s="992"/>
    </row>
    <row r="3" spans="1:19" ht="29.25" customHeight="1" x14ac:dyDescent="0.25">
      <c r="A3" s="993"/>
      <c r="B3" s="995"/>
      <c r="C3" s="993"/>
      <c r="D3" s="699" t="s">
        <v>1672</v>
      </c>
      <c r="E3" s="699" t="s">
        <v>981</v>
      </c>
      <c r="F3" s="699" t="s">
        <v>1730</v>
      </c>
      <c r="G3" s="699" t="s">
        <v>1672</v>
      </c>
      <c r="H3" s="699" t="s">
        <v>981</v>
      </c>
      <c r="I3" s="699" t="s">
        <v>1730</v>
      </c>
      <c r="J3" s="699" t="s">
        <v>1672</v>
      </c>
      <c r="K3" s="699" t="s">
        <v>981</v>
      </c>
      <c r="L3" s="699" t="s">
        <v>1730</v>
      </c>
      <c r="M3" s="699" t="s">
        <v>1672</v>
      </c>
      <c r="N3" s="699" t="s">
        <v>981</v>
      </c>
      <c r="O3" s="699" t="s">
        <v>1730</v>
      </c>
      <c r="P3" s="699" t="s">
        <v>1672</v>
      </c>
      <c r="Q3" s="699" t="s">
        <v>981</v>
      </c>
      <c r="R3" s="699" t="s">
        <v>1730</v>
      </c>
    </row>
    <row r="4" spans="1:19" ht="18.399999999999999" customHeight="1" x14ac:dyDescent="0.25">
      <c r="A4" s="996" t="s">
        <v>1731</v>
      </c>
      <c r="B4" s="996"/>
      <c r="C4" s="996"/>
      <c r="D4" s="996"/>
      <c r="E4" s="996"/>
      <c r="F4" s="996"/>
      <c r="G4" s="761"/>
      <c r="H4" s="761"/>
      <c r="I4" s="761"/>
      <c r="J4" s="761"/>
      <c r="K4" s="761"/>
      <c r="L4" s="761"/>
      <c r="M4" s="761"/>
      <c r="N4" s="761"/>
      <c r="O4" s="761"/>
      <c r="P4" s="761"/>
      <c r="Q4" s="761"/>
      <c r="R4" s="761"/>
    </row>
    <row r="5" spans="1:19" s="890" customFormat="1" ht="15.75" x14ac:dyDescent="0.25">
      <c r="A5" s="886" t="s">
        <v>311</v>
      </c>
      <c r="B5" s="887">
        <v>5112601</v>
      </c>
      <c r="C5" s="888" t="s">
        <v>1675</v>
      </c>
      <c r="D5" s="723">
        <v>528000000</v>
      </c>
      <c r="E5" s="723">
        <v>142080000</v>
      </c>
      <c r="F5" s="889">
        <f>+D5+E5</f>
        <v>670080000</v>
      </c>
      <c r="G5" s="723">
        <f>528000000+24900000</f>
        <v>552900000</v>
      </c>
      <c r="H5" s="723">
        <f>142080000+6723000</f>
        <v>148803000</v>
      </c>
      <c r="I5" s="889">
        <f>+G5+H5</f>
        <v>701703000</v>
      </c>
      <c r="J5" s="723">
        <f>528000000+24900000-13960000</f>
        <v>538940000</v>
      </c>
      <c r="K5" s="723">
        <f>142080000+6723000-3769200</f>
        <v>145033800</v>
      </c>
      <c r="L5" s="889">
        <f>+J5+K5</f>
        <v>683973800</v>
      </c>
      <c r="M5" s="723">
        <f>528000000+24900000-13960000-916000</f>
        <v>538024000</v>
      </c>
      <c r="N5" s="723">
        <f>142080000+6723000-3769200-247300</f>
        <v>144786500</v>
      </c>
      <c r="O5" s="889">
        <f>+M5+N5</f>
        <v>682810500</v>
      </c>
      <c r="P5" s="723">
        <v>25085000</v>
      </c>
      <c r="Q5" s="723">
        <v>6772950</v>
      </c>
      <c r="R5" s="895">
        <f>+P5+Q5</f>
        <v>31857950</v>
      </c>
    </row>
    <row r="6" spans="1:19" ht="15.75" x14ac:dyDescent="0.25">
      <c r="A6" s="713" t="s">
        <v>322</v>
      </c>
      <c r="B6" s="752">
        <v>5232602</v>
      </c>
      <c r="C6" s="714" t="s">
        <v>1676</v>
      </c>
      <c r="D6" s="715">
        <v>93300000</v>
      </c>
      <c r="E6" s="715">
        <v>25183000</v>
      </c>
      <c r="F6" s="748">
        <f t="shared" ref="F6:F30" si="0">+D6+E6</f>
        <v>118483000</v>
      </c>
      <c r="G6" s="769">
        <f>93300000+230000+3124800</f>
        <v>96654800</v>
      </c>
      <c r="H6" s="769">
        <f>25183000+62100+843696</f>
        <v>26088796</v>
      </c>
      <c r="I6" s="748">
        <f t="shared" ref="I6:I22" si="1">+G6+H6</f>
        <v>122743596</v>
      </c>
      <c r="J6" s="769">
        <f>93300000+230000+3124800</f>
        <v>96654800</v>
      </c>
      <c r="K6" s="769">
        <f>25183000+62100+843696</f>
        <v>26088796</v>
      </c>
      <c r="L6" s="771">
        <f t="shared" ref="L6:L45" si="2">+J6+K6</f>
        <v>122743596</v>
      </c>
      <c r="M6" s="769">
        <f>93300000+230000+3124800-3180000</f>
        <v>93474800</v>
      </c>
      <c r="N6" s="769">
        <f>25183000+62100+843696-831600</f>
        <v>25257196</v>
      </c>
      <c r="O6" s="889">
        <f t="shared" ref="O6:O47" si="3">+M6+N6</f>
        <v>118731996</v>
      </c>
      <c r="P6" s="723">
        <v>8954800</v>
      </c>
      <c r="Q6" s="723">
        <v>2228796</v>
      </c>
      <c r="R6" s="895">
        <f t="shared" ref="R6:R47" si="4">+P6+Q6</f>
        <v>11183596</v>
      </c>
      <c r="S6" s="890"/>
    </row>
    <row r="7" spans="1:19" ht="15.75" x14ac:dyDescent="0.25">
      <c r="A7" s="713" t="s">
        <v>315</v>
      </c>
      <c r="B7" s="752">
        <v>5232603</v>
      </c>
      <c r="C7" s="714" t="s">
        <v>1677</v>
      </c>
      <c r="D7" s="715">
        <v>67000000</v>
      </c>
      <c r="E7" s="715">
        <v>18000000</v>
      </c>
      <c r="F7" s="748">
        <f t="shared" si="0"/>
        <v>85000000</v>
      </c>
      <c r="G7" s="769">
        <v>67000000</v>
      </c>
      <c r="H7" s="769">
        <v>18000000</v>
      </c>
      <c r="I7" s="748">
        <f t="shared" si="1"/>
        <v>85000000</v>
      </c>
      <c r="J7" s="769">
        <v>67000000</v>
      </c>
      <c r="K7" s="769">
        <v>18000000</v>
      </c>
      <c r="L7" s="771">
        <f t="shared" si="2"/>
        <v>85000000</v>
      </c>
      <c r="M7" s="723">
        <v>0</v>
      </c>
      <c r="N7" s="723">
        <v>0</v>
      </c>
      <c r="O7" s="889">
        <f t="shared" si="3"/>
        <v>0</v>
      </c>
      <c r="P7" s="723">
        <v>0</v>
      </c>
      <c r="Q7" s="723">
        <v>0</v>
      </c>
      <c r="R7" s="889">
        <f t="shared" si="4"/>
        <v>0</v>
      </c>
    </row>
    <row r="8" spans="1:19" ht="15.75" x14ac:dyDescent="0.25">
      <c r="A8" s="713" t="s">
        <v>336</v>
      </c>
      <c r="B8" s="752">
        <v>5232604</v>
      </c>
      <c r="C8" s="714" t="s">
        <v>1678</v>
      </c>
      <c r="D8" s="715">
        <v>9850000</v>
      </c>
      <c r="E8" s="715">
        <v>2650000</v>
      </c>
      <c r="F8" s="748">
        <f t="shared" si="0"/>
        <v>12500000</v>
      </c>
      <c r="G8" s="769">
        <v>9850000</v>
      </c>
      <c r="H8" s="769">
        <v>2650000</v>
      </c>
      <c r="I8" s="748">
        <f t="shared" si="1"/>
        <v>12500000</v>
      </c>
      <c r="J8" s="769">
        <v>9850000</v>
      </c>
      <c r="K8" s="769">
        <v>2650000</v>
      </c>
      <c r="L8" s="771">
        <f t="shared" si="2"/>
        <v>12500000</v>
      </c>
      <c r="M8" s="723">
        <v>9850000</v>
      </c>
      <c r="N8" s="723">
        <v>2650000</v>
      </c>
      <c r="O8" s="889">
        <f t="shared" si="3"/>
        <v>12500000</v>
      </c>
      <c r="P8" s="723">
        <v>0</v>
      </c>
      <c r="Q8" s="723">
        <v>0</v>
      </c>
      <c r="R8" s="889">
        <f t="shared" si="4"/>
        <v>0</v>
      </c>
      <c r="S8" s="890"/>
    </row>
    <row r="9" spans="1:19" s="872" customFormat="1" ht="31.5" x14ac:dyDescent="0.25">
      <c r="A9" s="886" t="s">
        <v>338</v>
      </c>
      <c r="B9" s="887">
        <v>5112605</v>
      </c>
      <c r="C9" s="891" t="s">
        <v>1688</v>
      </c>
      <c r="D9" s="723">
        <f>45000000*0.3+2000000</f>
        <v>15500000</v>
      </c>
      <c r="E9" s="723">
        <f>12150000*0.3+500000</f>
        <v>4145000</v>
      </c>
      <c r="F9" s="889">
        <f t="shared" si="0"/>
        <v>19645000</v>
      </c>
      <c r="G9" s="723">
        <f>45000000*0.3+2000000</f>
        <v>15500000</v>
      </c>
      <c r="H9" s="723">
        <f>12150000*0.3+500000</f>
        <v>4145000</v>
      </c>
      <c r="I9" s="889">
        <f t="shared" si="1"/>
        <v>19645000</v>
      </c>
      <c r="J9" s="723">
        <f>45000000*0.3+2000000</f>
        <v>15500000</v>
      </c>
      <c r="K9" s="723">
        <f>12150000*0.3+500000</f>
        <v>4145000</v>
      </c>
      <c r="L9" s="889">
        <f t="shared" si="2"/>
        <v>19645000</v>
      </c>
      <c r="M9" s="723">
        <f>7965300-98000</f>
        <v>7867300</v>
      </c>
      <c r="N9" s="723">
        <f>2110631-26500</f>
        <v>2084131</v>
      </c>
      <c r="O9" s="889">
        <f t="shared" si="3"/>
        <v>9951431</v>
      </c>
      <c r="P9" s="723">
        <v>4506299</v>
      </c>
      <c r="Q9" s="723">
        <v>1216701</v>
      </c>
      <c r="R9" s="895">
        <f t="shared" si="4"/>
        <v>5723000</v>
      </c>
    </row>
    <row r="10" spans="1:19" ht="15.75" x14ac:dyDescent="0.25">
      <c r="A10" s="713" t="s">
        <v>557</v>
      </c>
      <c r="B10" s="752">
        <v>5232606</v>
      </c>
      <c r="C10" s="714" t="s">
        <v>1679</v>
      </c>
      <c r="D10" s="715">
        <v>4750000</v>
      </c>
      <c r="E10" s="715">
        <v>1250000</v>
      </c>
      <c r="F10" s="748">
        <f t="shared" si="0"/>
        <v>6000000</v>
      </c>
      <c r="G10" s="769">
        <v>4750000</v>
      </c>
      <c r="H10" s="769">
        <v>1250000</v>
      </c>
      <c r="I10" s="771">
        <f t="shared" si="1"/>
        <v>6000000</v>
      </c>
      <c r="J10" s="769">
        <v>4750000</v>
      </c>
      <c r="K10" s="769">
        <v>1250000</v>
      </c>
      <c r="L10" s="771">
        <f t="shared" si="2"/>
        <v>6000000</v>
      </c>
      <c r="M10" s="723">
        <v>4750000</v>
      </c>
      <c r="N10" s="723">
        <v>1250000</v>
      </c>
      <c r="O10" s="889">
        <f t="shared" si="3"/>
        <v>6000000</v>
      </c>
      <c r="P10" s="723">
        <v>0</v>
      </c>
      <c r="Q10" s="723">
        <v>0</v>
      </c>
      <c r="R10" s="889">
        <f t="shared" si="4"/>
        <v>0</v>
      </c>
    </row>
    <row r="11" spans="1:19" s="872" customFormat="1" ht="15.75" x14ac:dyDescent="0.25">
      <c r="A11" s="886" t="s">
        <v>559</v>
      </c>
      <c r="B11" s="887">
        <v>5101</v>
      </c>
      <c r="C11" s="891" t="s">
        <v>1673</v>
      </c>
      <c r="D11" s="723">
        <v>11820000</v>
      </c>
      <c r="E11" s="723">
        <v>3180000</v>
      </c>
      <c r="F11" s="889">
        <f t="shared" si="0"/>
        <v>15000000</v>
      </c>
      <c r="G11" s="723">
        <f>11820000+1900000</f>
        <v>13720000</v>
      </c>
      <c r="H11" s="723">
        <f>3180000+513000</f>
        <v>3693000</v>
      </c>
      <c r="I11" s="889">
        <f t="shared" si="1"/>
        <v>17413000</v>
      </c>
      <c r="J11" s="723">
        <f>11820000+1900000</f>
        <v>13720000</v>
      </c>
      <c r="K11" s="723">
        <f>3180000+513000</f>
        <v>3693000</v>
      </c>
      <c r="L11" s="889">
        <f t="shared" si="2"/>
        <v>17413000</v>
      </c>
      <c r="M11" s="723">
        <v>11142000</v>
      </c>
      <c r="N11" s="723">
        <v>2996870</v>
      </c>
      <c r="O11" s="889">
        <f t="shared" si="3"/>
        <v>14138870</v>
      </c>
      <c r="P11" s="723">
        <v>960000</v>
      </c>
      <c r="Q11" s="723">
        <v>259200</v>
      </c>
      <c r="R11" s="889">
        <f t="shared" si="4"/>
        <v>1219200</v>
      </c>
    </row>
    <row r="12" spans="1:19" s="872" customFormat="1" ht="15.75" x14ac:dyDescent="0.25">
      <c r="A12" s="886" t="s">
        <v>561</v>
      </c>
      <c r="B12" s="887">
        <v>5112608</v>
      </c>
      <c r="C12" s="891" t="s">
        <v>1754</v>
      </c>
      <c r="D12" s="723">
        <v>1970000</v>
      </c>
      <c r="E12" s="723">
        <f>+D12*0.27</f>
        <v>531900</v>
      </c>
      <c r="F12" s="889">
        <f t="shared" si="0"/>
        <v>2501900</v>
      </c>
      <c r="G12" s="723">
        <v>1970000</v>
      </c>
      <c r="H12" s="723">
        <f>+G12*0.27</f>
        <v>531900</v>
      </c>
      <c r="I12" s="889">
        <f t="shared" si="1"/>
        <v>2501900</v>
      </c>
      <c r="J12" s="723">
        <v>1970000</v>
      </c>
      <c r="K12" s="723">
        <f>+J12*0.27</f>
        <v>531900</v>
      </c>
      <c r="L12" s="889">
        <f t="shared" si="2"/>
        <v>2501900</v>
      </c>
      <c r="M12" s="723">
        <v>1970000</v>
      </c>
      <c r="N12" s="723">
        <f>+M12*0.27</f>
        <v>531900</v>
      </c>
      <c r="O12" s="889">
        <f t="shared" si="3"/>
        <v>2501900</v>
      </c>
      <c r="P12" s="723">
        <v>0</v>
      </c>
      <c r="Q12" s="723">
        <v>0</v>
      </c>
      <c r="R12" s="889">
        <f t="shared" si="4"/>
        <v>0</v>
      </c>
    </row>
    <row r="13" spans="1:19" s="872" customFormat="1" ht="15.75" x14ac:dyDescent="0.25">
      <c r="A13" s="886" t="s">
        <v>562</v>
      </c>
      <c r="B13" s="887">
        <v>5112609</v>
      </c>
      <c r="C13" s="891" t="s">
        <v>1755</v>
      </c>
      <c r="D13" s="723">
        <v>3500000</v>
      </c>
      <c r="E13" s="723">
        <f>+D13*0.27</f>
        <v>945000.00000000012</v>
      </c>
      <c r="F13" s="889">
        <f t="shared" si="0"/>
        <v>4445000</v>
      </c>
      <c r="G13" s="723">
        <v>3500000</v>
      </c>
      <c r="H13" s="723">
        <f>+G13*0.27</f>
        <v>945000.00000000012</v>
      </c>
      <c r="I13" s="889">
        <f t="shared" si="1"/>
        <v>4445000</v>
      </c>
      <c r="J13" s="723">
        <v>3500000</v>
      </c>
      <c r="K13" s="723">
        <f>+J13*0.27</f>
        <v>945000.00000000012</v>
      </c>
      <c r="L13" s="889">
        <f t="shared" si="2"/>
        <v>4445000</v>
      </c>
      <c r="M13" s="723">
        <v>3500000</v>
      </c>
      <c r="N13" s="723">
        <f>+M13*0.27</f>
        <v>945000.00000000012</v>
      </c>
      <c r="O13" s="889">
        <f t="shared" si="3"/>
        <v>4445000</v>
      </c>
      <c r="P13" s="723">
        <v>0</v>
      </c>
      <c r="Q13" s="723">
        <f>+P13*0.27</f>
        <v>0</v>
      </c>
      <c r="R13" s="889">
        <f t="shared" si="4"/>
        <v>0</v>
      </c>
    </row>
    <row r="14" spans="1:19" ht="15.75" x14ac:dyDescent="0.25">
      <c r="A14" s="713" t="s">
        <v>564</v>
      </c>
      <c r="B14" s="752">
        <v>5232610</v>
      </c>
      <c r="C14" s="714" t="s">
        <v>1685</v>
      </c>
      <c r="D14" s="715">
        <v>8000000</v>
      </c>
      <c r="E14" s="723">
        <v>2000000</v>
      </c>
      <c r="F14" s="748">
        <f t="shared" si="0"/>
        <v>10000000</v>
      </c>
      <c r="G14" s="769">
        <v>8000000</v>
      </c>
      <c r="H14" s="723">
        <v>2000000</v>
      </c>
      <c r="I14" s="771">
        <f t="shared" si="1"/>
        <v>10000000</v>
      </c>
      <c r="J14" s="769">
        <v>8000000</v>
      </c>
      <c r="K14" s="723">
        <v>2000000</v>
      </c>
      <c r="L14" s="771">
        <f t="shared" si="2"/>
        <v>10000000</v>
      </c>
      <c r="M14" s="723">
        <v>8000000</v>
      </c>
      <c r="N14" s="723">
        <v>2000000</v>
      </c>
      <c r="O14" s="889">
        <f t="shared" si="3"/>
        <v>10000000</v>
      </c>
      <c r="P14" s="723">
        <v>0</v>
      </c>
      <c r="Q14" s="723">
        <v>0</v>
      </c>
      <c r="R14" s="889">
        <f t="shared" si="4"/>
        <v>0</v>
      </c>
      <c r="S14" s="890"/>
    </row>
    <row r="15" spans="1:19" ht="15.75" x14ac:dyDescent="0.25">
      <c r="A15" s="713" t="s">
        <v>566</v>
      </c>
      <c r="B15" s="752">
        <v>5232611</v>
      </c>
      <c r="C15" s="714" t="s">
        <v>1686</v>
      </c>
      <c r="D15" s="715">
        <v>7086000</v>
      </c>
      <c r="E15" s="723">
        <v>1914000</v>
      </c>
      <c r="F15" s="748">
        <f t="shared" si="0"/>
        <v>9000000</v>
      </c>
      <c r="G15" s="769">
        <v>7086000</v>
      </c>
      <c r="H15" s="723">
        <v>1914000</v>
      </c>
      <c r="I15" s="771">
        <f t="shared" si="1"/>
        <v>9000000</v>
      </c>
      <c r="J15" s="769">
        <v>7086000</v>
      </c>
      <c r="K15" s="723">
        <v>1914000</v>
      </c>
      <c r="L15" s="771">
        <f t="shared" si="2"/>
        <v>9000000</v>
      </c>
      <c r="M15" s="723">
        <v>7086000</v>
      </c>
      <c r="N15" s="723">
        <v>1914000</v>
      </c>
      <c r="O15" s="889">
        <f t="shared" si="3"/>
        <v>9000000</v>
      </c>
      <c r="P15" s="723">
        <v>0</v>
      </c>
      <c r="Q15" s="723">
        <v>0</v>
      </c>
      <c r="R15" s="889">
        <f t="shared" si="4"/>
        <v>0</v>
      </c>
    </row>
    <row r="16" spans="1:19" ht="15.75" x14ac:dyDescent="0.25">
      <c r="A16" s="713" t="s">
        <v>567</v>
      </c>
      <c r="B16" s="752">
        <v>5232612</v>
      </c>
      <c r="C16" s="714" t="s">
        <v>1745</v>
      </c>
      <c r="D16" s="715">
        <v>15000000</v>
      </c>
      <c r="E16" s="715">
        <f>+D16*0.27</f>
        <v>4050000.0000000005</v>
      </c>
      <c r="F16" s="748">
        <f t="shared" si="0"/>
        <v>19050000</v>
      </c>
      <c r="G16" s="769">
        <v>15000000</v>
      </c>
      <c r="H16" s="769">
        <f>+G16*0.27</f>
        <v>4050000.0000000005</v>
      </c>
      <c r="I16" s="748">
        <f t="shared" si="1"/>
        <v>19050000</v>
      </c>
      <c r="J16" s="769">
        <v>15000000</v>
      </c>
      <c r="K16" s="769">
        <f>+J16*0.27</f>
        <v>4050000.0000000005</v>
      </c>
      <c r="L16" s="771">
        <f t="shared" si="2"/>
        <v>19050000</v>
      </c>
      <c r="M16" s="723">
        <v>15000000</v>
      </c>
      <c r="N16" s="723">
        <f>+M16*0.27</f>
        <v>4050000.0000000005</v>
      </c>
      <c r="O16" s="889">
        <f t="shared" si="3"/>
        <v>19050000</v>
      </c>
      <c r="P16" s="723">
        <v>0</v>
      </c>
      <c r="Q16" s="723">
        <v>0</v>
      </c>
      <c r="R16" s="889">
        <f t="shared" si="4"/>
        <v>0</v>
      </c>
    </row>
    <row r="17" spans="1:19" ht="27" customHeight="1" x14ac:dyDescent="0.25">
      <c r="A17" s="713" t="s">
        <v>569</v>
      </c>
      <c r="B17" s="752">
        <v>5232613</v>
      </c>
      <c r="C17" s="718" t="s">
        <v>1681</v>
      </c>
      <c r="D17" s="715">
        <v>31496000</v>
      </c>
      <c r="E17" s="715">
        <v>8504000</v>
      </c>
      <c r="F17" s="748">
        <f t="shared" si="0"/>
        <v>40000000</v>
      </c>
      <c r="G17" s="769">
        <v>31496000</v>
      </c>
      <c r="H17" s="769">
        <v>8504000</v>
      </c>
      <c r="I17" s="748">
        <f t="shared" si="1"/>
        <v>40000000</v>
      </c>
      <c r="J17" s="769">
        <v>31496000</v>
      </c>
      <c r="K17" s="769">
        <v>8504000</v>
      </c>
      <c r="L17" s="771">
        <f t="shared" si="2"/>
        <v>40000000</v>
      </c>
      <c r="M17" s="723">
        <v>31496000</v>
      </c>
      <c r="N17" s="723">
        <v>8504000</v>
      </c>
      <c r="O17" s="889">
        <f t="shared" si="3"/>
        <v>40000000</v>
      </c>
      <c r="P17" s="723">
        <v>3574016</v>
      </c>
      <c r="Q17" s="723">
        <v>964984</v>
      </c>
      <c r="R17" s="895">
        <f t="shared" si="4"/>
        <v>4539000</v>
      </c>
    </row>
    <row r="18" spans="1:19" ht="17.649999999999999" customHeight="1" x14ac:dyDescent="0.25">
      <c r="A18" s="713" t="s">
        <v>570</v>
      </c>
      <c r="B18" s="752">
        <v>5232614</v>
      </c>
      <c r="C18" s="718" t="s">
        <v>1756</v>
      </c>
      <c r="D18" s="715">
        <f>5000000/1.27</f>
        <v>3937007.874015748</v>
      </c>
      <c r="E18" s="715">
        <f>5000000-D18</f>
        <v>1062992.125984252</v>
      </c>
      <c r="F18" s="748">
        <f t="shared" si="0"/>
        <v>5000000</v>
      </c>
      <c r="G18" s="769">
        <f>5000000/1.27</f>
        <v>3937007.874015748</v>
      </c>
      <c r="H18" s="769">
        <f>5000000-G18</f>
        <v>1062992.125984252</v>
      </c>
      <c r="I18" s="748">
        <f t="shared" si="1"/>
        <v>5000000</v>
      </c>
      <c r="J18" s="769">
        <f>5000000/1.27</f>
        <v>3937007.874015748</v>
      </c>
      <c r="K18" s="769">
        <f>5000000-J18</f>
        <v>1062992.125984252</v>
      </c>
      <c r="L18" s="771">
        <f t="shared" si="2"/>
        <v>5000000</v>
      </c>
      <c r="M18" s="723">
        <v>796208</v>
      </c>
      <c r="N18" s="723">
        <v>214976</v>
      </c>
      <c r="O18" s="889">
        <f t="shared" si="3"/>
        <v>1011184</v>
      </c>
      <c r="P18" s="723">
        <v>0</v>
      </c>
      <c r="Q18" s="723">
        <v>0</v>
      </c>
      <c r="R18" s="889">
        <f t="shared" si="4"/>
        <v>0</v>
      </c>
      <c r="S18" s="890"/>
    </row>
    <row r="19" spans="1:19" ht="17.649999999999999" customHeight="1" x14ac:dyDescent="0.25">
      <c r="A19" s="713" t="s">
        <v>571</v>
      </c>
      <c r="B19" s="752">
        <v>5232615</v>
      </c>
      <c r="C19" s="714" t="s">
        <v>1717</v>
      </c>
      <c r="D19" s="715">
        <v>15750000</v>
      </c>
      <c r="E19" s="715">
        <v>4250000</v>
      </c>
      <c r="F19" s="748">
        <f t="shared" si="0"/>
        <v>20000000</v>
      </c>
      <c r="G19" s="769">
        <v>15750000</v>
      </c>
      <c r="H19" s="769">
        <v>4250000</v>
      </c>
      <c r="I19" s="748">
        <f t="shared" si="1"/>
        <v>20000000</v>
      </c>
      <c r="J19" s="769">
        <v>15750000</v>
      </c>
      <c r="K19" s="769">
        <v>4250000</v>
      </c>
      <c r="L19" s="771">
        <f t="shared" si="2"/>
        <v>20000000</v>
      </c>
      <c r="M19" s="723">
        <v>15750000</v>
      </c>
      <c r="N19" s="723">
        <v>4250000</v>
      </c>
      <c r="O19" s="889">
        <f t="shared" si="3"/>
        <v>20000000</v>
      </c>
      <c r="P19" s="723">
        <v>0</v>
      </c>
      <c r="Q19" s="723">
        <v>0</v>
      </c>
      <c r="R19" s="889">
        <f t="shared" si="4"/>
        <v>0</v>
      </c>
    </row>
    <row r="20" spans="1:19" ht="17.649999999999999" customHeight="1" x14ac:dyDescent="0.25">
      <c r="A20" s="713" t="s">
        <v>715</v>
      </c>
      <c r="B20" s="752">
        <v>5232616</v>
      </c>
      <c r="C20" s="714" t="s">
        <v>1684</v>
      </c>
      <c r="D20" s="715">
        <v>12500000</v>
      </c>
      <c r="E20" s="715">
        <v>3375000</v>
      </c>
      <c r="F20" s="748">
        <f t="shared" si="0"/>
        <v>15875000</v>
      </c>
      <c r="G20" s="769">
        <v>12500000</v>
      </c>
      <c r="H20" s="769">
        <v>3375000</v>
      </c>
      <c r="I20" s="748">
        <f t="shared" si="1"/>
        <v>15875000</v>
      </c>
      <c r="J20" s="769">
        <v>12500000</v>
      </c>
      <c r="K20" s="769">
        <v>3375000</v>
      </c>
      <c r="L20" s="889">
        <f t="shared" si="2"/>
        <v>15875000</v>
      </c>
      <c r="M20" s="723">
        <v>22342000</v>
      </c>
      <c r="N20" s="723">
        <v>6032340</v>
      </c>
      <c r="O20" s="889">
        <f t="shared" si="3"/>
        <v>28374340</v>
      </c>
      <c r="P20" s="723">
        <v>22272446</v>
      </c>
      <c r="Q20" s="723">
        <v>6013560</v>
      </c>
      <c r="R20" s="895">
        <f t="shared" si="4"/>
        <v>28286006</v>
      </c>
    </row>
    <row r="21" spans="1:19" s="872" customFormat="1" ht="15.75" x14ac:dyDescent="0.25">
      <c r="A21" s="886" t="s">
        <v>716</v>
      </c>
      <c r="B21" s="887">
        <v>5110</v>
      </c>
      <c r="C21" s="888" t="s">
        <v>1674</v>
      </c>
      <c r="D21" s="723">
        <v>1600000</v>
      </c>
      <c r="E21" s="723">
        <v>400000</v>
      </c>
      <c r="F21" s="889">
        <f t="shared" si="0"/>
        <v>2000000</v>
      </c>
      <c r="G21" s="723">
        <v>1600000</v>
      </c>
      <c r="H21" s="723">
        <v>400000</v>
      </c>
      <c r="I21" s="889">
        <f t="shared" si="1"/>
        <v>2000000</v>
      </c>
      <c r="J21" s="723">
        <v>1600000</v>
      </c>
      <c r="K21" s="723">
        <v>400000</v>
      </c>
      <c r="L21" s="889">
        <f t="shared" si="2"/>
        <v>2000000</v>
      </c>
      <c r="M21" s="723">
        <v>1600000</v>
      </c>
      <c r="N21" s="723">
        <v>400000</v>
      </c>
      <c r="O21" s="889">
        <f t="shared" si="3"/>
        <v>2000000</v>
      </c>
      <c r="P21" s="723">
        <v>0</v>
      </c>
      <c r="Q21" s="723">
        <v>0</v>
      </c>
      <c r="R21" s="889">
        <f t="shared" si="4"/>
        <v>0</v>
      </c>
    </row>
    <row r="22" spans="1:19" s="872" customFormat="1" ht="15.75" x14ac:dyDescent="0.25">
      <c r="A22" s="886" t="s">
        <v>718</v>
      </c>
      <c r="B22" s="887">
        <v>5112618</v>
      </c>
      <c r="C22" s="888" t="s">
        <v>1746</v>
      </c>
      <c r="D22" s="723">
        <f>315000+105000</f>
        <v>420000</v>
      </c>
      <c r="E22" s="723">
        <f t="shared" ref="E22:E27" si="5">+D22*0.27</f>
        <v>113400.00000000001</v>
      </c>
      <c r="F22" s="889">
        <f t="shared" si="0"/>
        <v>533400</v>
      </c>
      <c r="G22" s="723">
        <f>315000+105000</f>
        <v>420000</v>
      </c>
      <c r="H22" s="723">
        <f t="shared" ref="H22:H27" si="6">+G22*0.27</f>
        <v>113400.00000000001</v>
      </c>
      <c r="I22" s="889">
        <f t="shared" si="1"/>
        <v>533400</v>
      </c>
      <c r="J22" s="723">
        <f>315000+105000+382677</f>
        <v>802677</v>
      </c>
      <c r="K22" s="723">
        <f>113400+103323</f>
        <v>216723</v>
      </c>
      <c r="L22" s="889">
        <f t="shared" si="2"/>
        <v>1019400</v>
      </c>
      <c r="M22" s="723">
        <f>317293+552840+465750</f>
        <v>1335883</v>
      </c>
      <c r="N22" s="723">
        <f>149267+125753</f>
        <v>275020</v>
      </c>
      <c r="O22" s="889">
        <f t="shared" si="3"/>
        <v>1610903</v>
      </c>
      <c r="P22" s="723">
        <v>0</v>
      </c>
      <c r="Q22" s="723">
        <v>0</v>
      </c>
      <c r="R22" s="889">
        <f t="shared" si="4"/>
        <v>0</v>
      </c>
    </row>
    <row r="23" spans="1:19" s="872" customFormat="1" ht="15.75" x14ac:dyDescent="0.25">
      <c r="A23" s="886" t="s">
        <v>719</v>
      </c>
      <c r="B23" s="887">
        <v>5112619</v>
      </c>
      <c r="C23" s="888" t="s">
        <v>1747</v>
      </c>
      <c r="D23" s="723">
        <f>660000+925000</f>
        <v>1585000</v>
      </c>
      <c r="E23" s="723">
        <f t="shared" si="5"/>
        <v>427950</v>
      </c>
      <c r="F23" s="889">
        <f>+D23+E23</f>
        <v>2012950</v>
      </c>
      <c r="G23" s="723">
        <f>660000+925000</f>
        <v>1585000</v>
      </c>
      <c r="H23" s="723">
        <f t="shared" si="6"/>
        <v>427950</v>
      </c>
      <c r="I23" s="889">
        <f t="shared" ref="I23:I45" si="7">+G23+H23</f>
        <v>2012950</v>
      </c>
      <c r="J23" s="723">
        <f>660000+925000</f>
        <v>1585000</v>
      </c>
      <c r="K23" s="723">
        <f t="shared" ref="K23:K27" si="8">+J23*0.27</f>
        <v>427950</v>
      </c>
      <c r="L23" s="889">
        <f t="shared" si="2"/>
        <v>2012950</v>
      </c>
      <c r="M23" s="723">
        <f>660000+925000</f>
        <v>1585000</v>
      </c>
      <c r="N23" s="723">
        <f t="shared" ref="N23:N27" si="9">+M23*0.27</f>
        <v>427950</v>
      </c>
      <c r="O23" s="889">
        <f t="shared" si="3"/>
        <v>2012950</v>
      </c>
      <c r="P23" s="723">
        <v>0</v>
      </c>
      <c r="Q23" s="723">
        <v>0</v>
      </c>
      <c r="R23" s="889">
        <f t="shared" si="4"/>
        <v>0</v>
      </c>
    </row>
    <row r="24" spans="1:19" s="872" customFormat="1" ht="15.75" x14ac:dyDescent="0.25">
      <c r="A24" s="886" t="s">
        <v>720</v>
      </c>
      <c r="B24" s="887">
        <v>5112620</v>
      </c>
      <c r="C24" s="888" t="s">
        <v>1748</v>
      </c>
      <c r="D24" s="723">
        <v>280000</v>
      </c>
      <c r="E24" s="723">
        <f t="shared" si="5"/>
        <v>75600</v>
      </c>
      <c r="F24" s="889">
        <f>+D24+E24</f>
        <v>355600</v>
      </c>
      <c r="G24" s="723">
        <v>280000</v>
      </c>
      <c r="H24" s="723">
        <f t="shared" si="6"/>
        <v>75600</v>
      </c>
      <c r="I24" s="889">
        <f t="shared" si="7"/>
        <v>355600</v>
      </c>
      <c r="J24" s="723">
        <v>280000</v>
      </c>
      <c r="K24" s="723">
        <f t="shared" si="8"/>
        <v>75600</v>
      </c>
      <c r="L24" s="889">
        <f t="shared" si="2"/>
        <v>355600</v>
      </c>
      <c r="M24" s="723">
        <v>280000</v>
      </c>
      <c r="N24" s="723">
        <f t="shared" si="9"/>
        <v>75600</v>
      </c>
      <c r="O24" s="889">
        <f t="shared" si="3"/>
        <v>355600</v>
      </c>
      <c r="P24" s="723">
        <v>0</v>
      </c>
      <c r="Q24" s="723">
        <v>0</v>
      </c>
      <c r="R24" s="889">
        <f t="shared" si="4"/>
        <v>0</v>
      </c>
    </row>
    <row r="25" spans="1:19" s="872" customFormat="1" ht="15.75" x14ac:dyDescent="0.25">
      <c r="A25" s="886" t="s">
        <v>722</v>
      </c>
      <c r="B25" s="887">
        <v>5112621</v>
      </c>
      <c r="C25" s="888" t="s">
        <v>1749</v>
      </c>
      <c r="D25" s="723">
        <f>10200000+1500000</f>
        <v>11700000</v>
      </c>
      <c r="E25" s="723">
        <f t="shared" si="5"/>
        <v>3159000</v>
      </c>
      <c r="F25" s="889">
        <f>+D25+E25</f>
        <v>14859000</v>
      </c>
      <c r="G25" s="723">
        <f>10200000+1500000</f>
        <v>11700000</v>
      </c>
      <c r="H25" s="723">
        <f t="shared" si="6"/>
        <v>3159000</v>
      </c>
      <c r="I25" s="889">
        <f t="shared" si="7"/>
        <v>14859000</v>
      </c>
      <c r="J25" s="723">
        <f>10200000+1500000</f>
        <v>11700000</v>
      </c>
      <c r="K25" s="723">
        <f t="shared" si="8"/>
        <v>3159000</v>
      </c>
      <c r="L25" s="889">
        <f t="shared" si="2"/>
        <v>14859000</v>
      </c>
      <c r="M25" s="723">
        <v>0</v>
      </c>
      <c r="N25" s="723">
        <v>0</v>
      </c>
      <c r="O25" s="889">
        <f t="shared" si="3"/>
        <v>0</v>
      </c>
      <c r="P25" s="723">
        <v>0</v>
      </c>
      <c r="Q25" s="723">
        <v>0</v>
      </c>
      <c r="R25" s="889">
        <f>+P25+Q25</f>
        <v>0</v>
      </c>
    </row>
    <row r="26" spans="1:19" s="872" customFormat="1" ht="15.75" x14ac:dyDescent="0.25">
      <c r="A26" s="886" t="s">
        <v>724</v>
      </c>
      <c r="B26" s="887">
        <v>5112622</v>
      </c>
      <c r="C26" s="888" t="s">
        <v>1750</v>
      </c>
      <c r="D26" s="723">
        <v>650000</v>
      </c>
      <c r="E26" s="723">
        <f t="shared" si="5"/>
        <v>175500</v>
      </c>
      <c r="F26" s="889">
        <f>+D26+E26</f>
        <v>825500</v>
      </c>
      <c r="G26" s="723">
        <v>650000</v>
      </c>
      <c r="H26" s="723">
        <f t="shared" si="6"/>
        <v>175500</v>
      </c>
      <c r="I26" s="889">
        <f t="shared" si="7"/>
        <v>825500</v>
      </c>
      <c r="J26" s="723">
        <v>650000</v>
      </c>
      <c r="K26" s="723">
        <f t="shared" si="8"/>
        <v>175500</v>
      </c>
      <c r="L26" s="889">
        <f t="shared" si="2"/>
        <v>825500</v>
      </c>
      <c r="M26" s="723">
        <v>650000</v>
      </c>
      <c r="N26" s="723">
        <f t="shared" si="9"/>
        <v>175500</v>
      </c>
      <c r="O26" s="889">
        <f t="shared" si="3"/>
        <v>825500</v>
      </c>
      <c r="P26" s="723">
        <v>0</v>
      </c>
      <c r="Q26" s="723">
        <v>0</v>
      </c>
      <c r="R26" s="889">
        <f t="shared" si="4"/>
        <v>0</v>
      </c>
    </row>
    <row r="27" spans="1:19" s="872" customFormat="1" ht="15.75" x14ac:dyDescent="0.25">
      <c r="A27" s="886" t="s">
        <v>725</v>
      </c>
      <c r="B27" s="887">
        <v>5112623</v>
      </c>
      <c r="C27" s="888" t="s">
        <v>1751</v>
      </c>
      <c r="D27" s="723">
        <v>9400000</v>
      </c>
      <c r="E27" s="723">
        <f t="shared" si="5"/>
        <v>2538000</v>
      </c>
      <c r="F27" s="889">
        <f>+D27+E27</f>
        <v>11938000</v>
      </c>
      <c r="G27" s="723">
        <v>9400000</v>
      </c>
      <c r="H27" s="723">
        <f t="shared" si="6"/>
        <v>2538000</v>
      </c>
      <c r="I27" s="889">
        <f t="shared" si="7"/>
        <v>11938000</v>
      </c>
      <c r="J27" s="723">
        <v>9400000</v>
      </c>
      <c r="K27" s="723">
        <f t="shared" si="8"/>
        <v>2538000</v>
      </c>
      <c r="L27" s="889">
        <f t="shared" si="2"/>
        <v>11938000</v>
      </c>
      <c r="M27" s="723">
        <v>9400000</v>
      </c>
      <c r="N27" s="723">
        <f t="shared" si="9"/>
        <v>2538000</v>
      </c>
      <c r="O27" s="889">
        <f t="shared" si="3"/>
        <v>11938000</v>
      </c>
      <c r="P27" s="723">
        <v>0</v>
      </c>
      <c r="Q27" s="723">
        <v>0</v>
      </c>
      <c r="R27" s="889">
        <f t="shared" si="4"/>
        <v>0</v>
      </c>
    </row>
    <row r="28" spans="1:19" ht="15.75" x14ac:dyDescent="0.25">
      <c r="A28" s="713" t="s">
        <v>727</v>
      </c>
      <c r="B28" s="752">
        <v>5232624</v>
      </c>
      <c r="C28" s="714" t="s">
        <v>1690</v>
      </c>
      <c r="D28" s="715">
        <v>40000000</v>
      </c>
      <c r="E28" s="715">
        <v>10000000</v>
      </c>
      <c r="F28" s="748">
        <f t="shared" si="0"/>
        <v>50000000</v>
      </c>
      <c r="G28" s="769">
        <f>40000000+1278181+1340000</f>
        <v>42618181</v>
      </c>
      <c r="H28" s="769">
        <f>10000000+345110+361800</f>
        <v>10706910</v>
      </c>
      <c r="I28" s="748">
        <f t="shared" si="7"/>
        <v>53325091</v>
      </c>
      <c r="J28" s="769">
        <f>40000000+1278181+1340000</f>
        <v>42618181</v>
      </c>
      <c r="K28" s="769">
        <f>10000000+345110+361800</f>
        <v>10706910</v>
      </c>
      <c r="L28" s="771">
        <f t="shared" si="2"/>
        <v>53325091</v>
      </c>
      <c r="M28" s="723">
        <f>40000000+1278181+1340000-4470000</f>
        <v>38148181</v>
      </c>
      <c r="N28" s="723">
        <f>10000000+345110+361800-1061100</f>
        <v>9645810</v>
      </c>
      <c r="O28" s="889">
        <f t="shared" si="3"/>
        <v>47793991</v>
      </c>
      <c r="P28" s="723">
        <v>2618181</v>
      </c>
      <c r="Q28" s="723">
        <v>706909</v>
      </c>
      <c r="R28" s="895">
        <f t="shared" si="4"/>
        <v>3325090</v>
      </c>
      <c r="S28" s="890"/>
    </row>
    <row r="29" spans="1:19" ht="15.75" x14ac:dyDescent="0.25">
      <c r="A29" s="713" t="s">
        <v>729</v>
      </c>
      <c r="B29" s="752">
        <v>5232625</v>
      </c>
      <c r="C29" s="717" t="s">
        <v>1709</v>
      </c>
      <c r="D29" s="715">
        <v>1181000</v>
      </c>
      <c r="E29" s="715">
        <v>319000</v>
      </c>
      <c r="F29" s="748">
        <f t="shared" si="0"/>
        <v>1500000</v>
      </c>
      <c r="G29" s="769">
        <v>1181000</v>
      </c>
      <c r="H29" s="769">
        <v>319000</v>
      </c>
      <c r="I29" s="748">
        <f t="shared" si="7"/>
        <v>1500000</v>
      </c>
      <c r="J29" s="769">
        <v>1181000</v>
      </c>
      <c r="K29" s="769">
        <v>319000</v>
      </c>
      <c r="L29" s="771">
        <f t="shared" si="2"/>
        <v>1500000</v>
      </c>
      <c r="M29" s="723">
        <v>1181000</v>
      </c>
      <c r="N29" s="723">
        <v>319000</v>
      </c>
      <c r="O29" s="889">
        <f t="shared" si="3"/>
        <v>1500000</v>
      </c>
      <c r="P29" s="723">
        <v>0</v>
      </c>
      <c r="Q29" s="723">
        <v>0</v>
      </c>
      <c r="R29" s="889">
        <f t="shared" si="4"/>
        <v>0</v>
      </c>
      <c r="S29" s="890"/>
    </row>
    <row r="30" spans="1:19" s="872" customFormat="1" ht="15.75" x14ac:dyDescent="0.25">
      <c r="A30" s="886" t="s">
        <v>731</v>
      </c>
      <c r="B30" s="887">
        <v>5112628</v>
      </c>
      <c r="C30" s="891" t="s">
        <v>1770</v>
      </c>
      <c r="D30" s="723"/>
      <c r="E30" s="723"/>
      <c r="F30" s="889">
        <f t="shared" si="0"/>
        <v>0</v>
      </c>
      <c r="G30" s="723">
        <f>150000+2100000</f>
        <v>2250000</v>
      </c>
      <c r="H30" s="723">
        <f>40500+567000</f>
        <v>607500</v>
      </c>
      <c r="I30" s="889">
        <f t="shared" si="7"/>
        <v>2857500</v>
      </c>
      <c r="J30" s="723">
        <f>150000+2100000</f>
        <v>2250000</v>
      </c>
      <c r="K30" s="723">
        <f>40500+567000</f>
        <v>607500</v>
      </c>
      <c r="L30" s="889">
        <f t="shared" si="2"/>
        <v>2857500</v>
      </c>
      <c r="M30" s="723">
        <f>150000+2100000</f>
        <v>2250000</v>
      </c>
      <c r="N30" s="723">
        <f>40500+567000</f>
        <v>607500</v>
      </c>
      <c r="O30" s="889">
        <f t="shared" si="3"/>
        <v>2857500</v>
      </c>
      <c r="P30" s="723">
        <v>1830000</v>
      </c>
      <c r="Q30" s="723">
        <v>494100</v>
      </c>
      <c r="R30" s="895">
        <f t="shared" si="4"/>
        <v>2324100</v>
      </c>
    </row>
    <row r="31" spans="1:19" s="872" customFormat="1" ht="15.75" x14ac:dyDescent="0.25">
      <c r="A31" s="886" t="s">
        <v>732</v>
      </c>
      <c r="B31" s="887">
        <v>5112629</v>
      </c>
      <c r="C31" s="891" t="s">
        <v>1771</v>
      </c>
      <c r="D31" s="723"/>
      <c r="E31" s="723"/>
      <c r="F31" s="889"/>
      <c r="G31" s="723">
        <v>38900925</v>
      </c>
      <c r="H31" s="723">
        <v>10503250</v>
      </c>
      <c r="I31" s="889">
        <f t="shared" si="7"/>
        <v>49404175</v>
      </c>
      <c r="J31" s="723">
        <v>38900925</v>
      </c>
      <c r="K31" s="723">
        <v>10503250</v>
      </c>
      <c r="L31" s="889">
        <f t="shared" si="2"/>
        <v>49404175</v>
      </c>
      <c r="M31" s="723">
        <v>38900925</v>
      </c>
      <c r="N31" s="723">
        <v>10503250</v>
      </c>
      <c r="O31" s="889">
        <f t="shared" si="3"/>
        <v>49404175</v>
      </c>
      <c r="P31" s="723">
        <v>38900924</v>
      </c>
      <c r="Q31" s="723">
        <v>10503250</v>
      </c>
      <c r="R31" s="895">
        <f t="shared" si="4"/>
        <v>49404174</v>
      </c>
    </row>
    <row r="32" spans="1:19" s="872" customFormat="1" ht="15.75" x14ac:dyDescent="0.25">
      <c r="A32" s="886" t="s">
        <v>734</v>
      </c>
      <c r="B32" s="887">
        <v>5112630</v>
      </c>
      <c r="C32" s="891" t="s">
        <v>1772</v>
      </c>
      <c r="D32" s="723"/>
      <c r="E32" s="723"/>
      <c r="F32" s="889"/>
      <c r="G32" s="723">
        <v>7458000</v>
      </c>
      <c r="H32" s="723">
        <v>2013660</v>
      </c>
      <c r="I32" s="889">
        <f t="shared" si="7"/>
        <v>9471660</v>
      </c>
      <c r="J32" s="723">
        <v>7458000</v>
      </c>
      <c r="K32" s="723">
        <v>2013660</v>
      </c>
      <c r="L32" s="889">
        <f t="shared" si="2"/>
        <v>9471660</v>
      </c>
      <c r="M32" s="723">
        <v>7458000</v>
      </c>
      <c r="N32" s="723">
        <v>2013660</v>
      </c>
      <c r="O32" s="889">
        <f t="shared" si="3"/>
        <v>9471660</v>
      </c>
      <c r="P32" s="723">
        <v>7458000</v>
      </c>
      <c r="Q32" s="723">
        <v>2013660</v>
      </c>
      <c r="R32" s="895">
        <f t="shared" si="4"/>
        <v>9471660</v>
      </c>
    </row>
    <row r="33" spans="1:20" s="872" customFormat="1" ht="15.75" x14ac:dyDescent="0.25">
      <c r="A33" s="886" t="s">
        <v>735</v>
      </c>
      <c r="B33" s="887">
        <v>5112631</v>
      </c>
      <c r="C33" s="891" t="s">
        <v>1773</v>
      </c>
      <c r="D33" s="723"/>
      <c r="E33" s="723"/>
      <c r="F33" s="889"/>
      <c r="G33" s="723"/>
      <c r="H33" s="723"/>
      <c r="I33" s="889">
        <f t="shared" si="7"/>
        <v>0</v>
      </c>
      <c r="J33" s="723"/>
      <c r="K33" s="723"/>
      <c r="L33" s="889">
        <f t="shared" si="2"/>
        <v>0</v>
      </c>
      <c r="M33" s="723">
        <v>750000</v>
      </c>
      <c r="N33" s="723">
        <v>202500</v>
      </c>
      <c r="O33" s="889">
        <f t="shared" si="3"/>
        <v>952500</v>
      </c>
      <c r="P33" s="723">
        <v>675000</v>
      </c>
      <c r="Q33" s="723">
        <v>182250</v>
      </c>
      <c r="R33" s="895">
        <f t="shared" si="4"/>
        <v>857250</v>
      </c>
      <c r="S33" s="890"/>
      <c r="T33" s="890"/>
    </row>
    <row r="34" spans="1:20" s="872" customFormat="1" ht="15.75" x14ac:dyDescent="0.25">
      <c r="A34" s="886" t="s">
        <v>737</v>
      </c>
      <c r="B34" s="887">
        <v>5112632</v>
      </c>
      <c r="C34" s="891" t="s">
        <v>1774</v>
      </c>
      <c r="D34" s="723"/>
      <c r="E34" s="723"/>
      <c r="F34" s="889"/>
      <c r="G34" s="723">
        <v>43000000</v>
      </c>
      <c r="H34" s="723">
        <v>11610000</v>
      </c>
      <c r="I34" s="889">
        <f t="shared" si="7"/>
        <v>54610000</v>
      </c>
      <c r="J34" s="723">
        <v>43000000</v>
      </c>
      <c r="K34" s="723">
        <v>11610000</v>
      </c>
      <c r="L34" s="889">
        <f t="shared" si="2"/>
        <v>54610000</v>
      </c>
      <c r="M34" s="723">
        <v>46345000</v>
      </c>
      <c r="N34" s="723">
        <v>12513150</v>
      </c>
      <c r="O34" s="889">
        <f t="shared" si="3"/>
        <v>58858150</v>
      </c>
      <c r="P34" s="723">
        <v>12900000</v>
      </c>
      <c r="Q34" s="723">
        <v>3483000</v>
      </c>
      <c r="R34" s="895">
        <f t="shared" si="4"/>
        <v>16383000</v>
      </c>
      <c r="S34" s="890"/>
    </row>
    <row r="35" spans="1:20" ht="15.75" x14ac:dyDescent="0.25">
      <c r="A35" s="713" t="s">
        <v>739</v>
      </c>
      <c r="B35" s="774">
        <v>5110</v>
      </c>
      <c r="C35" s="717" t="s">
        <v>1775</v>
      </c>
      <c r="D35" s="715"/>
      <c r="E35" s="715"/>
      <c r="F35" s="748"/>
      <c r="G35" s="769"/>
      <c r="H35" s="769"/>
      <c r="I35" s="771">
        <f t="shared" si="7"/>
        <v>0</v>
      </c>
      <c r="J35" s="769"/>
      <c r="K35" s="769"/>
      <c r="L35" s="771">
        <f t="shared" si="2"/>
        <v>0</v>
      </c>
      <c r="M35" s="723">
        <v>1575450</v>
      </c>
      <c r="N35" s="723">
        <v>425372</v>
      </c>
      <c r="O35" s="889">
        <f t="shared" si="3"/>
        <v>2000822</v>
      </c>
      <c r="P35" s="769"/>
      <c r="Q35" s="769"/>
      <c r="R35" s="771">
        <f t="shared" si="4"/>
        <v>0</v>
      </c>
    </row>
    <row r="36" spans="1:20" ht="15.75" x14ac:dyDescent="0.25">
      <c r="A36" s="713" t="s">
        <v>741</v>
      </c>
      <c r="B36" s="774">
        <v>5232633</v>
      </c>
      <c r="C36" s="717" t="s">
        <v>1776</v>
      </c>
      <c r="D36" s="715"/>
      <c r="E36" s="715"/>
      <c r="F36" s="748"/>
      <c r="G36" s="769"/>
      <c r="H36" s="769"/>
      <c r="I36" s="771">
        <f t="shared" si="7"/>
        <v>0</v>
      </c>
      <c r="J36" s="769"/>
      <c r="K36" s="769"/>
      <c r="L36" s="771">
        <f t="shared" si="2"/>
        <v>0</v>
      </c>
      <c r="M36" s="723">
        <v>780000</v>
      </c>
      <c r="N36" s="723">
        <v>210600</v>
      </c>
      <c r="O36" s="889">
        <f t="shared" si="3"/>
        <v>990600</v>
      </c>
      <c r="P36" s="723">
        <v>780000</v>
      </c>
      <c r="Q36" s="723">
        <v>210600</v>
      </c>
      <c r="R36" s="895">
        <f t="shared" si="4"/>
        <v>990600</v>
      </c>
      <c r="S36" s="890"/>
    </row>
    <row r="37" spans="1:20" ht="15.75" x14ac:dyDescent="0.25">
      <c r="A37" s="713" t="s">
        <v>1343</v>
      </c>
      <c r="B37" s="774">
        <v>5232634</v>
      </c>
      <c r="C37" s="717" t="s">
        <v>1777</v>
      </c>
      <c r="D37" s="715"/>
      <c r="E37" s="715"/>
      <c r="F37" s="748"/>
      <c r="G37" s="769"/>
      <c r="H37" s="769"/>
      <c r="I37" s="771">
        <f t="shared" si="7"/>
        <v>0</v>
      </c>
      <c r="J37" s="769"/>
      <c r="K37" s="769"/>
      <c r="L37" s="771">
        <f t="shared" si="2"/>
        <v>0</v>
      </c>
      <c r="M37" s="723">
        <v>689500</v>
      </c>
      <c r="N37" s="723">
        <v>186165</v>
      </c>
      <c r="O37" s="889">
        <f t="shared" si="3"/>
        <v>875665</v>
      </c>
      <c r="P37" s="723">
        <v>689500</v>
      </c>
      <c r="Q37" s="723">
        <v>186165</v>
      </c>
      <c r="R37" s="895">
        <f t="shared" si="4"/>
        <v>875665</v>
      </c>
      <c r="S37" s="890"/>
    </row>
    <row r="38" spans="1:20" ht="15.75" x14ac:dyDescent="0.25">
      <c r="A38" s="713" t="s">
        <v>744</v>
      </c>
      <c r="B38" s="774">
        <v>5232626</v>
      </c>
      <c r="C38" s="717" t="s">
        <v>1784</v>
      </c>
      <c r="D38" s="715"/>
      <c r="E38" s="715"/>
      <c r="F38" s="748"/>
      <c r="G38" s="769">
        <f>2013189+2400000+17432327+50000+1650000</f>
        <v>23545516</v>
      </c>
      <c r="H38" s="769">
        <f>543561+5368228+445500</f>
        <v>6357289</v>
      </c>
      <c r="I38" s="771">
        <f t="shared" si="7"/>
        <v>29902805</v>
      </c>
      <c r="J38" s="769">
        <f>2013189+2400000+17432327+50000+1650000</f>
        <v>23545516</v>
      </c>
      <c r="K38" s="769">
        <f>543561+5368228+445500</f>
        <v>6357289</v>
      </c>
      <c r="L38" s="771">
        <f t="shared" si="2"/>
        <v>29902805</v>
      </c>
      <c r="M38" s="723">
        <f>25207290-5359463</f>
        <v>19847827</v>
      </c>
      <c r="N38" s="723">
        <v>5359463</v>
      </c>
      <c r="O38" s="889">
        <f t="shared" si="3"/>
        <v>25207290</v>
      </c>
      <c r="P38" s="769">
        <f>4046000+1434882</f>
        <v>5480882</v>
      </c>
      <c r="Q38" s="769">
        <v>1479838</v>
      </c>
      <c r="R38" s="895">
        <f t="shared" si="4"/>
        <v>6960720</v>
      </c>
    </row>
    <row r="39" spans="1:20" ht="15.75" x14ac:dyDescent="0.25">
      <c r="A39" s="713" t="s">
        <v>746</v>
      </c>
      <c r="B39" s="752">
        <v>5232635</v>
      </c>
      <c r="C39" s="717" t="s">
        <v>1785</v>
      </c>
      <c r="D39" s="715"/>
      <c r="E39" s="715"/>
      <c r="F39" s="748"/>
      <c r="G39" s="769">
        <v>10474448</v>
      </c>
      <c r="H39" s="769">
        <v>2828100</v>
      </c>
      <c r="I39" s="771">
        <f t="shared" si="7"/>
        <v>13302548</v>
      </c>
      <c r="J39" s="769">
        <v>10474448</v>
      </c>
      <c r="K39" s="769">
        <v>2828100</v>
      </c>
      <c r="L39" s="771">
        <f t="shared" si="2"/>
        <v>13302548</v>
      </c>
      <c r="M39" s="723">
        <v>10474448</v>
      </c>
      <c r="N39" s="723">
        <f>2828100+1</f>
        <v>2828101</v>
      </c>
      <c r="O39" s="889">
        <f t="shared" si="3"/>
        <v>13302549</v>
      </c>
      <c r="P39" s="723">
        <v>10474448</v>
      </c>
      <c r="Q39" s="723">
        <v>2828101</v>
      </c>
      <c r="R39" s="895">
        <f t="shared" si="4"/>
        <v>13302549</v>
      </c>
    </row>
    <row r="40" spans="1:20" s="872" customFormat="1" ht="15.75" x14ac:dyDescent="0.25">
      <c r="A40" s="886" t="s">
        <v>748</v>
      </c>
      <c r="B40" s="887">
        <v>5112636</v>
      </c>
      <c r="C40" s="891" t="s">
        <v>1786</v>
      </c>
      <c r="D40" s="723"/>
      <c r="E40" s="723"/>
      <c r="F40" s="889"/>
      <c r="G40" s="723">
        <v>6925000</v>
      </c>
      <c r="H40" s="723">
        <v>1870000</v>
      </c>
      <c r="I40" s="889">
        <f t="shared" si="7"/>
        <v>8795000</v>
      </c>
      <c r="J40" s="723">
        <v>6925000</v>
      </c>
      <c r="K40" s="723">
        <v>1870000</v>
      </c>
      <c r="L40" s="889">
        <f t="shared" si="2"/>
        <v>8795000</v>
      </c>
      <c r="M40" s="723">
        <v>8794815</v>
      </c>
      <c r="N40" s="723">
        <v>0</v>
      </c>
      <c r="O40" s="889">
        <f t="shared" si="3"/>
        <v>8794815</v>
      </c>
      <c r="P40" s="723">
        <v>0</v>
      </c>
      <c r="Q40" s="723">
        <v>0</v>
      </c>
      <c r="R40" s="889">
        <f t="shared" si="4"/>
        <v>0</v>
      </c>
      <c r="S40" s="890"/>
    </row>
    <row r="41" spans="1:20" s="872" customFormat="1" ht="15.75" x14ac:dyDescent="0.25">
      <c r="A41" s="886" t="s">
        <v>750</v>
      </c>
      <c r="B41" s="887">
        <v>5112637</v>
      </c>
      <c r="C41" s="891" t="s">
        <v>1789</v>
      </c>
      <c r="D41" s="723"/>
      <c r="E41" s="723"/>
      <c r="F41" s="889"/>
      <c r="G41" s="723">
        <v>1889760</v>
      </c>
      <c r="H41" s="723">
        <v>510240</v>
      </c>
      <c r="I41" s="889">
        <f t="shared" si="7"/>
        <v>2400000</v>
      </c>
      <c r="J41" s="723">
        <v>1889760</v>
      </c>
      <c r="K41" s="723">
        <v>510240</v>
      </c>
      <c r="L41" s="889">
        <f t="shared" si="2"/>
        <v>2400000</v>
      </c>
      <c r="M41" s="723">
        <f>1711579+9450000</f>
        <v>11161579</v>
      </c>
      <c r="N41" s="723">
        <f>510240+2550000</f>
        <v>3060240</v>
      </c>
      <c r="O41" s="889">
        <f t="shared" si="3"/>
        <v>14221819</v>
      </c>
      <c r="P41" s="723">
        <v>1633772</v>
      </c>
      <c r="Q41" s="723">
        <v>441119</v>
      </c>
      <c r="R41" s="895">
        <f t="shared" si="4"/>
        <v>2074891</v>
      </c>
      <c r="S41" s="890"/>
      <c r="T41" s="890"/>
    </row>
    <row r="42" spans="1:20" s="881" customFormat="1" ht="15.75" x14ac:dyDescent="0.25">
      <c r="A42" s="886" t="s">
        <v>1666</v>
      </c>
      <c r="B42" s="887">
        <v>5232626</v>
      </c>
      <c r="C42" s="891" t="s">
        <v>1791</v>
      </c>
      <c r="D42" s="723"/>
      <c r="E42" s="723"/>
      <c r="F42" s="889"/>
      <c r="G42" s="723">
        <v>1435000</v>
      </c>
      <c r="H42" s="723">
        <v>388000</v>
      </c>
      <c r="I42" s="889">
        <f t="shared" si="7"/>
        <v>1823000</v>
      </c>
      <c r="J42" s="723">
        <v>1435000</v>
      </c>
      <c r="K42" s="723">
        <v>388000</v>
      </c>
      <c r="L42" s="889">
        <f t="shared" si="2"/>
        <v>1823000</v>
      </c>
      <c r="M42" s="723">
        <v>6765432</v>
      </c>
      <c r="N42" s="723">
        <v>1826667</v>
      </c>
      <c r="O42" s="889">
        <f t="shared" si="3"/>
        <v>8592099</v>
      </c>
      <c r="P42" s="723">
        <f>6765432-2</f>
        <v>6765430</v>
      </c>
      <c r="Q42" s="723">
        <f>1826667</f>
        <v>1826667</v>
      </c>
      <c r="R42" s="889">
        <f t="shared" si="4"/>
        <v>8592097</v>
      </c>
      <c r="S42" s="881">
        <v>8592097</v>
      </c>
      <c r="T42" s="896">
        <f>+R42-S42</f>
        <v>0</v>
      </c>
    </row>
    <row r="43" spans="1:20" ht="15.75" x14ac:dyDescent="0.25">
      <c r="A43" s="713" t="s">
        <v>1668</v>
      </c>
      <c r="B43" s="752">
        <v>5232627</v>
      </c>
      <c r="C43" s="717" t="s">
        <v>1790</v>
      </c>
      <c r="D43" s="715"/>
      <c r="E43" s="715"/>
      <c r="F43" s="748"/>
      <c r="G43" s="769">
        <v>713800</v>
      </c>
      <c r="H43" s="769">
        <v>192726</v>
      </c>
      <c r="I43" s="771">
        <f t="shared" si="7"/>
        <v>906526</v>
      </c>
      <c r="J43" s="769">
        <f>713800+2834646</f>
        <v>3548446</v>
      </c>
      <c r="K43" s="769">
        <f>192726+765354</f>
        <v>958080</v>
      </c>
      <c r="L43" s="771">
        <f t="shared" si="2"/>
        <v>4506526</v>
      </c>
      <c r="M43" s="723">
        <f>713800+2834646</f>
        <v>3548446</v>
      </c>
      <c r="N43" s="723">
        <f>192726+765354</f>
        <v>958080</v>
      </c>
      <c r="O43" s="889">
        <f t="shared" si="3"/>
        <v>4506526</v>
      </c>
      <c r="P43" s="723">
        <v>3548346</v>
      </c>
      <c r="Q43" s="723">
        <v>958053</v>
      </c>
      <c r="R43" s="895">
        <f t="shared" si="4"/>
        <v>4506399</v>
      </c>
      <c r="S43" s="890"/>
    </row>
    <row r="44" spans="1:20" s="872" customFormat="1" ht="15.75" x14ac:dyDescent="0.25">
      <c r="A44" s="886" t="s">
        <v>1670</v>
      </c>
      <c r="B44" s="887">
        <v>5112638</v>
      </c>
      <c r="C44" s="891" t="s">
        <v>1799</v>
      </c>
      <c r="D44" s="723"/>
      <c r="E44" s="723"/>
      <c r="F44" s="889"/>
      <c r="G44" s="723">
        <v>0</v>
      </c>
      <c r="H44" s="723"/>
      <c r="I44" s="889">
        <f t="shared" si="7"/>
        <v>0</v>
      </c>
      <c r="J44" s="723">
        <v>188976</v>
      </c>
      <c r="K44" s="723">
        <v>51024</v>
      </c>
      <c r="L44" s="889">
        <f t="shared" si="2"/>
        <v>240000</v>
      </c>
      <c r="M44" s="723">
        <v>715000</v>
      </c>
      <c r="N44" s="723">
        <v>128250</v>
      </c>
      <c r="O44" s="889">
        <f t="shared" si="3"/>
        <v>843250</v>
      </c>
      <c r="P44" s="723">
        <v>0</v>
      </c>
      <c r="Q44" s="723">
        <v>0</v>
      </c>
      <c r="R44" s="889">
        <f t="shared" si="4"/>
        <v>0</v>
      </c>
      <c r="S44" s="890"/>
    </row>
    <row r="45" spans="1:20" ht="15.75" x14ac:dyDescent="0.25">
      <c r="A45" s="713" t="s">
        <v>1695</v>
      </c>
      <c r="B45" s="882">
        <v>5108.5110999999997</v>
      </c>
      <c r="C45" s="770" t="s">
        <v>1784</v>
      </c>
      <c r="D45" s="769"/>
      <c r="E45" s="769"/>
      <c r="F45" s="769"/>
      <c r="G45" s="769">
        <f>1999458+1575450+160000+11311213</f>
        <v>15046121</v>
      </c>
      <c r="H45" s="769">
        <f>539856+425372+3097227</f>
        <v>4062455</v>
      </c>
      <c r="I45" s="771">
        <f t="shared" si="7"/>
        <v>19108576</v>
      </c>
      <c r="J45" s="769">
        <f>1999458+1575450+160000+11311213</f>
        <v>15046121</v>
      </c>
      <c r="K45" s="769">
        <f>539856+425372+3097227</f>
        <v>4062455</v>
      </c>
      <c r="L45" s="771">
        <f t="shared" si="2"/>
        <v>19108576</v>
      </c>
      <c r="M45" s="723">
        <f>1999458+9507184</f>
        <v>11506642</v>
      </c>
      <c r="N45" s="723">
        <f>539856+2750009</f>
        <v>3289865</v>
      </c>
      <c r="O45" s="889">
        <f t="shared" si="3"/>
        <v>14796507</v>
      </c>
      <c r="P45" s="769">
        <f>1999460+1575450+6414116</f>
        <v>9989026</v>
      </c>
      <c r="Q45" s="769">
        <f>539854+425372+1688342</f>
        <v>2653568</v>
      </c>
      <c r="R45" s="771">
        <f t="shared" si="4"/>
        <v>12642594</v>
      </c>
    </row>
    <row r="46" spans="1:20" ht="39" x14ac:dyDescent="0.25">
      <c r="A46" s="713" t="s">
        <v>1719</v>
      </c>
      <c r="B46" s="882" t="s">
        <v>1825</v>
      </c>
      <c r="C46" s="770" t="s">
        <v>1144</v>
      </c>
      <c r="D46" s="769"/>
      <c r="E46" s="769"/>
      <c r="F46" s="769"/>
      <c r="G46" s="769"/>
      <c r="H46" s="769"/>
      <c r="I46" s="771"/>
      <c r="J46" s="769"/>
      <c r="K46" s="769"/>
      <c r="L46" s="771"/>
      <c r="M46" s="723">
        <f>428000+126213+2913189+27480+164360</f>
        <v>3659242</v>
      </c>
      <c r="N46" s="723">
        <f>149637+786561+7420+44376</f>
        <v>987994</v>
      </c>
      <c r="O46" s="889">
        <f t="shared" si="3"/>
        <v>4647236</v>
      </c>
      <c r="P46" s="769">
        <f>554213+27480+94280</f>
        <v>675973</v>
      </c>
      <c r="Q46" s="769">
        <f>149637+7420+25456</f>
        <v>182513</v>
      </c>
      <c r="R46" s="771">
        <f t="shared" si="4"/>
        <v>858486</v>
      </c>
    </row>
    <row r="47" spans="1:20" s="872" customFormat="1" ht="15.75" x14ac:dyDescent="0.25">
      <c r="A47" s="886" t="s">
        <v>1720</v>
      </c>
      <c r="B47" s="887">
        <v>5112639</v>
      </c>
      <c r="C47" s="892" t="s">
        <v>1815</v>
      </c>
      <c r="D47" s="723"/>
      <c r="E47" s="723"/>
      <c r="F47" s="723"/>
      <c r="G47" s="723"/>
      <c r="H47" s="723"/>
      <c r="I47" s="889"/>
      <c r="J47" s="723"/>
      <c r="K47" s="723"/>
      <c r="L47" s="889"/>
      <c r="M47" s="723">
        <v>8390000</v>
      </c>
      <c r="N47" s="723">
        <v>2265300</v>
      </c>
      <c r="O47" s="889">
        <f t="shared" si="3"/>
        <v>10655300</v>
      </c>
      <c r="P47" s="723"/>
      <c r="Q47" s="723"/>
      <c r="R47" s="889">
        <f t="shared" si="4"/>
        <v>0</v>
      </c>
      <c r="S47" s="890"/>
      <c r="T47" s="890"/>
    </row>
    <row r="48" spans="1:20" s="872" customFormat="1" ht="15.75" x14ac:dyDescent="0.25">
      <c r="A48" s="886" t="s">
        <v>1724</v>
      </c>
      <c r="B48" s="887">
        <v>5232639</v>
      </c>
      <c r="C48" s="892" t="s">
        <v>1824</v>
      </c>
      <c r="D48" s="723"/>
      <c r="E48" s="723"/>
      <c r="F48" s="723"/>
      <c r="G48" s="723"/>
      <c r="H48" s="723"/>
      <c r="I48" s="889"/>
      <c r="J48" s="723"/>
      <c r="K48" s="723"/>
      <c r="L48" s="889"/>
      <c r="M48" s="723">
        <v>3140800</v>
      </c>
      <c r="N48" s="723">
        <v>848016</v>
      </c>
      <c r="O48" s="889">
        <f t="shared" ref="O48" si="10">+M48+N48</f>
        <v>3988816</v>
      </c>
      <c r="P48" s="723"/>
      <c r="Q48" s="723"/>
      <c r="R48" s="889">
        <f t="shared" ref="R48" si="11">+P48+Q48</f>
        <v>0</v>
      </c>
      <c r="S48" s="890"/>
      <c r="T48" s="890"/>
    </row>
    <row r="49" spans="1:20" ht="15.75" x14ac:dyDescent="0.25">
      <c r="A49" s="719"/>
      <c r="C49" s="720" t="s">
        <v>1682</v>
      </c>
      <c r="D49" s="721">
        <f>SUM(D5:D47)</f>
        <v>896275007.87401569</v>
      </c>
      <c r="E49" s="721">
        <f t="shared" ref="E49:L49" si="12">SUM(E5:E47)</f>
        <v>240329342.12598425</v>
      </c>
      <c r="F49" s="721">
        <f t="shared" si="12"/>
        <v>1136604350</v>
      </c>
      <c r="G49" s="721">
        <f t="shared" si="12"/>
        <v>1080686558.8740158</v>
      </c>
      <c r="H49" s="721">
        <f t="shared" si="12"/>
        <v>290121268.12598425</v>
      </c>
      <c r="I49" s="721">
        <f t="shared" si="12"/>
        <v>1370807827</v>
      </c>
      <c r="J49" s="721">
        <f t="shared" si="12"/>
        <v>1070132857.8740157</v>
      </c>
      <c r="K49" s="721">
        <f t="shared" si="12"/>
        <v>287271769.12598425</v>
      </c>
      <c r="L49" s="721">
        <f t="shared" si="12"/>
        <v>1357404627</v>
      </c>
      <c r="M49" s="901">
        <f>SUM(M5:M48)</f>
        <v>1011981478</v>
      </c>
      <c r="N49" s="901">
        <f>SUM(N5:N48)</f>
        <v>269537966</v>
      </c>
      <c r="O49" s="901">
        <f>SUM(O5:O48)</f>
        <v>1281519444</v>
      </c>
      <c r="P49" s="721">
        <f t="shared" ref="P49:R49" si="13">SUM(P5:P48)</f>
        <v>169772043</v>
      </c>
      <c r="Q49" s="721">
        <f t="shared" si="13"/>
        <v>45605984</v>
      </c>
      <c r="R49" s="721">
        <f t="shared" si="13"/>
        <v>215378027</v>
      </c>
      <c r="S49" s="712">
        <v>215378027</v>
      </c>
      <c r="T49" s="716">
        <f>+S49-R49</f>
        <v>0</v>
      </c>
    </row>
    <row r="50" spans="1:20" ht="16.5" x14ac:dyDescent="0.25">
      <c r="A50" s="719"/>
      <c r="C50" s="719"/>
      <c r="D50" s="722"/>
      <c r="E50" s="722"/>
      <c r="F50" s="749"/>
      <c r="G50" s="722"/>
      <c r="H50" s="722"/>
      <c r="I50" s="749"/>
      <c r="J50" s="722"/>
      <c r="K50" s="722"/>
      <c r="L50" s="772"/>
      <c r="M50" s="902"/>
      <c r="N50" s="902"/>
      <c r="O50" s="903"/>
      <c r="P50" s="722"/>
      <c r="Q50" s="722"/>
      <c r="R50" s="772"/>
    </row>
    <row r="51" spans="1:20" ht="15.75" x14ac:dyDescent="0.25">
      <c r="A51" s="996" t="s">
        <v>1732</v>
      </c>
      <c r="B51" s="996"/>
      <c r="C51" s="996"/>
      <c r="D51" s="996"/>
      <c r="E51" s="996"/>
      <c r="F51" s="996"/>
      <c r="G51" s="763"/>
      <c r="H51" s="763"/>
      <c r="I51" s="763"/>
      <c r="J51" s="847"/>
      <c r="K51" s="847"/>
      <c r="L51" s="847"/>
      <c r="M51" s="847"/>
      <c r="N51" s="847"/>
      <c r="O51" s="847"/>
      <c r="P51" s="847"/>
      <c r="Q51" s="847"/>
      <c r="R51" s="847"/>
    </row>
    <row r="52" spans="1:20" ht="15.75" x14ac:dyDescent="0.25">
      <c r="A52" s="713" t="s">
        <v>311</v>
      </c>
      <c r="B52" s="752">
        <v>5120</v>
      </c>
      <c r="C52" s="714" t="s">
        <v>1687</v>
      </c>
      <c r="D52" s="715">
        <v>49606300</v>
      </c>
      <c r="E52" s="723">
        <f>+D52*0.27-1</f>
        <v>13393700</v>
      </c>
      <c r="F52" s="748">
        <f t="shared" ref="F52:F62" si="14">+D52+E52</f>
        <v>63000000</v>
      </c>
      <c r="G52" s="769">
        <f>49606300-48031500</f>
        <v>1574800</v>
      </c>
      <c r="H52" s="723">
        <f>13393700-12968500</f>
        <v>425200</v>
      </c>
      <c r="I52" s="764">
        <f t="shared" ref="I52:I62" si="15">+G52+H52</f>
        <v>2000000</v>
      </c>
      <c r="J52" s="769">
        <f>49606300-48031500</f>
        <v>1574800</v>
      </c>
      <c r="K52" s="723">
        <f>13393700-12968500</f>
        <v>425200</v>
      </c>
      <c r="L52" s="764">
        <f t="shared" ref="L52:L62" si="16">+J52+K52</f>
        <v>2000000</v>
      </c>
      <c r="M52" s="769">
        <f>49606300-48031500-459800</f>
        <v>1115000</v>
      </c>
      <c r="N52" s="723">
        <f>13393700-12968500-125200+500</f>
        <v>300500</v>
      </c>
      <c r="O52" s="764">
        <f t="shared" ref="O52:O63" si="17">+M52+N52</f>
        <v>1415500</v>
      </c>
      <c r="P52" s="769">
        <v>0</v>
      </c>
      <c r="Q52" s="723">
        <v>0</v>
      </c>
      <c r="R52" s="764">
        <f t="shared" ref="R52:R63" si="18">+P52+Q52</f>
        <v>0</v>
      </c>
    </row>
    <row r="53" spans="1:20" ht="15.75" x14ac:dyDescent="0.25">
      <c r="A53" s="713" t="s">
        <v>322</v>
      </c>
      <c r="B53" s="752">
        <v>5112702</v>
      </c>
      <c r="C53" s="714" t="s">
        <v>1753</v>
      </c>
      <c r="D53" s="715">
        <v>50100000</v>
      </c>
      <c r="E53" s="723">
        <v>13527000</v>
      </c>
      <c r="F53" s="748">
        <f t="shared" si="14"/>
        <v>63627000</v>
      </c>
      <c r="G53" s="769">
        <v>50100000</v>
      </c>
      <c r="H53" s="723">
        <v>13527000</v>
      </c>
      <c r="I53" s="748">
        <f t="shared" si="15"/>
        <v>63627000</v>
      </c>
      <c r="J53" s="769">
        <v>50100000</v>
      </c>
      <c r="K53" s="723">
        <v>13527000</v>
      </c>
      <c r="L53" s="771">
        <f t="shared" si="16"/>
        <v>63627000</v>
      </c>
      <c r="M53" s="769">
        <f>50100000-2300000</f>
        <v>47800000</v>
      </c>
      <c r="N53" s="723">
        <f>13527000-621000</f>
        <v>12906000</v>
      </c>
      <c r="O53" s="771">
        <f t="shared" si="17"/>
        <v>60706000</v>
      </c>
      <c r="P53" s="723">
        <v>43104169</v>
      </c>
      <c r="Q53" s="723">
        <v>11638126</v>
      </c>
      <c r="R53" s="889">
        <f t="shared" si="18"/>
        <v>54742295</v>
      </c>
    </row>
    <row r="54" spans="1:20" ht="15.75" x14ac:dyDescent="0.25">
      <c r="A54" s="713" t="s">
        <v>315</v>
      </c>
      <c r="B54" s="752">
        <v>5112703</v>
      </c>
      <c r="C54" s="714" t="s">
        <v>1712</v>
      </c>
      <c r="D54" s="715">
        <v>2460000</v>
      </c>
      <c r="E54" s="723">
        <v>663500</v>
      </c>
      <c r="F54" s="748">
        <f t="shared" si="14"/>
        <v>3123500</v>
      </c>
      <c r="G54" s="769">
        <v>2460000</v>
      </c>
      <c r="H54" s="723">
        <v>663500</v>
      </c>
      <c r="I54" s="748">
        <f t="shared" si="15"/>
        <v>3123500</v>
      </c>
      <c r="J54" s="769">
        <v>2460000</v>
      </c>
      <c r="K54" s="723">
        <v>663500</v>
      </c>
      <c r="L54" s="771">
        <f t="shared" si="16"/>
        <v>3123500</v>
      </c>
      <c r="M54" s="769">
        <v>2460000</v>
      </c>
      <c r="N54" s="723">
        <v>663500</v>
      </c>
      <c r="O54" s="771">
        <f t="shared" si="17"/>
        <v>3123500</v>
      </c>
      <c r="P54" s="769"/>
      <c r="Q54" s="723"/>
      <c r="R54" s="771">
        <f t="shared" si="18"/>
        <v>0</v>
      </c>
    </row>
    <row r="55" spans="1:20" ht="15.75" x14ac:dyDescent="0.25">
      <c r="A55" s="713" t="s">
        <v>336</v>
      </c>
      <c r="B55" s="752">
        <v>5112704</v>
      </c>
      <c r="C55" s="714" t="s">
        <v>1713</v>
      </c>
      <c r="D55" s="715">
        <f>14228500/1.27</f>
        <v>11203543.307086615</v>
      </c>
      <c r="E55" s="723">
        <f>14228500-D55</f>
        <v>3024956.6929133851</v>
      </c>
      <c r="F55" s="748">
        <f t="shared" si="14"/>
        <v>14228500</v>
      </c>
      <c r="G55" s="769">
        <f>11203543+32677000</f>
        <v>43880543</v>
      </c>
      <c r="H55" s="723">
        <f>3024957+8823000</f>
        <v>11847957</v>
      </c>
      <c r="I55" s="748">
        <f t="shared" si="15"/>
        <v>55728500</v>
      </c>
      <c r="J55" s="769">
        <f>11203543+32677000</f>
        <v>43880543</v>
      </c>
      <c r="K55" s="723">
        <f>3024957+8823000</f>
        <v>11847957</v>
      </c>
      <c r="L55" s="771">
        <f t="shared" si="16"/>
        <v>55728500</v>
      </c>
      <c r="M55" s="769">
        <f>11203543+32677000</f>
        <v>43880543</v>
      </c>
      <c r="N55" s="723">
        <f>3024957+8823000</f>
        <v>11847957</v>
      </c>
      <c r="O55" s="771">
        <f t="shared" si="17"/>
        <v>55728500</v>
      </c>
      <c r="P55" s="769"/>
      <c r="Q55" s="723"/>
      <c r="R55" s="771">
        <f t="shared" si="18"/>
        <v>0</v>
      </c>
    </row>
    <row r="56" spans="1:20" ht="15.75" x14ac:dyDescent="0.25">
      <c r="A56" s="713" t="s">
        <v>338</v>
      </c>
      <c r="B56" s="752">
        <v>5112705</v>
      </c>
      <c r="C56" s="718" t="s">
        <v>1519</v>
      </c>
      <c r="D56" s="715">
        <v>24225000</v>
      </c>
      <c r="E56" s="723">
        <v>6540040</v>
      </c>
      <c r="F56" s="748">
        <f t="shared" si="14"/>
        <v>30765040</v>
      </c>
      <c r="G56" s="769">
        <v>24225000</v>
      </c>
      <c r="H56" s="723">
        <v>6540040</v>
      </c>
      <c r="I56" s="748">
        <f t="shared" si="15"/>
        <v>30765040</v>
      </c>
      <c r="J56" s="769">
        <v>24225000</v>
      </c>
      <c r="K56" s="723">
        <v>6540040</v>
      </c>
      <c r="L56" s="771">
        <f t="shared" si="16"/>
        <v>30765040</v>
      </c>
      <c r="M56" s="769">
        <f>24225000+1213075</f>
        <v>25438075</v>
      </c>
      <c r="N56" s="723">
        <f>6540040+327530</f>
        <v>6867570</v>
      </c>
      <c r="O56" s="771">
        <f t="shared" si="17"/>
        <v>32305645</v>
      </c>
      <c r="P56" s="723">
        <v>1919992</v>
      </c>
      <c r="Q56" s="723">
        <v>518398</v>
      </c>
      <c r="R56" s="889">
        <f t="shared" si="18"/>
        <v>2438390</v>
      </c>
    </row>
    <row r="57" spans="1:20" ht="15.75" x14ac:dyDescent="0.25">
      <c r="A57" s="713" t="s">
        <v>557</v>
      </c>
      <c r="B57" s="752">
        <v>5112706</v>
      </c>
      <c r="C57" s="718" t="s">
        <v>1680</v>
      </c>
      <c r="D57" s="715">
        <v>19685000</v>
      </c>
      <c r="E57" s="723">
        <v>5315000</v>
      </c>
      <c r="F57" s="748">
        <f t="shared" si="14"/>
        <v>25000000</v>
      </c>
      <c r="G57" s="769">
        <v>19685000</v>
      </c>
      <c r="H57" s="723">
        <v>5315000</v>
      </c>
      <c r="I57" s="748">
        <f t="shared" si="15"/>
        <v>25000000</v>
      </c>
      <c r="J57" s="769">
        <v>19685000</v>
      </c>
      <c r="K57" s="723">
        <v>5315000</v>
      </c>
      <c r="L57" s="771">
        <f t="shared" si="16"/>
        <v>25000000</v>
      </c>
      <c r="M57" s="769">
        <f>19685000-275800</f>
        <v>19409200</v>
      </c>
      <c r="N57" s="723">
        <f>5315000-74466</f>
        <v>5240534</v>
      </c>
      <c r="O57" s="771">
        <f t="shared" si="17"/>
        <v>24649734</v>
      </c>
      <c r="P57" s="723">
        <v>16076530</v>
      </c>
      <c r="Q57" s="723">
        <v>4340663</v>
      </c>
      <c r="R57" s="889">
        <f t="shared" si="18"/>
        <v>20417193</v>
      </c>
    </row>
    <row r="58" spans="1:20" ht="15.75" x14ac:dyDescent="0.25">
      <c r="A58" s="713" t="s">
        <v>559</v>
      </c>
      <c r="B58" s="752">
        <v>5112707</v>
      </c>
      <c r="C58" s="718" t="s">
        <v>1704</v>
      </c>
      <c r="D58" s="715">
        <v>4000000</v>
      </c>
      <c r="E58" s="723">
        <v>1000000</v>
      </c>
      <c r="F58" s="748">
        <f t="shared" si="14"/>
        <v>5000000</v>
      </c>
      <c r="G58" s="769">
        <v>4000000</v>
      </c>
      <c r="H58" s="723">
        <v>1000000</v>
      </c>
      <c r="I58" s="748">
        <f t="shared" si="15"/>
        <v>5000000</v>
      </c>
      <c r="J58" s="769">
        <f>4000000-382677</f>
        <v>3617323</v>
      </c>
      <c r="K58" s="723">
        <f>1000000-103323</f>
        <v>896677</v>
      </c>
      <c r="L58" s="771">
        <f t="shared" si="16"/>
        <v>4514000</v>
      </c>
      <c r="M58" s="769">
        <f>4000000-382677</f>
        <v>3617323</v>
      </c>
      <c r="N58" s="723">
        <f>1000000-103323</f>
        <v>896677</v>
      </c>
      <c r="O58" s="771">
        <f t="shared" si="17"/>
        <v>4514000</v>
      </c>
      <c r="P58" s="769"/>
      <c r="Q58" s="723"/>
      <c r="R58" s="771">
        <f t="shared" si="18"/>
        <v>0</v>
      </c>
    </row>
    <row r="59" spans="1:20" ht="15.75" x14ac:dyDescent="0.25">
      <c r="A59" s="713" t="s">
        <v>561</v>
      </c>
      <c r="B59" s="752">
        <v>5112708</v>
      </c>
      <c r="C59" s="718" t="s">
        <v>1706</v>
      </c>
      <c r="D59" s="715">
        <v>3740000</v>
      </c>
      <c r="E59" s="723">
        <v>1009800</v>
      </c>
      <c r="F59" s="748">
        <f t="shared" si="14"/>
        <v>4749800</v>
      </c>
      <c r="G59" s="769">
        <v>3740000</v>
      </c>
      <c r="H59" s="723">
        <v>1009800</v>
      </c>
      <c r="I59" s="748">
        <f t="shared" si="15"/>
        <v>4749800</v>
      </c>
      <c r="J59" s="769">
        <v>3740000</v>
      </c>
      <c r="K59" s="723">
        <v>1009800</v>
      </c>
      <c r="L59" s="771">
        <f t="shared" si="16"/>
        <v>4749800</v>
      </c>
      <c r="M59" s="769">
        <f>3740000-1218340</f>
        <v>2521660</v>
      </c>
      <c r="N59" s="723">
        <f>1009800-328952</f>
        <v>680848</v>
      </c>
      <c r="O59" s="771">
        <f t="shared" si="17"/>
        <v>3202508</v>
      </c>
      <c r="P59" s="769"/>
      <c r="Q59" s="723"/>
      <c r="R59" s="771">
        <f t="shared" si="18"/>
        <v>0</v>
      </c>
    </row>
    <row r="60" spans="1:20" ht="15.75" x14ac:dyDescent="0.25">
      <c r="A60" s="713" t="s">
        <v>562</v>
      </c>
      <c r="B60" s="752">
        <v>5112709</v>
      </c>
      <c r="C60" s="718" t="s">
        <v>1705</v>
      </c>
      <c r="D60" s="715">
        <v>4000000</v>
      </c>
      <c r="E60" s="723">
        <v>1000000</v>
      </c>
      <c r="F60" s="748">
        <f t="shared" si="14"/>
        <v>5000000</v>
      </c>
      <c r="G60" s="769">
        <v>4000000</v>
      </c>
      <c r="H60" s="723">
        <v>1000000</v>
      </c>
      <c r="I60" s="748">
        <f t="shared" si="15"/>
        <v>5000000</v>
      </c>
      <c r="J60" s="769">
        <v>4000000</v>
      </c>
      <c r="K60" s="723">
        <v>1000000</v>
      </c>
      <c r="L60" s="771">
        <f t="shared" si="16"/>
        <v>5000000</v>
      </c>
      <c r="M60" s="769">
        <v>4000000</v>
      </c>
      <c r="N60" s="723">
        <v>1000000</v>
      </c>
      <c r="O60" s="771">
        <f t="shared" si="17"/>
        <v>5000000</v>
      </c>
      <c r="P60" s="769"/>
      <c r="Q60" s="723"/>
      <c r="R60" s="771">
        <f t="shared" si="18"/>
        <v>0</v>
      </c>
    </row>
    <row r="61" spans="1:20" ht="15.75" x14ac:dyDescent="0.25">
      <c r="A61" s="713" t="s">
        <v>564</v>
      </c>
      <c r="B61" s="774" t="s">
        <v>1818</v>
      </c>
      <c r="C61" s="770" t="s">
        <v>1788</v>
      </c>
      <c r="D61" s="769"/>
      <c r="E61" s="723"/>
      <c r="F61" s="771"/>
      <c r="G61" s="769">
        <v>3441600</v>
      </c>
      <c r="H61" s="723">
        <v>929232</v>
      </c>
      <c r="I61" s="771">
        <f t="shared" si="15"/>
        <v>4370832</v>
      </c>
      <c r="J61" s="769">
        <v>3441600</v>
      </c>
      <c r="K61" s="723">
        <v>929232</v>
      </c>
      <c r="L61" s="771">
        <f t="shared" si="16"/>
        <v>4370832</v>
      </c>
      <c r="M61" s="769">
        <f>21383074+14286300</f>
        <v>35669374</v>
      </c>
      <c r="N61" s="723">
        <f>5773430+3857301</f>
        <v>9630731</v>
      </c>
      <c r="O61" s="771">
        <f t="shared" si="17"/>
        <v>45300105</v>
      </c>
      <c r="P61" s="723">
        <f>6408074+3441600</f>
        <v>9849674</v>
      </c>
      <c r="Q61" s="723">
        <f>1730180+929232</f>
        <v>2659412</v>
      </c>
      <c r="R61" s="889">
        <f t="shared" si="18"/>
        <v>12509086</v>
      </c>
    </row>
    <row r="62" spans="1:20" ht="15.75" x14ac:dyDescent="0.25">
      <c r="A62" s="713" t="s">
        <v>566</v>
      </c>
      <c r="B62" s="752">
        <v>5112710</v>
      </c>
      <c r="C62" s="718" t="s">
        <v>1707</v>
      </c>
      <c r="D62" s="715">
        <v>800000</v>
      </c>
      <c r="E62" s="715">
        <v>216000</v>
      </c>
      <c r="F62" s="748">
        <f t="shared" si="14"/>
        <v>1016000</v>
      </c>
      <c r="G62" s="769">
        <v>800000</v>
      </c>
      <c r="H62" s="769">
        <v>216000</v>
      </c>
      <c r="I62" s="748">
        <f t="shared" si="15"/>
        <v>1016000</v>
      </c>
      <c r="J62" s="769">
        <v>800000</v>
      </c>
      <c r="K62" s="769">
        <v>216000</v>
      </c>
      <c r="L62" s="771">
        <f t="shared" si="16"/>
        <v>1016000</v>
      </c>
      <c r="M62" s="769">
        <v>800000</v>
      </c>
      <c r="N62" s="769">
        <v>216000</v>
      </c>
      <c r="O62" s="771">
        <f t="shared" si="17"/>
        <v>1016000</v>
      </c>
      <c r="P62" s="769"/>
      <c r="Q62" s="769"/>
      <c r="R62" s="771">
        <f t="shared" si="18"/>
        <v>0</v>
      </c>
    </row>
    <row r="63" spans="1:20" ht="15.75" x14ac:dyDescent="0.25">
      <c r="A63" s="713" t="s">
        <v>567</v>
      </c>
      <c r="B63" s="752">
        <v>5112626</v>
      </c>
      <c r="C63" s="718" t="s">
        <v>1779</v>
      </c>
      <c r="D63" s="715"/>
      <c r="E63" s="715"/>
      <c r="F63" s="748"/>
      <c r="G63" s="769"/>
      <c r="H63" s="769"/>
      <c r="I63" s="748"/>
      <c r="J63" s="769"/>
      <c r="K63" s="769"/>
      <c r="L63" s="771"/>
      <c r="M63" s="769">
        <v>1333585</v>
      </c>
      <c r="N63" s="769">
        <v>360068</v>
      </c>
      <c r="O63" s="771">
        <f t="shared" si="17"/>
        <v>1693653</v>
      </c>
      <c r="P63" s="723">
        <v>1331568</v>
      </c>
      <c r="Q63" s="723">
        <v>359523</v>
      </c>
      <c r="R63" s="889">
        <f t="shared" si="18"/>
        <v>1691091</v>
      </c>
    </row>
    <row r="64" spans="1:20" s="872" customFormat="1" ht="15.75" x14ac:dyDescent="0.25">
      <c r="A64" s="886" t="s">
        <v>569</v>
      </c>
      <c r="B64" s="887"/>
      <c r="C64" s="891" t="s">
        <v>1770</v>
      </c>
      <c r="D64" s="723"/>
      <c r="E64" s="723"/>
      <c r="F64" s="889"/>
      <c r="G64" s="723">
        <v>906250</v>
      </c>
      <c r="H64" s="723">
        <v>244687</v>
      </c>
      <c r="I64" s="889">
        <f t="shared" ref="I64:I65" si="19">+G64+H64</f>
        <v>1150937</v>
      </c>
      <c r="J64" s="723">
        <v>906250</v>
      </c>
      <c r="K64" s="723">
        <v>244687</v>
      </c>
      <c r="L64" s="889">
        <f t="shared" ref="L64:L66" si="20">+J64+K64</f>
        <v>1150937</v>
      </c>
      <c r="M64" s="723">
        <v>906250</v>
      </c>
      <c r="N64" s="723">
        <v>244687</v>
      </c>
      <c r="O64" s="889">
        <f t="shared" ref="O64:O66" si="21">+M64+N64</f>
        <v>1150937</v>
      </c>
      <c r="P64" s="723">
        <v>0</v>
      </c>
      <c r="Q64" s="723">
        <v>0</v>
      </c>
      <c r="R64" s="889">
        <f t="shared" ref="R64:R66" si="22">+P64+Q64</f>
        <v>0</v>
      </c>
    </row>
    <row r="65" spans="1:19" ht="15.75" x14ac:dyDescent="0.25">
      <c r="A65" s="713" t="s">
        <v>570</v>
      </c>
      <c r="B65" s="752"/>
      <c r="C65" s="718" t="s">
        <v>1784</v>
      </c>
      <c r="D65" s="715"/>
      <c r="E65" s="715"/>
      <c r="F65" s="748"/>
      <c r="G65" s="769">
        <f>2444545+9661651+8161890+14000000</f>
        <v>34268086</v>
      </c>
      <c r="H65" s="769">
        <f>2608646+2203711+3780000</f>
        <v>8592357</v>
      </c>
      <c r="I65" s="771">
        <f t="shared" si="19"/>
        <v>42860443</v>
      </c>
      <c r="J65" s="769">
        <f>2444545+9661651+8161890+14000000</f>
        <v>34268086</v>
      </c>
      <c r="K65" s="769">
        <f>2608646+2203711+3780000</f>
        <v>8592357</v>
      </c>
      <c r="L65" s="771">
        <f t="shared" si="20"/>
        <v>42860443</v>
      </c>
      <c r="M65" s="723">
        <f>2444545+9661651+8161890+14000000-14000000-9661651</f>
        <v>10606435</v>
      </c>
      <c r="N65" s="723">
        <f>2608646+2203711+3780000-2608646-3780000</f>
        <v>2203711</v>
      </c>
      <c r="O65" s="771">
        <f t="shared" si="21"/>
        <v>12810146</v>
      </c>
      <c r="P65" s="769"/>
      <c r="Q65" s="769"/>
      <c r="R65" s="771">
        <f t="shared" si="22"/>
        <v>0</v>
      </c>
    </row>
    <row r="66" spans="1:19" ht="15.75" x14ac:dyDescent="0.25">
      <c r="A66" s="713" t="s">
        <v>571</v>
      </c>
      <c r="B66" s="752">
        <v>5232701</v>
      </c>
      <c r="C66" s="770" t="s">
        <v>1800</v>
      </c>
      <c r="D66" s="715"/>
      <c r="E66" s="715"/>
      <c r="F66" s="748"/>
      <c r="G66" s="769"/>
      <c r="H66" s="769"/>
      <c r="I66" s="748"/>
      <c r="J66" s="769">
        <v>2526800</v>
      </c>
      <c r="K66" s="769">
        <v>682236</v>
      </c>
      <c r="L66" s="771">
        <f t="shared" si="20"/>
        <v>3209036</v>
      </c>
      <c r="M66" s="723">
        <v>2526800</v>
      </c>
      <c r="N66" s="723">
        <v>682236</v>
      </c>
      <c r="O66" s="889">
        <f t="shared" si="21"/>
        <v>3209036</v>
      </c>
      <c r="P66" s="723">
        <v>2526800</v>
      </c>
      <c r="Q66" s="723">
        <v>682236</v>
      </c>
      <c r="R66" s="889">
        <f t="shared" si="22"/>
        <v>3209036</v>
      </c>
    </row>
    <row r="67" spans="1:19" ht="15.75" x14ac:dyDescent="0.25">
      <c r="A67" s="713" t="s">
        <v>715</v>
      </c>
      <c r="B67" s="774">
        <v>5112714</v>
      </c>
      <c r="C67" s="770" t="s">
        <v>1819</v>
      </c>
      <c r="D67" s="769"/>
      <c r="E67" s="769"/>
      <c r="F67" s="771"/>
      <c r="G67" s="769"/>
      <c r="H67" s="769"/>
      <c r="I67" s="771"/>
      <c r="J67" s="769"/>
      <c r="K67" s="769"/>
      <c r="L67" s="771">
        <f t="shared" ref="L67" si="23">+J67+K67</f>
        <v>0</v>
      </c>
      <c r="M67" s="723">
        <v>8661000</v>
      </c>
      <c r="N67" s="723">
        <v>2339000</v>
      </c>
      <c r="O67" s="889">
        <f t="shared" ref="O67" si="24">+M67+N67</f>
        <v>11000000</v>
      </c>
      <c r="P67" s="723">
        <v>8595400</v>
      </c>
      <c r="Q67" s="723">
        <v>2320758</v>
      </c>
      <c r="R67" s="889">
        <f t="shared" ref="R67" si="25">+P67+Q67</f>
        <v>10916158</v>
      </c>
    </row>
    <row r="68" spans="1:19" ht="16.5" x14ac:dyDescent="0.25">
      <c r="A68" s="719"/>
      <c r="C68" s="724" t="s">
        <v>1683</v>
      </c>
      <c r="D68" s="721">
        <f>SUM(D52:D62)</f>
        <v>169819843.30708662</v>
      </c>
      <c r="E68" s="721">
        <f>SUM(E52:E62)</f>
        <v>45689996.692913383</v>
      </c>
      <c r="F68" s="749">
        <f>SUM(F52:F63)</f>
        <v>215509840</v>
      </c>
      <c r="G68" s="721">
        <f t="shared" ref="G68:L68" si="26">SUM(G52:G66)</f>
        <v>193081279</v>
      </c>
      <c r="H68" s="721">
        <f t="shared" si="26"/>
        <v>51310773</v>
      </c>
      <c r="I68" s="749">
        <f t="shared" si="26"/>
        <v>244392052</v>
      </c>
      <c r="J68" s="721">
        <f t="shared" si="26"/>
        <v>195225402</v>
      </c>
      <c r="K68" s="721">
        <f t="shared" si="26"/>
        <v>51889686</v>
      </c>
      <c r="L68" s="772">
        <f t="shared" si="26"/>
        <v>247115088</v>
      </c>
      <c r="M68" s="721">
        <f t="shared" ref="M68:R68" si="27">SUM(M52:M67)</f>
        <v>210745245</v>
      </c>
      <c r="N68" s="721">
        <f t="shared" si="27"/>
        <v>56080019</v>
      </c>
      <c r="O68" s="772">
        <f t="shared" si="27"/>
        <v>266825264</v>
      </c>
      <c r="P68" s="721">
        <f t="shared" si="27"/>
        <v>83404133</v>
      </c>
      <c r="Q68" s="721">
        <f t="shared" si="27"/>
        <v>22519116</v>
      </c>
      <c r="R68" s="772">
        <f t="shared" si="27"/>
        <v>105923249</v>
      </c>
      <c r="S68" s="712">
        <v>105923249</v>
      </c>
    </row>
    <row r="69" spans="1:19" ht="16.5" x14ac:dyDescent="0.25">
      <c r="A69" s="719"/>
      <c r="C69" s="747"/>
      <c r="D69" s="721"/>
      <c r="E69" s="721"/>
      <c r="F69" s="749"/>
      <c r="G69" s="721"/>
      <c r="H69" s="721"/>
      <c r="I69" s="749"/>
      <c r="J69" s="721"/>
      <c r="K69" s="721"/>
      <c r="L69" s="772"/>
      <c r="M69" s="721"/>
      <c r="N69" s="721"/>
      <c r="O69" s="772"/>
      <c r="P69" s="721"/>
      <c r="Q69" s="721"/>
      <c r="R69" s="772"/>
    </row>
    <row r="70" spans="1:19" ht="16.5" x14ac:dyDescent="0.25">
      <c r="A70" s="998" t="s">
        <v>1699</v>
      </c>
      <c r="B70" s="998"/>
      <c r="C70" s="998"/>
      <c r="D70" s="998"/>
      <c r="E70" s="725"/>
      <c r="F70" s="749">
        <f>+F68+F49</f>
        <v>1352114190</v>
      </c>
      <c r="G70" s="749"/>
      <c r="H70" s="725"/>
      <c r="I70" s="749">
        <f>+I68+I49</f>
        <v>1615199879</v>
      </c>
      <c r="J70" s="772"/>
      <c r="K70" s="725"/>
      <c r="L70" s="772">
        <f>+L68+L49</f>
        <v>1604519715</v>
      </c>
      <c r="M70" s="772"/>
      <c r="N70" s="725"/>
      <c r="O70" s="772">
        <f>+O68+O49</f>
        <v>1548344708</v>
      </c>
      <c r="P70" s="772"/>
      <c r="Q70" s="725"/>
      <c r="R70" s="772">
        <f>+R68+R49</f>
        <v>321301276</v>
      </c>
    </row>
    <row r="71" spans="1:19" ht="15.75" x14ac:dyDescent="0.25">
      <c r="A71" s="744"/>
      <c r="B71" s="754"/>
      <c r="C71" s="744"/>
      <c r="D71" s="744"/>
      <c r="E71" s="725"/>
      <c r="F71" s="721"/>
      <c r="G71" s="744"/>
      <c r="H71" s="725"/>
      <c r="I71" s="721"/>
      <c r="J71" s="846"/>
      <c r="K71" s="725"/>
      <c r="L71" s="721"/>
      <c r="M71" s="846"/>
      <c r="N71" s="725"/>
      <c r="O71" s="721"/>
      <c r="P71" s="846"/>
      <c r="Q71" s="725"/>
      <c r="R71" s="721"/>
    </row>
    <row r="72" spans="1:19" ht="15.75" x14ac:dyDescent="0.25">
      <c r="A72" s="996" t="s">
        <v>1733</v>
      </c>
      <c r="B72" s="996"/>
      <c r="C72" s="996"/>
      <c r="D72" s="996"/>
      <c r="E72" s="996"/>
      <c r="F72" s="996"/>
      <c r="G72" s="761"/>
      <c r="H72" s="761"/>
      <c r="I72" s="761"/>
      <c r="J72" s="761"/>
      <c r="K72" s="761"/>
      <c r="L72" s="761"/>
      <c r="M72" s="761"/>
      <c r="N72" s="761"/>
      <c r="O72" s="761"/>
      <c r="P72" s="761"/>
      <c r="Q72" s="761"/>
      <c r="R72" s="761"/>
    </row>
    <row r="73" spans="1:19" ht="15.75" x14ac:dyDescent="0.25">
      <c r="A73" s="713" t="s">
        <v>311</v>
      </c>
      <c r="B73" s="752"/>
      <c r="C73" s="714" t="s">
        <v>1734</v>
      </c>
      <c r="D73" s="715"/>
      <c r="E73" s="715"/>
      <c r="F73" s="715">
        <f>+'3A PH'!F46</f>
        <v>8000000</v>
      </c>
      <c r="G73" s="715"/>
      <c r="H73" s="715"/>
      <c r="I73" s="715">
        <f>+'3A PH'!J46</f>
        <v>8000000</v>
      </c>
      <c r="J73" s="769"/>
      <c r="K73" s="769"/>
      <c r="L73" s="769">
        <f>+'3A PH'!N46</f>
        <v>8000000</v>
      </c>
      <c r="M73" s="769"/>
      <c r="N73" s="769"/>
      <c r="O73" s="769">
        <f>+'3A PH'!R46</f>
        <v>8000000</v>
      </c>
      <c r="P73" s="769"/>
      <c r="Q73" s="769"/>
      <c r="R73" s="769">
        <f>+'3A PH'!T46</f>
        <v>381361</v>
      </c>
    </row>
    <row r="74" spans="1:19" ht="34.15" customHeight="1" x14ac:dyDescent="0.25">
      <c r="A74" s="713" t="s">
        <v>322</v>
      </c>
      <c r="B74" s="752"/>
      <c r="C74" s="717" t="s">
        <v>1735</v>
      </c>
      <c r="D74" s="715"/>
      <c r="E74" s="715"/>
      <c r="F74" s="715">
        <f>+'4A Walla'!E43</f>
        <v>1270000</v>
      </c>
      <c r="G74" s="715"/>
      <c r="H74" s="715"/>
      <c r="I74" s="715">
        <f>+'4A Walla'!H43</f>
        <v>1270000</v>
      </c>
      <c r="J74" s="769"/>
      <c r="K74" s="769"/>
      <c r="L74" s="769">
        <f>+'4A Walla'!K43</f>
        <v>1270000</v>
      </c>
      <c r="M74" s="769"/>
      <c r="N74" s="769"/>
      <c r="O74" s="769">
        <f>+'4A Walla'!N43</f>
        <v>1270000</v>
      </c>
      <c r="P74" s="769"/>
      <c r="Q74" s="769"/>
      <c r="R74" s="769">
        <f>+'4A Walla'!Q43</f>
        <v>128820</v>
      </c>
    </row>
    <row r="75" spans="1:19" ht="15.75" x14ac:dyDescent="0.25">
      <c r="A75" s="713" t="s">
        <v>315</v>
      </c>
      <c r="B75" s="752"/>
      <c r="C75" s="717" t="s">
        <v>1737</v>
      </c>
      <c r="D75" s="715"/>
      <c r="E75" s="715"/>
      <c r="F75" s="715">
        <f>+'4B Nyitnikék'!E43</f>
        <v>1270000</v>
      </c>
      <c r="G75" s="715"/>
      <c r="H75" s="715"/>
      <c r="I75" s="715">
        <f>+'4B Nyitnikék'!H43</f>
        <v>2273300</v>
      </c>
      <c r="J75" s="769"/>
      <c r="K75" s="769"/>
      <c r="L75" s="769">
        <f>+'4B Nyitnikék'!K43</f>
        <v>2273300</v>
      </c>
      <c r="M75" s="769"/>
      <c r="N75" s="769"/>
      <c r="O75" s="769">
        <f>+'4B Nyitnikék'!N43</f>
        <v>2273300</v>
      </c>
      <c r="P75" s="769"/>
      <c r="Q75" s="769"/>
      <c r="R75" s="769">
        <f>+'4B Nyitnikék'!Q43</f>
        <v>1794838</v>
      </c>
    </row>
    <row r="76" spans="1:19" ht="15.75" x14ac:dyDescent="0.25">
      <c r="A76" s="713" t="s">
        <v>336</v>
      </c>
      <c r="B76" s="752"/>
      <c r="C76" s="717" t="s">
        <v>1738</v>
      </c>
      <c r="D76" s="715"/>
      <c r="E76" s="715"/>
      <c r="F76" s="715">
        <f>+'4C Bóbita'!E43</f>
        <v>1016000</v>
      </c>
      <c r="G76" s="715"/>
      <c r="H76" s="715"/>
      <c r="I76" s="715">
        <f>+'4C Bóbita'!H43</f>
        <v>1016000</v>
      </c>
      <c r="J76" s="769"/>
      <c r="K76" s="769"/>
      <c r="L76" s="769">
        <f>+'4C Bóbita'!K43</f>
        <v>2130814</v>
      </c>
      <c r="M76" s="769"/>
      <c r="N76" s="769"/>
      <c r="O76" s="769">
        <f>+'4C Bóbita'!N43</f>
        <v>2675328</v>
      </c>
      <c r="P76" s="769"/>
      <c r="Q76" s="769"/>
      <c r="R76" s="769">
        <f>+'4C Bóbita'!Q43</f>
        <v>2673753</v>
      </c>
    </row>
    <row r="77" spans="1:19" ht="15.75" x14ac:dyDescent="0.25">
      <c r="A77" s="713" t="s">
        <v>338</v>
      </c>
      <c r="B77" s="752"/>
      <c r="C77" s="717" t="s">
        <v>1739</v>
      </c>
      <c r="D77" s="715"/>
      <c r="E77" s="715"/>
      <c r="F77" s="715">
        <f>+'4D MMMH'!E43</f>
        <v>1270000</v>
      </c>
      <c r="G77" s="715"/>
      <c r="H77" s="715"/>
      <c r="I77" s="715">
        <f>+'4D MMMH'!H43</f>
        <v>1270000</v>
      </c>
      <c r="J77" s="769"/>
      <c r="K77" s="769"/>
      <c r="L77" s="769">
        <f>+'4D MMMH'!K43</f>
        <v>1270000</v>
      </c>
      <c r="M77" s="769"/>
      <c r="N77" s="769"/>
      <c r="O77" s="769">
        <f>+'4D MMMH'!N43</f>
        <v>3741141</v>
      </c>
      <c r="P77" s="769"/>
      <c r="Q77" s="769"/>
      <c r="R77" s="769">
        <f>+'4D MMMH'!Q43</f>
        <v>2219681</v>
      </c>
    </row>
    <row r="78" spans="1:19" ht="15.75" x14ac:dyDescent="0.25">
      <c r="A78" s="713" t="s">
        <v>557</v>
      </c>
      <c r="B78" s="752"/>
      <c r="C78" s="717" t="s">
        <v>1736</v>
      </c>
      <c r="D78" s="715"/>
      <c r="E78" s="715"/>
      <c r="F78" s="715">
        <f>+'4E Könyvtár'!E43</f>
        <v>2600000</v>
      </c>
      <c r="G78" s="715"/>
      <c r="H78" s="715"/>
      <c r="I78" s="715">
        <f>+'4E Könyvtár'!H43</f>
        <v>2600000</v>
      </c>
      <c r="J78" s="769"/>
      <c r="K78" s="769"/>
      <c r="L78" s="769">
        <f>+'4E Könyvtár'!K43</f>
        <v>2600000</v>
      </c>
      <c r="M78" s="769"/>
      <c r="N78" s="769"/>
      <c r="O78" s="769">
        <f>+'4E Könyvtár'!N43</f>
        <v>2600000</v>
      </c>
      <c r="P78" s="769"/>
      <c r="Q78" s="769"/>
      <c r="R78" s="769">
        <f>+'4E Könyvtár'!Q43</f>
        <v>1665439</v>
      </c>
    </row>
    <row r="79" spans="1:19" ht="15.75" x14ac:dyDescent="0.25">
      <c r="A79" s="713" t="s">
        <v>1700</v>
      </c>
      <c r="B79" s="752"/>
      <c r="C79" s="717" t="s">
        <v>1740</v>
      </c>
      <c r="D79" s="715"/>
      <c r="E79" s="715"/>
      <c r="F79" s="715">
        <f>+'4F Segítő Kéz'!E43</f>
        <v>1270000</v>
      </c>
      <c r="G79" s="715"/>
      <c r="H79" s="715"/>
      <c r="I79" s="715">
        <f>+'4F Segítő Kéz'!H43</f>
        <v>1270000</v>
      </c>
      <c r="J79" s="769"/>
      <c r="K79" s="769"/>
      <c r="L79" s="769">
        <f>+'4F Segítő Kéz'!K43</f>
        <v>1270000</v>
      </c>
      <c r="M79" s="769"/>
      <c r="N79" s="769"/>
      <c r="O79" s="769">
        <f>+'4F Segítő Kéz'!N43</f>
        <v>1270000</v>
      </c>
      <c r="P79" s="769"/>
      <c r="Q79" s="769"/>
      <c r="R79" s="769">
        <f>+'4F Segítő Kéz'!Q43</f>
        <v>1044088</v>
      </c>
    </row>
    <row r="80" spans="1:19" ht="15.75" x14ac:dyDescent="0.25">
      <c r="A80" s="713" t="s">
        <v>561</v>
      </c>
      <c r="B80" s="752"/>
      <c r="C80" s="717" t="s">
        <v>1741</v>
      </c>
      <c r="D80" s="715"/>
      <c r="E80" s="715"/>
      <c r="F80" s="715">
        <f>+'4G Szérüskert'!E43</f>
        <v>1270000</v>
      </c>
      <c r="G80" s="715"/>
      <c r="H80" s="715"/>
      <c r="I80" s="715">
        <f>+'4G Szérüskert'!H43</f>
        <v>1270000</v>
      </c>
      <c r="J80" s="769"/>
      <c r="K80" s="769"/>
      <c r="L80" s="769">
        <f>+'4G Szérüskert'!K43</f>
        <v>1270000</v>
      </c>
      <c r="M80" s="769"/>
      <c r="N80" s="769"/>
      <c r="O80" s="769">
        <f>+'4G Szérüskert'!L43</f>
        <v>1270000</v>
      </c>
      <c r="P80" s="769"/>
      <c r="Q80" s="769"/>
      <c r="R80" s="769">
        <f>+'4G Szérüskert'!O43</f>
        <v>1210346</v>
      </c>
    </row>
    <row r="81" spans="1:18" ht="15.75" x14ac:dyDescent="0.25">
      <c r="A81" s="713" t="s">
        <v>562</v>
      </c>
      <c r="B81" s="752"/>
      <c r="C81" s="717" t="s">
        <v>1742</v>
      </c>
      <c r="D81" s="715"/>
      <c r="E81" s="715"/>
      <c r="F81" s="715">
        <f>+'4H VG bev kiad'!E43</f>
        <v>1270000</v>
      </c>
      <c r="G81" s="715"/>
      <c r="H81" s="715"/>
      <c r="I81" s="715">
        <f>+'4H VG bev kiad'!H43</f>
        <v>2690610</v>
      </c>
      <c r="J81" s="769"/>
      <c r="K81" s="769"/>
      <c r="L81" s="769">
        <f>+'4H VG bev kiad'!K43</f>
        <v>4911102</v>
      </c>
      <c r="M81" s="769"/>
      <c r="N81" s="769"/>
      <c r="O81" s="769">
        <f>+'4H VG bev kiad'!N43</f>
        <v>9829773</v>
      </c>
      <c r="P81" s="769"/>
      <c r="Q81" s="769"/>
      <c r="R81" s="769">
        <f>+'4H VG bev kiad'!Q43</f>
        <v>9608372</v>
      </c>
    </row>
    <row r="82" spans="1:18" ht="16.5" x14ac:dyDescent="0.25">
      <c r="C82" s="720" t="s">
        <v>1708</v>
      </c>
      <c r="D82" s="721"/>
      <c r="E82" s="721"/>
      <c r="F82" s="750">
        <f>SUM(F73:F81)</f>
        <v>19236000</v>
      </c>
      <c r="G82" s="721"/>
      <c r="H82" s="721"/>
      <c r="I82" s="750">
        <f>SUM(I73:I81)</f>
        <v>21659910</v>
      </c>
      <c r="J82" s="721"/>
      <c r="K82" s="721"/>
      <c r="L82" s="773">
        <f>SUM(L73:L81)</f>
        <v>24995216</v>
      </c>
      <c r="M82" s="721"/>
      <c r="N82" s="721"/>
      <c r="O82" s="773">
        <f>SUM(O73:O81)</f>
        <v>32929542</v>
      </c>
      <c r="P82" s="721"/>
      <c r="Q82" s="721"/>
      <c r="R82" s="773">
        <f>SUM(R73:R81)</f>
        <v>20726698</v>
      </c>
    </row>
    <row r="83" spans="1:18" ht="16.5" x14ac:dyDescent="0.25">
      <c r="C83" s="720"/>
      <c r="D83" s="721"/>
      <c r="E83" s="721"/>
      <c r="F83" s="750"/>
      <c r="G83" s="721"/>
      <c r="H83" s="721"/>
      <c r="I83" s="750"/>
      <c r="J83" s="721"/>
      <c r="K83" s="721"/>
      <c r="L83" s="773"/>
      <c r="M83" s="721"/>
      <c r="N83" s="721"/>
      <c r="O83" s="773"/>
      <c r="P83" s="721"/>
      <c r="Q83" s="721"/>
      <c r="R83" s="773"/>
    </row>
    <row r="84" spans="1:18" ht="15.75" x14ac:dyDescent="0.25">
      <c r="A84" s="996" t="s">
        <v>1766</v>
      </c>
      <c r="B84" s="996"/>
      <c r="C84" s="996"/>
      <c r="D84" s="996"/>
      <c r="E84" s="996"/>
      <c r="F84" s="996"/>
      <c r="G84" s="761"/>
      <c r="H84" s="761"/>
      <c r="I84" s="761"/>
      <c r="J84" s="761"/>
      <c r="K84" s="761"/>
      <c r="L84" s="761"/>
      <c r="M84" s="761"/>
      <c r="N84" s="761"/>
      <c r="O84" s="761"/>
      <c r="P84" s="761"/>
      <c r="Q84" s="761"/>
      <c r="R84" s="761"/>
    </row>
    <row r="85" spans="1:18" ht="15.75" x14ac:dyDescent="0.25">
      <c r="A85" s="713" t="s">
        <v>311</v>
      </c>
      <c r="B85" s="752"/>
      <c r="C85" s="714" t="s">
        <v>1767</v>
      </c>
      <c r="D85" s="715"/>
      <c r="E85" s="715"/>
      <c r="F85" s="715">
        <f>+'3A PH'!F57</f>
        <v>0</v>
      </c>
      <c r="G85" s="715"/>
      <c r="H85" s="715"/>
      <c r="I85" s="715">
        <f>+'5 GSZNR fel'!H219</f>
        <v>1813846</v>
      </c>
      <c r="J85" s="769"/>
      <c r="K85" s="769"/>
      <c r="L85" s="769">
        <f>+'5 GSZNR fel'!K219</f>
        <v>1088898</v>
      </c>
      <c r="M85" s="769"/>
      <c r="N85" s="769"/>
      <c r="O85" s="769">
        <f>+'5 GSZNR fel'!N219</f>
        <v>1088898</v>
      </c>
      <c r="P85" s="769"/>
      <c r="Q85" s="769"/>
      <c r="R85" s="769">
        <f>+'5 GSZNR fel'!Q219</f>
        <v>1088898</v>
      </c>
    </row>
    <row r="86" spans="1:18" ht="15.75" x14ac:dyDescent="0.25">
      <c r="A86" s="713" t="s">
        <v>322</v>
      </c>
      <c r="B86" s="752"/>
      <c r="C86" s="717" t="s">
        <v>1826</v>
      </c>
      <c r="D86" s="715"/>
      <c r="E86" s="715"/>
      <c r="F86" s="715">
        <f>+'4A Walla'!E54</f>
        <v>0</v>
      </c>
      <c r="G86" s="715"/>
      <c r="H86" s="715"/>
      <c r="I86" s="715"/>
      <c r="J86" s="769"/>
      <c r="K86" s="769"/>
      <c r="L86" s="769"/>
      <c r="M86" s="769"/>
      <c r="N86" s="769"/>
      <c r="O86" s="769">
        <f>+'5 GSZNR fel'!N71</f>
        <v>14382750</v>
      </c>
      <c r="P86" s="769"/>
      <c r="Q86" s="769"/>
      <c r="R86" s="769"/>
    </row>
    <row r="87" spans="1:18" ht="16.5" x14ac:dyDescent="0.25">
      <c r="C87" s="720" t="s">
        <v>1768</v>
      </c>
      <c r="D87" s="721"/>
      <c r="E87" s="721"/>
      <c r="F87" s="750"/>
      <c r="G87" s="721"/>
      <c r="H87" s="721"/>
      <c r="I87" s="750">
        <f>SUM(I85:I86)</f>
        <v>1813846</v>
      </c>
      <c r="J87" s="721"/>
      <c r="K87" s="721"/>
      <c r="L87" s="773">
        <f>SUM(L85:L86)</f>
        <v>1088898</v>
      </c>
      <c r="M87" s="721"/>
      <c r="N87" s="721"/>
      <c r="O87" s="773">
        <f>SUM(O85:O86)</f>
        <v>15471648</v>
      </c>
      <c r="P87" s="721"/>
      <c r="Q87" s="721"/>
      <c r="R87" s="773">
        <f>SUM(R85:R86)</f>
        <v>1088898</v>
      </c>
    </row>
    <row r="88" spans="1:18" ht="16.5" x14ac:dyDescent="0.25">
      <c r="A88" s="719"/>
      <c r="C88" s="724"/>
      <c r="D88" s="721"/>
      <c r="E88" s="721"/>
      <c r="F88" s="751"/>
      <c r="G88" s="721"/>
      <c r="H88" s="721"/>
      <c r="I88" s="751"/>
      <c r="J88" s="721"/>
      <c r="K88" s="721"/>
      <c r="L88" s="751"/>
      <c r="M88" s="721"/>
      <c r="N88" s="721"/>
      <c r="O88" s="751"/>
      <c r="P88" s="721"/>
      <c r="Q88" s="721"/>
      <c r="R88" s="751"/>
    </row>
    <row r="89" spans="1:18" ht="16.5" x14ac:dyDescent="0.25">
      <c r="A89" s="999" t="s">
        <v>1744</v>
      </c>
      <c r="B89" s="999"/>
      <c r="C89" s="999"/>
      <c r="D89" s="999"/>
      <c r="E89" s="999"/>
      <c r="F89" s="749">
        <f>+F82+F70</f>
        <v>1371350190</v>
      </c>
      <c r="G89" s="749"/>
      <c r="H89" s="749"/>
      <c r="I89" s="749">
        <f>+I82+I70+I87</f>
        <v>1638673635</v>
      </c>
      <c r="J89" s="772"/>
      <c r="K89" s="772"/>
      <c r="L89" s="772">
        <f>+L82+L70+L87</f>
        <v>1630603829</v>
      </c>
      <c r="M89" s="772"/>
      <c r="N89" s="772"/>
      <c r="O89" s="772">
        <f>+O82+O70+O87</f>
        <v>1596745898</v>
      </c>
      <c r="P89" s="772"/>
      <c r="Q89" s="772"/>
      <c r="R89" s="772">
        <f>+R82+R70+R87</f>
        <v>343116872</v>
      </c>
    </row>
    <row r="90" spans="1:18" ht="16.5" x14ac:dyDescent="0.25">
      <c r="A90" s="745"/>
      <c r="B90" s="754"/>
      <c r="C90" s="745"/>
      <c r="D90" s="746" t="s">
        <v>1743</v>
      </c>
      <c r="F90" s="721"/>
      <c r="G90" s="746" t="s">
        <v>1743</v>
      </c>
      <c r="I90" s="721"/>
      <c r="J90" s="746" t="s">
        <v>1743</v>
      </c>
      <c r="L90" s="721"/>
      <c r="M90" s="746" t="s">
        <v>1743</v>
      </c>
      <c r="O90" s="721"/>
      <c r="P90" s="746" t="s">
        <v>1743</v>
      </c>
      <c r="R90" s="721"/>
    </row>
    <row r="91" spans="1:18" x14ac:dyDescent="0.25">
      <c r="C91" s="997" t="s">
        <v>1682</v>
      </c>
      <c r="D91" s="997"/>
      <c r="E91" s="716"/>
      <c r="F91" s="716">
        <f>+F49+F82</f>
        <v>1155840350</v>
      </c>
      <c r="G91" s="716"/>
      <c r="H91" s="716"/>
      <c r="I91" s="716">
        <f>+I49+I82</f>
        <v>1392467737</v>
      </c>
      <c r="J91" s="716"/>
      <c r="K91" s="716"/>
      <c r="L91" s="716">
        <f>+L49+L82</f>
        <v>1382399843</v>
      </c>
      <c r="M91" s="716"/>
      <c r="N91" s="716"/>
      <c r="O91" s="716">
        <f>+O49+O82</f>
        <v>1314448986</v>
      </c>
      <c r="P91" s="716"/>
      <c r="Q91" s="716"/>
      <c r="R91" s="716">
        <f>+R49+R82</f>
        <v>236104725</v>
      </c>
    </row>
    <row r="92" spans="1:18" x14ac:dyDescent="0.25">
      <c r="C92" s="997" t="s">
        <v>1683</v>
      </c>
      <c r="D92" s="997"/>
      <c r="E92" s="716"/>
      <c r="F92" s="716">
        <f>+F68</f>
        <v>215509840</v>
      </c>
      <c r="G92" s="716"/>
      <c r="H92" s="716"/>
      <c r="I92" s="716">
        <f>+I68+I87</f>
        <v>246205898</v>
      </c>
      <c r="J92" s="716"/>
      <c r="K92" s="716"/>
      <c r="L92" s="716">
        <f>+L68+L87</f>
        <v>248203986</v>
      </c>
      <c r="M92" s="716"/>
      <c r="N92" s="716"/>
      <c r="O92" s="716">
        <f>+O68+O87</f>
        <v>282296912</v>
      </c>
      <c r="P92" s="716"/>
      <c r="Q92" s="716"/>
      <c r="R92" s="716">
        <f>+R68+R87</f>
        <v>107012147</v>
      </c>
    </row>
    <row r="94" spans="1:18" x14ac:dyDescent="0.25">
      <c r="O94" s="904">
        <f>+O92-'1B. Fő kiad'!R17</f>
        <v>0</v>
      </c>
    </row>
  </sheetData>
  <mergeCells count="17">
    <mergeCell ref="M2:O2"/>
    <mergeCell ref="P2:R2"/>
    <mergeCell ref="C92:D92"/>
    <mergeCell ref="A70:D70"/>
    <mergeCell ref="A72:F72"/>
    <mergeCell ref="C91:D91"/>
    <mergeCell ref="A89:E89"/>
    <mergeCell ref="G2:I2"/>
    <mergeCell ref="J2:L2"/>
    <mergeCell ref="A1:D1"/>
    <mergeCell ref="D2:F2"/>
    <mergeCell ref="A2:A3"/>
    <mergeCell ref="B2:B3"/>
    <mergeCell ref="A84:F84"/>
    <mergeCell ref="A4:F4"/>
    <mergeCell ref="A51:F51"/>
    <mergeCell ref="C2:C3"/>
  </mergeCells>
  <phoneticPr fontId="28" type="noConversion"/>
  <pageMargins left="0.47244094488188981" right="0.39370078740157483" top="0.55118110236220474" bottom="0.55118110236220474" header="0.35433070866141736" footer="0.31496062992125984"/>
  <pageSetup paperSize="8" scale="80" orientation="landscape" r:id="rId1"/>
  <headerFooter>
    <oddHeader>&amp;L7. melléklet a ......./2021. (.................) önkormányzati rendelethez</oddHeader>
  </headerFooter>
  <rowBreaks count="1" manualBreakCount="1">
    <brk id="50" max="17" man="1"/>
  </row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23D98C-AEBB-4747-BFEA-4E3942D223D0}">
  <dimension ref="A1:N32"/>
  <sheetViews>
    <sheetView view="pageLayout" zoomScaleNormal="100" zoomScaleSheetLayoutView="96" workbookViewId="0">
      <selection activeCell="C42" sqref="C42"/>
    </sheetView>
  </sheetViews>
  <sheetFormatPr defaultRowHeight="15" x14ac:dyDescent="0.25"/>
  <cols>
    <col min="2" max="2" width="55.140625" style="245" customWidth="1"/>
    <col min="3" max="3" width="18.28515625" customWidth="1"/>
    <col min="9" max="9" width="10" bestFit="1" customWidth="1"/>
    <col min="11" max="11" width="14.28515625" customWidth="1"/>
    <col min="12" max="12" width="14.7109375" bestFit="1" customWidth="1"/>
    <col min="13" max="13" width="14.7109375" customWidth="1"/>
    <col min="14" max="14" width="18.140625" customWidth="1"/>
    <col min="258" max="258" width="55.140625" customWidth="1"/>
    <col min="259" max="259" width="18.28515625" customWidth="1"/>
    <col min="265" max="265" width="10" bestFit="1" customWidth="1"/>
    <col min="267" max="267" width="14.28515625" customWidth="1"/>
    <col min="268" max="268" width="14.7109375" bestFit="1" customWidth="1"/>
    <col min="269" max="269" width="14.7109375" customWidth="1"/>
    <col min="270" max="270" width="18.140625" customWidth="1"/>
    <col min="514" max="514" width="55.140625" customWidth="1"/>
    <col min="515" max="515" width="18.28515625" customWidth="1"/>
    <col min="521" max="521" width="10" bestFit="1" customWidth="1"/>
    <col min="523" max="523" width="14.28515625" customWidth="1"/>
    <col min="524" max="524" width="14.7109375" bestFit="1" customWidth="1"/>
    <col min="525" max="525" width="14.7109375" customWidth="1"/>
    <col min="526" max="526" width="18.140625" customWidth="1"/>
    <col min="770" max="770" width="55.140625" customWidth="1"/>
    <col min="771" max="771" width="18.28515625" customWidth="1"/>
    <col min="777" max="777" width="10" bestFit="1" customWidth="1"/>
    <col min="779" max="779" width="14.28515625" customWidth="1"/>
    <col min="780" max="780" width="14.7109375" bestFit="1" customWidth="1"/>
    <col min="781" max="781" width="14.7109375" customWidth="1"/>
    <col min="782" max="782" width="18.140625" customWidth="1"/>
    <col min="1026" max="1026" width="55.140625" customWidth="1"/>
    <col min="1027" max="1027" width="18.28515625" customWidth="1"/>
    <col min="1033" max="1033" width="10" bestFit="1" customWidth="1"/>
    <col min="1035" max="1035" width="14.28515625" customWidth="1"/>
    <col min="1036" max="1036" width="14.7109375" bestFit="1" customWidth="1"/>
    <col min="1037" max="1037" width="14.7109375" customWidth="1"/>
    <col min="1038" max="1038" width="18.140625" customWidth="1"/>
    <col min="1282" max="1282" width="55.140625" customWidth="1"/>
    <col min="1283" max="1283" width="18.28515625" customWidth="1"/>
    <col min="1289" max="1289" width="10" bestFit="1" customWidth="1"/>
    <col min="1291" max="1291" width="14.28515625" customWidth="1"/>
    <col min="1292" max="1292" width="14.7109375" bestFit="1" customWidth="1"/>
    <col min="1293" max="1293" width="14.7109375" customWidth="1"/>
    <col min="1294" max="1294" width="18.140625" customWidth="1"/>
    <col min="1538" max="1538" width="55.140625" customWidth="1"/>
    <col min="1539" max="1539" width="18.28515625" customWidth="1"/>
    <col min="1545" max="1545" width="10" bestFit="1" customWidth="1"/>
    <col min="1547" max="1547" width="14.28515625" customWidth="1"/>
    <col min="1548" max="1548" width="14.7109375" bestFit="1" customWidth="1"/>
    <col min="1549" max="1549" width="14.7109375" customWidth="1"/>
    <col min="1550" max="1550" width="18.140625" customWidth="1"/>
    <col min="1794" max="1794" width="55.140625" customWidth="1"/>
    <col min="1795" max="1795" width="18.28515625" customWidth="1"/>
    <col min="1801" max="1801" width="10" bestFit="1" customWidth="1"/>
    <col min="1803" max="1803" width="14.28515625" customWidth="1"/>
    <col min="1804" max="1804" width="14.7109375" bestFit="1" customWidth="1"/>
    <col min="1805" max="1805" width="14.7109375" customWidth="1"/>
    <col min="1806" max="1806" width="18.140625" customWidth="1"/>
    <col min="2050" max="2050" width="55.140625" customWidth="1"/>
    <col min="2051" max="2051" width="18.28515625" customWidth="1"/>
    <col min="2057" max="2057" width="10" bestFit="1" customWidth="1"/>
    <col min="2059" max="2059" width="14.28515625" customWidth="1"/>
    <col min="2060" max="2060" width="14.7109375" bestFit="1" customWidth="1"/>
    <col min="2061" max="2061" width="14.7109375" customWidth="1"/>
    <col min="2062" max="2062" width="18.140625" customWidth="1"/>
    <col min="2306" max="2306" width="55.140625" customWidth="1"/>
    <col min="2307" max="2307" width="18.28515625" customWidth="1"/>
    <col min="2313" max="2313" width="10" bestFit="1" customWidth="1"/>
    <col min="2315" max="2315" width="14.28515625" customWidth="1"/>
    <col min="2316" max="2316" width="14.7109375" bestFit="1" customWidth="1"/>
    <col min="2317" max="2317" width="14.7109375" customWidth="1"/>
    <col min="2318" max="2318" width="18.140625" customWidth="1"/>
    <col min="2562" max="2562" width="55.140625" customWidth="1"/>
    <col min="2563" max="2563" width="18.28515625" customWidth="1"/>
    <col min="2569" max="2569" width="10" bestFit="1" customWidth="1"/>
    <col min="2571" max="2571" width="14.28515625" customWidth="1"/>
    <col min="2572" max="2572" width="14.7109375" bestFit="1" customWidth="1"/>
    <col min="2573" max="2573" width="14.7109375" customWidth="1"/>
    <col min="2574" max="2574" width="18.140625" customWidth="1"/>
    <col min="2818" max="2818" width="55.140625" customWidth="1"/>
    <col min="2819" max="2819" width="18.28515625" customWidth="1"/>
    <col min="2825" max="2825" width="10" bestFit="1" customWidth="1"/>
    <col min="2827" max="2827" width="14.28515625" customWidth="1"/>
    <col min="2828" max="2828" width="14.7109375" bestFit="1" customWidth="1"/>
    <col min="2829" max="2829" width="14.7109375" customWidth="1"/>
    <col min="2830" max="2830" width="18.140625" customWidth="1"/>
    <col min="3074" max="3074" width="55.140625" customWidth="1"/>
    <col min="3075" max="3075" width="18.28515625" customWidth="1"/>
    <col min="3081" max="3081" width="10" bestFit="1" customWidth="1"/>
    <col min="3083" max="3083" width="14.28515625" customWidth="1"/>
    <col min="3084" max="3084" width="14.7109375" bestFit="1" customWidth="1"/>
    <col min="3085" max="3085" width="14.7109375" customWidth="1"/>
    <col min="3086" max="3086" width="18.140625" customWidth="1"/>
    <col min="3330" max="3330" width="55.140625" customWidth="1"/>
    <col min="3331" max="3331" width="18.28515625" customWidth="1"/>
    <col min="3337" max="3337" width="10" bestFit="1" customWidth="1"/>
    <col min="3339" max="3339" width="14.28515625" customWidth="1"/>
    <col min="3340" max="3340" width="14.7109375" bestFit="1" customWidth="1"/>
    <col min="3341" max="3341" width="14.7109375" customWidth="1"/>
    <col min="3342" max="3342" width="18.140625" customWidth="1"/>
    <col min="3586" max="3586" width="55.140625" customWidth="1"/>
    <col min="3587" max="3587" width="18.28515625" customWidth="1"/>
    <col min="3593" max="3593" width="10" bestFit="1" customWidth="1"/>
    <col min="3595" max="3595" width="14.28515625" customWidth="1"/>
    <col min="3596" max="3596" width="14.7109375" bestFit="1" customWidth="1"/>
    <col min="3597" max="3597" width="14.7109375" customWidth="1"/>
    <col min="3598" max="3598" width="18.140625" customWidth="1"/>
    <col min="3842" max="3842" width="55.140625" customWidth="1"/>
    <col min="3843" max="3843" width="18.28515625" customWidth="1"/>
    <col min="3849" max="3849" width="10" bestFit="1" customWidth="1"/>
    <col min="3851" max="3851" width="14.28515625" customWidth="1"/>
    <col min="3852" max="3852" width="14.7109375" bestFit="1" customWidth="1"/>
    <col min="3853" max="3853" width="14.7109375" customWidth="1"/>
    <col min="3854" max="3854" width="18.140625" customWidth="1"/>
    <col min="4098" max="4098" width="55.140625" customWidth="1"/>
    <col min="4099" max="4099" width="18.28515625" customWidth="1"/>
    <col min="4105" max="4105" width="10" bestFit="1" customWidth="1"/>
    <col min="4107" max="4107" width="14.28515625" customWidth="1"/>
    <col min="4108" max="4108" width="14.7109375" bestFit="1" customWidth="1"/>
    <col min="4109" max="4109" width="14.7109375" customWidth="1"/>
    <col min="4110" max="4110" width="18.140625" customWidth="1"/>
    <col min="4354" max="4354" width="55.140625" customWidth="1"/>
    <col min="4355" max="4355" width="18.28515625" customWidth="1"/>
    <col min="4361" max="4361" width="10" bestFit="1" customWidth="1"/>
    <col min="4363" max="4363" width="14.28515625" customWidth="1"/>
    <col min="4364" max="4364" width="14.7109375" bestFit="1" customWidth="1"/>
    <col min="4365" max="4365" width="14.7109375" customWidth="1"/>
    <col min="4366" max="4366" width="18.140625" customWidth="1"/>
    <col min="4610" max="4610" width="55.140625" customWidth="1"/>
    <col min="4611" max="4611" width="18.28515625" customWidth="1"/>
    <col min="4617" max="4617" width="10" bestFit="1" customWidth="1"/>
    <col min="4619" max="4619" width="14.28515625" customWidth="1"/>
    <col min="4620" max="4620" width="14.7109375" bestFit="1" customWidth="1"/>
    <col min="4621" max="4621" width="14.7109375" customWidth="1"/>
    <col min="4622" max="4622" width="18.140625" customWidth="1"/>
    <col min="4866" max="4866" width="55.140625" customWidth="1"/>
    <col min="4867" max="4867" width="18.28515625" customWidth="1"/>
    <col min="4873" max="4873" width="10" bestFit="1" customWidth="1"/>
    <col min="4875" max="4875" width="14.28515625" customWidth="1"/>
    <col min="4876" max="4876" width="14.7109375" bestFit="1" customWidth="1"/>
    <col min="4877" max="4877" width="14.7109375" customWidth="1"/>
    <col min="4878" max="4878" width="18.140625" customWidth="1"/>
    <col min="5122" max="5122" width="55.140625" customWidth="1"/>
    <col min="5123" max="5123" width="18.28515625" customWidth="1"/>
    <col min="5129" max="5129" width="10" bestFit="1" customWidth="1"/>
    <col min="5131" max="5131" width="14.28515625" customWidth="1"/>
    <col min="5132" max="5132" width="14.7109375" bestFit="1" customWidth="1"/>
    <col min="5133" max="5133" width="14.7109375" customWidth="1"/>
    <col min="5134" max="5134" width="18.140625" customWidth="1"/>
    <col min="5378" max="5378" width="55.140625" customWidth="1"/>
    <col min="5379" max="5379" width="18.28515625" customWidth="1"/>
    <col min="5385" max="5385" width="10" bestFit="1" customWidth="1"/>
    <col min="5387" max="5387" width="14.28515625" customWidth="1"/>
    <col min="5388" max="5388" width="14.7109375" bestFit="1" customWidth="1"/>
    <col min="5389" max="5389" width="14.7109375" customWidth="1"/>
    <col min="5390" max="5390" width="18.140625" customWidth="1"/>
    <col min="5634" max="5634" width="55.140625" customWidth="1"/>
    <col min="5635" max="5635" width="18.28515625" customWidth="1"/>
    <col min="5641" max="5641" width="10" bestFit="1" customWidth="1"/>
    <col min="5643" max="5643" width="14.28515625" customWidth="1"/>
    <col min="5644" max="5644" width="14.7109375" bestFit="1" customWidth="1"/>
    <col min="5645" max="5645" width="14.7109375" customWidth="1"/>
    <col min="5646" max="5646" width="18.140625" customWidth="1"/>
    <col min="5890" max="5890" width="55.140625" customWidth="1"/>
    <col min="5891" max="5891" width="18.28515625" customWidth="1"/>
    <col min="5897" max="5897" width="10" bestFit="1" customWidth="1"/>
    <col min="5899" max="5899" width="14.28515625" customWidth="1"/>
    <col min="5900" max="5900" width="14.7109375" bestFit="1" customWidth="1"/>
    <col min="5901" max="5901" width="14.7109375" customWidth="1"/>
    <col min="5902" max="5902" width="18.140625" customWidth="1"/>
    <col min="6146" max="6146" width="55.140625" customWidth="1"/>
    <col min="6147" max="6147" width="18.28515625" customWidth="1"/>
    <col min="6153" max="6153" width="10" bestFit="1" customWidth="1"/>
    <col min="6155" max="6155" width="14.28515625" customWidth="1"/>
    <col min="6156" max="6156" width="14.7109375" bestFit="1" customWidth="1"/>
    <col min="6157" max="6157" width="14.7109375" customWidth="1"/>
    <col min="6158" max="6158" width="18.140625" customWidth="1"/>
    <col min="6402" max="6402" width="55.140625" customWidth="1"/>
    <col min="6403" max="6403" width="18.28515625" customWidth="1"/>
    <col min="6409" max="6409" width="10" bestFit="1" customWidth="1"/>
    <col min="6411" max="6411" width="14.28515625" customWidth="1"/>
    <col min="6412" max="6412" width="14.7109375" bestFit="1" customWidth="1"/>
    <col min="6413" max="6413" width="14.7109375" customWidth="1"/>
    <col min="6414" max="6414" width="18.140625" customWidth="1"/>
    <col min="6658" max="6658" width="55.140625" customWidth="1"/>
    <col min="6659" max="6659" width="18.28515625" customWidth="1"/>
    <col min="6665" max="6665" width="10" bestFit="1" customWidth="1"/>
    <col min="6667" max="6667" width="14.28515625" customWidth="1"/>
    <col min="6668" max="6668" width="14.7109375" bestFit="1" customWidth="1"/>
    <col min="6669" max="6669" width="14.7109375" customWidth="1"/>
    <col min="6670" max="6670" width="18.140625" customWidth="1"/>
    <col min="6914" max="6914" width="55.140625" customWidth="1"/>
    <col min="6915" max="6915" width="18.28515625" customWidth="1"/>
    <col min="6921" max="6921" width="10" bestFit="1" customWidth="1"/>
    <col min="6923" max="6923" width="14.28515625" customWidth="1"/>
    <col min="6924" max="6924" width="14.7109375" bestFit="1" customWidth="1"/>
    <col min="6925" max="6925" width="14.7109375" customWidth="1"/>
    <col min="6926" max="6926" width="18.140625" customWidth="1"/>
    <col min="7170" max="7170" width="55.140625" customWidth="1"/>
    <col min="7171" max="7171" width="18.28515625" customWidth="1"/>
    <col min="7177" max="7177" width="10" bestFit="1" customWidth="1"/>
    <col min="7179" max="7179" width="14.28515625" customWidth="1"/>
    <col min="7180" max="7180" width="14.7109375" bestFit="1" customWidth="1"/>
    <col min="7181" max="7181" width="14.7109375" customWidth="1"/>
    <col min="7182" max="7182" width="18.140625" customWidth="1"/>
    <col min="7426" max="7426" width="55.140625" customWidth="1"/>
    <col min="7427" max="7427" width="18.28515625" customWidth="1"/>
    <col min="7433" max="7433" width="10" bestFit="1" customWidth="1"/>
    <col min="7435" max="7435" width="14.28515625" customWidth="1"/>
    <col min="7436" max="7436" width="14.7109375" bestFit="1" customWidth="1"/>
    <col min="7437" max="7437" width="14.7109375" customWidth="1"/>
    <col min="7438" max="7438" width="18.140625" customWidth="1"/>
    <col min="7682" max="7682" width="55.140625" customWidth="1"/>
    <col min="7683" max="7683" width="18.28515625" customWidth="1"/>
    <col min="7689" max="7689" width="10" bestFit="1" customWidth="1"/>
    <col min="7691" max="7691" width="14.28515625" customWidth="1"/>
    <col min="7692" max="7692" width="14.7109375" bestFit="1" customWidth="1"/>
    <col min="7693" max="7693" width="14.7109375" customWidth="1"/>
    <col min="7694" max="7694" width="18.140625" customWidth="1"/>
    <col min="7938" max="7938" width="55.140625" customWidth="1"/>
    <col min="7939" max="7939" width="18.28515625" customWidth="1"/>
    <col min="7945" max="7945" width="10" bestFit="1" customWidth="1"/>
    <col min="7947" max="7947" width="14.28515625" customWidth="1"/>
    <col min="7948" max="7948" width="14.7109375" bestFit="1" customWidth="1"/>
    <col min="7949" max="7949" width="14.7109375" customWidth="1"/>
    <col min="7950" max="7950" width="18.140625" customWidth="1"/>
    <col min="8194" max="8194" width="55.140625" customWidth="1"/>
    <col min="8195" max="8195" width="18.28515625" customWidth="1"/>
    <col min="8201" max="8201" width="10" bestFit="1" customWidth="1"/>
    <col min="8203" max="8203" width="14.28515625" customWidth="1"/>
    <col min="8204" max="8204" width="14.7109375" bestFit="1" customWidth="1"/>
    <col min="8205" max="8205" width="14.7109375" customWidth="1"/>
    <col min="8206" max="8206" width="18.140625" customWidth="1"/>
    <col min="8450" max="8450" width="55.140625" customWidth="1"/>
    <col min="8451" max="8451" width="18.28515625" customWidth="1"/>
    <col min="8457" max="8457" width="10" bestFit="1" customWidth="1"/>
    <col min="8459" max="8459" width="14.28515625" customWidth="1"/>
    <col min="8460" max="8460" width="14.7109375" bestFit="1" customWidth="1"/>
    <col min="8461" max="8461" width="14.7109375" customWidth="1"/>
    <col min="8462" max="8462" width="18.140625" customWidth="1"/>
    <col min="8706" max="8706" width="55.140625" customWidth="1"/>
    <col min="8707" max="8707" width="18.28515625" customWidth="1"/>
    <col min="8713" max="8713" width="10" bestFit="1" customWidth="1"/>
    <col min="8715" max="8715" width="14.28515625" customWidth="1"/>
    <col min="8716" max="8716" width="14.7109375" bestFit="1" customWidth="1"/>
    <col min="8717" max="8717" width="14.7109375" customWidth="1"/>
    <col min="8718" max="8718" width="18.140625" customWidth="1"/>
    <col min="8962" max="8962" width="55.140625" customWidth="1"/>
    <col min="8963" max="8963" width="18.28515625" customWidth="1"/>
    <col min="8969" max="8969" width="10" bestFit="1" customWidth="1"/>
    <col min="8971" max="8971" width="14.28515625" customWidth="1"/>
    <col min="8972" max="8972" width="14.7109375" bestFit="1" customWidth="1"/>
    <col min="8973" max="8973" width="14.7109375" customWidth="1"/>
    <col min="8974" max="8974" width="18.140625" customWidth="1"/>
    <col min="9218" max="9218" width="55.140625" customWidth="1"/>
    <col min="9219" max="9219" width="18.28515625" customWidth="1"/>
    <col min="9225" max="9225" width="10" bestFit="1" customWidth="1"/>
    <col min="9227" max="9227" width="14.28515625" customWidth="1"/>
    <col min="9228" max="9228" width="14.7109375" bestFit="1" customWidth="1"/>
    <col min="9229" max="9229" width="14.7109375" customWidth="1"/>
    <col min="9230" max="9230" width="18.140625" customWidth="1"/>
    <col min="9474" max="9474" width="55.140625" customWidth="1"/>
    <col min="9475" max="9475" width="18.28515625" customWidth="1"/>
    <col min="9481" max="9481" width="10" bestFit="1" customWidth="1"/>
    <col min="9483" max="9483" width="14.28515625" customWidth="1"/>
    <col min="9484" max="9484" width="14.7109375" bestFit="1" customWidth="1"/>
    <col min="9485" max="9485" width="14.7109375" customWidth="1"/>
    <col min="9486" max="9486" width="18.140625" customWidth="1"/>
    <col min="9730" max="9730" width="55.140625" customWidth="1"/>
    <col min="9731" max="9731" width="18.28515625" customWidth="1"/>
    <col min="9737" max="9737" width="10" bestFit="1" customWidth="1"/>
    <col min="9739" max="9739" width="14.28515625" customWidth="1"/>
    <col min="9740" max="9740" width="14.7109375" bestFit="1" customWidth="1"/>
    <col min="9741" max="9741" width="14.7109375" customWidth="1"/>
    <col min="9742" max="9742" width="18.140625" customWidth="1"/>
    <col min="9986" max="9986" width="55.140625" customWidth="1"/>
    <col min="9987" max="9987" width="18.28515625" customWidth="1"/>
    <col min="9993" max="9993" width="10" bestFit="1" customWidth="1"/>
    <col min="9995" max="9995" width="14.28515625" customWidth="1"/>
    <col min="9996" max="9996" width="14.7109375" bestFit="1" customWidth="1"/>
    <col min="9997" max="9997" width="14.7109375" customWidth="1"/>
    <col min="9998" max="9998" width="18.140625" customWidth="1"/>
    <col min="10242" max="10242" width="55.140625" customWidth="1"/>
    <col min="10243" max="10243" width="18.28515625" customWidth="1"/>
    <col min="10249" max="10249" width="10" bestFit="1" customWidth="1"/>
    <col min="10251" max="10251" width="14.28515625" customWidth="1"/>
    <col min="10252" max="10252" width="14.7109375" bestFit="1" customWidth="1"/>
    <col min="10253" max="10253" width="14.7109375" customWidth="1"/>
    <col min="10254" max="10254" width="18.140625" customWidth="1"/>
    <col min="10498" max="10498" width="55.140625" customWidth="1"/>
    <col min="10499" max="10499" width="18.28515625" customWidth="1"/>
    <col min="10505" max="10505" width="10" bestFit="1" customWidth="1"/>
    <col min="10507" max="10507" width="14.28515625" customWidth="1"/>
    <col min="10508" max="10508" width="14.7109375" bestFit="1" customWidth="1"/>
    <col min="10509" max="10509" width="14.7109375" customWidth="1"/>
    <col min="10510" max="10510" width="18.140625" customWidth="1"/>
    <col min="10754" max="10754" width="55.140625" customWidth="1"/>
    <col min="10755" max="10755" width="18.28515625" customWidth="1"/>
    <col min="10761" max="10761" width="10" bestFit="1" customWidth="1"/>
    <col min="10763" max="10763" width="14.28515625" customWidth="1"/>
    <col min="10764" max="10764" width="14.7109375" bestFit="1" customWidth="1"/>
    <col min="10765" max="10765" width="14.7109375" customWidth="1"/>
    <col min="10766" max="10766" width="18.140625" customWidth="1"/>
    <col min="11010" max="11010" width="55.140625" customWidth="1"/>
    <col min="11011" max="11011" width="18.28515625" customWidth="1"/>
    <col min="11017" max="11017" width="10" bestFit="1" customWidth="1"/>
    <col min="11019" max="11019" width="14.28515625" customWidth="1"/>
    <col min="11020" max="11020" width="14.7109375" bestFit="1" customWidth="1"/>
    <col min="11021" max="11021" width="14.7109375" customWidth="1"/>
    <col min="11022" max="11022" width="18.140625" customWidth="1"/>
    <col min="11266" max="11266" width="55.140625" customWidth="1"/>
    <col min="11267" max="11267" width="18.28515625" customWidth="1"/>
    <col min="11273" max="11273" width="10" bestFit="1" customWidth="1"/>
    <col min="11275" max="11275" width="14.28515625" customWidth="1"/>
    <col min="11276" max="11276" width="14.7109375" bestFit="1" customWidth="1"/>
    <col min="11277" max="11277" width="14.7109375" customWidth="1"/>
    <col min="11278" max="11278" width="18.140625" customWidth="1"/>
    <col min="11522" max="11522" width="55.140625" customWidth="1"/>
    <col min="11523" max="11523" width="18.28515625" customWidth="1"/>
    <col min="11529" max="11529" width="10" bestFit="1" customWidth="1"/>
    <col min="11531" max="11531" width="14.28515625" customWidth="1"/>
    <col min="11532" max="11532" width="14.7109375" bestFit="1" customWidth="1"/>
    <col min="11533" max="11533" width="14.7109375" customWidth="1"/>
    <col min="11534" max="11534" width="18.140625" customWidth="1"/>
    <col min="11778" max="11778" width="55.140625" customWidth="1"/>
    <col min="11779" max="11779" width="18.28515625" customWidth="1"/>
    <col min="11785" max="11785" width="10" bestFit="1" customWidth="1"/>
    <col min="11787" max="11787" width="14.28515625" customWidth="1"/>
    <col min="11788" max="11788" width="14.7109375" bestFit="1" customWidth="1"/>
    <col min="11789" max="11789" width="14.7109375" customWidth="1"/>
    <col min="11790" max="11790" width="18.140625" customWidth="1"/>
    <col min="12034" max="12034" width="55.140625" customWidth="1"/>
    <col min="12035" max="12035" width="18.28515625" customWidth="1"/>
    <col min="12041" max="12041" width="10" bestFit="1" customWidth="1"/>
    <col min="12043" max="12043" width="14.28515625" customWidth="1"/>
    <col min="12044" max="12044" width="14.7109375" bestFit="1" customWidth="1"/>
    <col min="12045" max="12045" width="14.7109375" customWidth="1"/>
    <col min="12046" max="12046" width="18.140625" customWidth="1"/>
    <col min="12290" max="12290" width="55.140625" customWidth="1"/>
    <col min="12291" max="12291" width="18.28515625" customWidth="1"/>
    <col min="12297" max="12297" width="10" bestFit="1" customWidth="1"/>
    <col min="12299" max="12299" width="14.28515625" customWidth="1"/>
    <col min="12300" max="12300" width="14.7109375" bestFit="1" customWidth="1"/>
    <col min="12301" max="12301" width="14.7109375" customWidth="1"/>
    <col min="12302" max="12302" width="18.140625" customWidth="1"/>
    <col min="12546" max="12546" width="55.140625" customWidth="1"/>
    <col min="12547" max="12547" width="18.28515625" customWidth="1"/>
    <col min="12553" max="12553" width="10" bestFit="1" customWidth="1"/>
    <col min="12555" max="12555" width="14.28515625" customWidth="1"/>
    <col min="12556" max="12556" width="14.7109375" bestFit="1" customWidth="1"/>
    <col min="12557" max="12557" width="14.7109375" customWidth="1"/>
    <col min="12558" max="12558" width="18.140625" customWidth="1"/>
    <col min="12802" max="12802" width="55.140625" customWidth="1"/>
    <col min="12803" max="12803" width="18.28515625" customWidth="1"/>
    <col min="12809" max="12809" width="10" bestFit="1" customWidth="1"/>
    <col min="12811" max="12811" width="14.28515625" customWidth="1"/>
    <col min="12812" max="12812" width="14.7109375" bestFit="1" customWidth="1"/>
    <col min="12813" max="12813" width="14.7109375" customWidth="1"/>
    <col min="12814" max="12814" width="18.140625" customWidth="1"/>
    <col min="13058" max="13058" width="55.140625" customWidth="1"/>
    <col min="13059" max="13059" width="18.28515625" customWidth="1"/>
    <col min="13065" max="13065" width="10" bestFit="1" customWidth="1"/>
    <col min="13067" max="13067" width="14.28515625" customWidth="1"/>
    <col min="13068" max="13068" width="14.7109375" bestFit="1" customWidth="1"/>
    <col min="13069" max="13069" width="14.7109375" customWidth="1"/>
    <col min="13070" max="13070" width="18.140625" customWidth="1"/>
    <col min="13314" max="13314" width="55.140625" customWidth="1"/>
    <col min="13315" max="13315" width="18.28515625" customWidth="1"/>
    <col min="13321" max="13321" width="10" bestFit="1" customWidth="1"/>
    <col min="13323" max="13323" width="14.28515625" customWidth="1"/>
    <col min="13324" max="13324" width="14.7109375" bestFit="1" customWidth="1"/>
    <col min="13325" max="13325" width="14.7109375" customWidth="1"/>
    <col min="13326" max="13326" width="18.140625" customWidth="1"/>
    <col min="13570" max="13570" width="55.140625" customWidth="1"/>
    <col min="13571" max="13571" width="18.28515625" customWidth="1"/>
    <col min="13577" max="13577" width="10" bestFit="1" customWidth="1"/>
    <col min="13579" max="13579" width="14.28515625" customWidth="1"/>
    <col min="13580" max="13580" width="14.7109375" bestFit="1" customWidth="1"/>
    <col min="13581" max="13581" width="14.7109375" customWidth="1"/>
    <col min="13582" max="13582" width="18.140625" customWidth="1"/>
    <col min="13826" max="13826" width="55.140625" customWidth="1"/>
    <col min="13827" max="13827" width="18.28515625" customWidth="1"/>
    <col min="13833" max="13833" width="10" bestFit="1" customWidth="1"/>
    <col min="13835" max="13835" width="14.28515625" customWidth="1"/>
    <col min="13836" max="13836" width="14.7109375" bestFit="1" customWidth="1"/>
    <col min="13837" max="13837" width="14.7109375" customWidth="1"/>
    <col min="13838" max="13838" width="18.140625" customWidth="1"/>
    <col min="14082" max="14082" width="55.140625" customWidth="1"/>
    <col min="14083" max="14083" width="18.28515625" customWidth="1"/>
    <col min="14089" max="14089" width="10" bestFit="1" customWidth="1"/>
    <col min="14091" max="14091" width="14.28515625" customWidth="1"/>
    <col min="14092" max="14092" width="14.7109375" bestFit="1" customWidth="1"/>
    <col min="14093" max="14093" width="14.7109375" customWidth="1"/>
    <col min="14094" max="14094" width="18.140625" customWidth="1"/>
    <col min="14338" max="14338" width="55.140625" customWidth="1"/>
    <col min="14339" max="14339" width="18.28515625" customWidth="1"/>
    <col min="14345" max="14345" width="10" bestFit="1" customWidth="1"/>
    <col min="14347" max="14347" width="14.28515625" customWidth="1"/>
    <col min="14348" max="14348" width="14.7109375" bestFit="1" customWidth="1"/>
    <col min="14349" max="14349" width="14.7109375" customWidth="1"/>
    <col min="14350" max="14350" width="18.140625" customWidth="1"/>
    <col min="14594" max="14594" width="55.140625" customWidth="1"/>
    <col min="14595" max="14595" width="18.28515625" customWidth="1"/>
    <col min="14601" max="14601" width="10" bestFit="1" customWidth="1"/>
    <col min="14603" max="14603" width="14.28515625" customWidth="1"/>
    <col min="14604" max="14604" width="14.7109375" bestFit="1" customWidth="1"/>
    <col min="14605" max="14605" width="14.7109375" customWidth="1"/>
    <col min="14606" max="14606" width="18.140625" customWidth="1"/>
    <col min="14850" max="14850" width="55.140625" customWidth="1"/>
    <col min="14851" max="14851" width="18.28515625" customWidth="1"/>
    <col min="14857" max="14857" width="10" bestFit="1" customWidth="1"/>
    <col min="14859" max="14859" width="14.28515625" customWidth="1"/>
    <col min="14860" max="14860" width="14.7109375" bestFit="1" customWidth="1"/>
    <col min="14861" max="14861" width="14.7109375" customWidth="1"/>
    <col min="14862" max="14862" width="18.140625" customWidth="1"/>
    <col min="15106" max="15106" width="55.140625" customWidth="1"/>
    <col min="15107" max="15107" width="18.28515625" customWidth="1"/>
    <col min="15113" max="15113" width="10" bestFit="1" customWidth="1"/>
    <col min="15115" max="15115" width="14.28515625" customWidth="1"/>
    <col min="15116" max="15116" width="14.7109375" bestFit="1" customWidth="1"/>
    <col min="15117" max="15117" width="14.7109375" customWidth="1"/>
    <col min="15118" max="15118" width="18.140625" customWidth="1"/>
    <col min="15362" max="15362" width="55.140625" customWidth="1"/>
    <col min="15363" max="15363" width="18.28515625" customWidth="1"/>
    <col min="15369" max="15369" width="10" bestFit="1" customWidth="1"/>
    <col min="15371" max="15371" width="14.28515625" customWidth="1"/>
    <col min="15372" max="15372" width="14.7109375" bestFit="1" customWidth="1"/>
    <col min="15373" max="15373" width="14.7109375" customWidth="1"/>
    <col min="15374" max="15374" width="18.140625" customWidth="1"/>
    <col min="15618" max="15618" width="55.140625" customWidth="1"/>
    <col min="15619" max="15619" width="18.28515625" customWidth="1"/>
    <col min="15625" max="15625" width="10" bestFit="1" customWidth="1"/>
    <col min="15627" max="15627" width="14.28515625" customWidth="1"/>
    <col min="15628" max="15628" width="14.7109375" bestFit="1" customWidth="1"/>
    <col min="15629" max="15629" width="14.7109375" customWidth="1"/>
    <col min="15630" max="15630" width="18.140625" customWidth="1"/>
    <col min="15874" max="15874" width="55.140625" customWidth="1"/>
    <col min="15875" max="15875" width="18.28515625" customWidth="1"/>
    <col min="15881" max="15881" width="10" bestFit="1" customWidth="1"/>
    <col min="15883" max="15883" width="14.28515625" customWidth="1"/>
    <col min="15884" max="15884" width="14.7109375" bestFit="1" customWidth="1"/>
    <col min="15885" max="15885" width="14.7109375" customWidth="1"/>
    <col min="15886" max="15886" width="18.140625" customWidth="1"/>
    <col min="16130" max="16130" width="55.140625" customWidth="1"/>
    <col min="16131" max="16131" width="18.28515625" customWidth="1"/>
    <col min="16137" max="16137" width="10" bestFit="1" customWidth="1"/>
    <col min="16139" max="16139" width="14.28515625" customWidth="1"/>
    <col min="16140" max="16140" width="14.7109375" bestFit="1" customWidth="1"/>
    <col min="16141" max="16141" width="14.7109375" customWidth="1"/>
    <col min="16142" max="16142" width="18.140625" customWidth="1"/>
  </cols>
  <sheetData>
    <row r="1" spans="1:13" ht="75.75" customHeight="1" x14ac:dyDescent="0.25">
      <c r="A1" s="1000" t="s">
        <v>1714</v>
      </c>
      <c r="B1" s="1000"/>
      <c r="C1" s="1000"/>
    </row>
    <row r="2" spans="1:13" ht="18.75" customHeight="1" x14ac:dyDescent="0.25">
      <c r="A2" s="931"/>
      <c r="B2" s="931"/>
      <c r="C2" s="932" t="s">
        <v>302</v>
      </c>
      <c r="K2" s="933"/>
      <c r="L2" s="933"/>
      <c r="M2" s="933"/>
    </row>
    <row r="3" spans="1:13" x14ac:dyDescent="0.25">
      <c r="A3" s="232" t="s">
        <v>1177</v>
      </c>
      <c r="B3" s="232" t="s">
        <v>306</v>
      </c>
      <c r="C3" s="232" t="s">
        <v>1710</v>
      </c>
    </row>
    <row r="4" spans="1:13" x14ac:dyDescent="0.25">
      <c r="A4" s="233" t="s">
        <v>1178</v>
      </c>
      <c r="B4" s="234" t="s">
        <v>1179</v>
      </c>
      <c r="C4" s="235">
        <f>+'[6]1A. Fő bev'!F11+'[6]1A. Fő bev'!F12+'[6]1A. Fő bev'!F14+'[6]1A. Fő bev'!F15-'[6]2A Önk bev'!F31</f>
        <v>3569000000</v>
      </c>
      <c r="K4" s="522"/>
      <c r="L4" s="522"/>
      <c r="M4" s="522"/>
    </row>
    <row r="5" spans="1:13" x14ac:dyDescent="0.25">
      <c r="A5" s="233" t="s">
        <v>1180</v>
      </c>
      <c r="B5" s="234" t="s">
        <v>249</v>
      </c>
      <c r="C5" s="235">
        <f>+'[6]1A. Fő bev'!F20</f>
        <v>34245000</v>
      </c>
      <c r="K5" s="933"/>
      <c r="L5" s="933"/>
      <c r="M5" s="933"/>
    </row>
    <row r="6" spans="1:13" x14ac:dyDescent="0.25">
      <c r="A6" s="233" t="s">
        <v>1181</v>
      </c>
      <c r="B6" s="234" t="s">
        <v>1610</v>
      </c>
      <c r="C6" s="235">
        <f>+'[6]1A. Fő bev'!F16</f>
        <v>0</v>
      </c>
    </row>
    <row r="7" spans="1:13" ht="30" x14ac:dyDescent="0.25">
      <c r="A7" s="233" t="s">
        <v>1182</v>
      </c>
      <c r="B7" s="234" t="s">
        <v>1611</v>
      </c>
      <c r="C7" s="235">
        <f>+'[6]1A. Fő bev'!F34</f>
        <v>110000000</v>
      </c>
      <c r="M7" s="933"/>
    </row>
    <row r="8" spans="1:13" ht="30" x14ac:dyDescent="0.25">
      <c r="A8" s="233" t="s">
        <v>1183</v>
      </c>
      <c r="B8" s="234" t="s">
        <v>1612</v>
      </c>
      <c r="C8" s="235"/>
    </row>
    <row r="9" spans="1:13" x14ac:dyDescent="0.25">
      <c r="A9" s="233" t="s">
        <v>1184</v>
      </c>
      <c r="B9" s="234" t="s">
        <v>1613</v>
      </c>
      <c r="C9" s="235"/>
      <c r="M9" s="522"/>
    </row>
    <row r="10" spans="1:13" x14ac:dyDescent="0.25">
      <c r="A10" s="233" t="s">
        <v>1185</v>
      </c>
      <c r="B10" s="234" t="s">
        <v>1614</v>
      </c>
      <c r="C10" s="235"/>
      <c r="M10" s="933"/>
    </row>
    <row r="11" spans="1:13" x14ac:dyDescent="0.25">
      <c r="A11" s="236" t="s">
        <v>1186</v>
      </c>
      <c r="B11" s="237" t="s">
        <v>1615</v>
      </c>
      <c r="C11" s="238">
        <f>SUM(C4:C10)</f>
        <v>3713245000</v>
      </c>
    </row>
    <row r="12" spans="1:13" x14ac:dyDescent="0.25">
      <c r="A12" s="239" t="s">
        <v>1187</v>
      </c>
      <c r="B12" s="240" t="s">
        <v>1188</v>
      </c>
      <c r="C12" s="241">
        <f>C11*0.5</f>
        <v>1856622500</v>
      </c>
      <c r="M12" s="933"/>
    </row>
    <row r="13" spans="1:13" ht="25.5" x14ac:dyDescent="0.25">
      <c r="A13" s="236" t="s">
        <v>1189</v>
      </c>
      <c r="B13" s="237" t="s">
        <v>1624</v>
      </c>
      <c r="C13" s="238">
        <f>SUM(C14:C21)</f>
        <v>203677000</v>
      </c>
    </row>
    <row r="14" spans="1:13" x14ac:dyDescent="0.25">
      <c r="A14" s="233" t="s">
        <v>1190</v>
      </c>
      <c r="B14" s="578" t="s">
        <v>1616</v>
      </c>
      <c r="C14" s="512">
        <f>+'[6]2C Önk bev kiad fel'!E220+23032000</f>
        <v>203677000</v>
      </c>
      <c r="M14" s="522"/>
    </row>
    <row r="15" spans="1:13" x14ac:dyDescent="0.25">
      <c r="A15" s="233" t="s">
        <v>1191</v>
      </c>
      <c r="B15" s="578" t="s">
        <v>1617</v>
      </c>
      <c r="C15" s="235"/>
      <c r="M15" s="933"/>
    </row>
    <row r="16" spans="1:13" ht="30" x14ac:dyDescent="0.25">
      <c r="A16" s="233" t="s">
        <v>1192</v>
      </c>
      <c r="B16" s="578" t="s">
        <v>1618</v>
      </c>
      <c r="C16" s="235"/>
    </row>
    <row r="17" spans="1:14" x14ac:dyDescent="0.25">
      <c r="A17" s="233" t="s">
        <v>1193</v>
      </c>
      <c r="B17" s="578" t="s">
        <v>1619</v>
      </c>
      <c r="C17" s="235"/>
      <c r="M17" s="933"/>
      <c r="N17" s="933"/>
    </row>
    <row r="18" spans="1:14" x14ac:dyDescent="0.25">
      <c r="A18" s="233" t="s">
        <v>1194</v>
      </c>
      <c r="B18" s="578" t="s">
        <v>1620</v>
      </c>
      <c r="C18" s="235"/>
    </row>
    <row r="19" spans="1:14" x14ac:dyDescent="0.25">
      <c r="A19" s="233" t="s">
        <v>1195</v>
      </c>
      <c r="B19" s="578" t="s">
        <v>1621</v>
      </c>
      <c r="C19" s="235"/>
    </row>
    <row r="20" spans="1:14" x14ac:dyDescent="0.25">
      <c r="A20" s="233" t="s">
        <v>1196</v>
      </c>
      <c r="B20" s="578" t="s">
        <v>1622</v>
      </c>
      <c r="C20" s="235"/>
      <c r="M20" s="522"/>
      <c r="N20" s="522"/>
    </row>
    <row r="21" spans="1:14" ht="30" x14ac:dyDescent="0.25">
      <c r="A21" s="233" t="s">
        <v>1197</v>
      </c>
      <c r="B21" s="578" t="s">
        <v>1623</v>
      </c>
      <c r="C21" s="364"/>
      <c r="M21" s="933"/>
      <c r="N21" s="933"/>
    </row>
    <row r="22" spans="1:14" ht="25.5" x14ac:dyDescent="0.25">
      <c r="A22" s="236">
        <v>19</v>
      </c>
      <c r="B22" s="579" t="s">
        <v>1625</v>
      </c>
      <c r="C22" s="238">
        <f>SUM(C23:C30)</f>
        <v>19645000</v>
      </c>
      <c r="N22" s="523"/>
    </row>
    <row r="23" spans="1:14" x14ac:dyDescent="0.25">
      <c r="A23" s="233" t="s">
        <v>1198</v>
      </c>
      <c r="B23" s="578" t="s">
        <v>1616</v>
      </c>
      <c r="C23" s="235"/>
    </row>
    <row r="24" spans="1:14" x14ac:dyDescent="0.25">
      <c r="A24" s="233" t="s">
        <v>1199</v>
      </c>
      <c r="B24" s="578" t="s">
        <v>1617</v>
      </c>
      <c r="C24" s="235"/>
    </row>
    <row r="25" spans="1:14" ht="30" x14ac:dyDescent="0.25">
      <c r="A25" s="233" t="s">
        <v>1200</v>
      </c>
      <c r="B25" s="578" t="s">
        <v>1618</v>
      </c>
      <c r="C25" s="235"/>
    </row>
    <row r="26" spans="1:14" x14ac:dyDescent="0.25">
      <c r="A26" s="233" t="s">
        <v>1201</v>
      </c>
      <c r="B26" s="578" t="s">
        <v>1619</v>
      </c>
      <c r="C26" s="235"/>
    </row>
    <row r="27" spans="1:14" x14ac:dyDescent="0.25">
      <c r="A27" s="233" t="s">
        <v>1202</v>
      </c>
      <c r="B27" s="578" t="s">
        <v>1620</v>
      </c>
      <c r="C27" s="235">
        <f>+'[6]7. Fejlesztések'!D9+'[6]7. Fejlesztések'!E9</f>
        <v>19645000</v>
      </c>
    </row>
    <row r="28" spans="1:14" x14ac:dyDescent="0.25">
      <c r="A28" s="233" t="s">
        <v>1203</v>
      </c>
      <c r="B28" s="578" t="s">
        <v>1621</v>
      </c>
      <c r="C28" s="235"/>
    </row>
    <row r="29" spans="1:14" x14ac:dyDescent="0.25">
      <c r="A29" s="233" t="s">
        <v>1204</v>
      </c>
      <c r="B29" s="578" t="s">
        <v>1622</v>
      </c>
      <c r="C29" s="235"/>
    </row>
    <row r="30" spans="1:14" ht="30" x14ac:dyDescent="0.25">
      <c r="A30" s="233" t="s">
        <v>1205</v>
      </c>
      <c r="B30" s="578" t="s">
        <v>1623</v>
      </c>
      <c r="C30" s="235"/>
    </row>
    <row r="31" spans="1:14" x14ac:dyDescent="0.25">
      <c r="A31" s="239">
        <v>28</v>
      </c>
      <c r="B31" s="240" t="s">
        <v>1626</v>
      </c>
      <c r="C31" s="241">
        <f>C13+C22</f>
        <v>223322000</v>
      </c>
    </row>
    <row r="32" spans="1:14" x14ac:dyDescent="0.25">
      <c r="A32" s="242">
        <v>29</v>
      </c>
      <c r="B32" s="243" t="s">
        <v>1627</v>
      </c>
      <c r="C32" s="244">
        <f>C12-C31</f>
        <v>1633300500</v>
      </c>
    </row>
  </sheetData>
  <mergeCells count="1">
    <mergeCell ref="A1:C1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&amp;L8. melléklet a 2/2020. (III.16.) önkormányzati rendelethez</oddHeader>
    <oddFooter>&amp;C&amp;P</oddFooter>
  </headerFooter>
  <colBreaks count="1" manualBreakCount="1">
    <brk id="3" max="29" man="1"/>
  </colBreaks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1:IT184"/>
  <sheetViews>
    <sheetView topLeftCell="B1" zoomScale="150" zoomScaleNormal="150" zoomScaleSheetLayoutView="100" workbookViewId="0">
      <pane xSplit="2" ySplit="3" topLeftCell="D102" activePane="bottomRight" state="frozen"/>
      <selection activeCell="B1" sqref="B1"/>
      <selection pane="topRight" activeCell="D1" sqref="D1"/>
      <selection pane="bottomLeft" activeCell="B4" sqref="B4"/>
      <selection pane="bottomRight" activeCell="E113" sqref="E113"/>
    </sheetView>
  </sheetViews>
  <sheetFormatPr defaultColWidth="11.7109375" defaultRowHeight="14.1" customHeight="1" x14ac:dyDescent="0.25"/>
  <cols>
    <col min="1" max="1" width="5.7109375" style="4" customWidth="1"/>
    <col min="2" max="2" width="7.7109375" style="4" customWidth="1"/>
    <col min="3" max="3" width="30.7109375" style="5" customWidth="1"/>
    <col min="4" max="5" width="10.85546875" style="6" customWidth="1"/>
    <col min="6" max="6" width="9.85546875" style="6" bestFit="1" customWidth="1"/>
    <col min="7" max="7" width="9.85546875" style="6" customWidth="1"/>
    <col min="8" max="8" width="10.7109375" style="6" customWidth="1"/>
    <col min="9" max="9" width="12" style="6" customWidth="1"/>
    <col min="10" max="10" width="10.7109375" style="6" customWidth="1"/>
    <col min="11" max="11" width="12" style="6" customWidth="1"/>
    <col min="12" max="16384" width="11.7109375" style="5"/>
  </cols>
  <sheetData>
    <row r="1" spans="1:11" s="1" customFormat="1" ht="12.75" customHeight="1" x14ac:dyDescent="0.25">
      <c r="A1" s="1001" t="s">
        <v>579</v>
      </c>
      <c r="B1" s="1002"/>
      <c r="C1" s="1002"/>
      <c r="D1" s="1002"/>
      <c r="E1" s="1002"/>
      <c r="F1" s="1002"/>
      <c r="G1" s="1002"/>
      <c r="H1" s="1002"/>
      <c r="I1" s="1002"/>
      <c r="J1" s="1002"/>
      <c r="K1" s="1003"/>
    </row>
    <row r="2" spans="1:11" s="1" customFormat="1" ht="14.1" customHeight="1" x14ac:dyDescent="0.25">
      <c r="A2" s="974" t="s">
        <v>0</v>
      </c>
      <c r="B2" s="975" t="s">
        <v>1</v>
      </c>
      <c r="C2" s="974" t="s">
        <v>2</v>
      </c>
      <c r="D2" s="976" t="s">
        <v>260</v>
      </c>
      <c r="E2" s="969" t="s">
        <v>259</v>
      </c>
      <c r="F2" s="971" t="s">
        <v>360</v>
      </c>
      <c r="G2" s="972"/>
      <c r="H2" s="971" t="s">
        <v>582</v>
      </c>
      <c r="I2" s="972"/>
      <c r="J2" s="971" t="s">
        <v>361</v>
      </c>
      <c r="K2" s="972"/>
    </row>
    <row r="3" spans="1:11" s="3" customFormat="1" ht="25.5" customHeight="1" x14ac:dyDescent="0.25">
      <c r="A3" s="974"/>
      <c r="B3" s="975"/>
      <c r="C3" s="974"/>
      <c r="D3" s="976"/>
      <c r="E3" s="970"/>
      <c r="F3" s="2" t="s">
        <v>263</v>
      </c>
      <c r="G3" s="2" t="s">
        <v>259</v>
      </c>
      <c r="H3" s="2" t="s">
        <v>260</v>
      </c>
      <c r="I3" s="2" t="s">
        <v>259</v>
      </c>
      <c r="J3" s="2" t="s">
        <v>260</v>
      </c>
      <c r="K3" s="2" t="s">
        <v>259</v>
      </c>
    </row>
    <row r="4" spans="1:11" ht="5.65" customHeight="1" x14ac:dyDescent="0.25"/>
    <row r="5" spans="1:11" ht="14.1" customHeight="1" x14ac:dyDescent="0.25">
      <c r="A5" s="973" t="s">
        <v>3</v>
      </c>
      <c r="B5" s="973"/>
      <c r="C5" s="973"/>
      <c r="D5" s="973"/>
      <c r="E5" s="973"/>
      <c r="F5" s="973"/>
      <c r="G5" s="973"/>
      <c r="H5" s="973"/>
      <c r="I5" s="973"/>
      <c r="J5" s="98"/>
      <c r="K5" s="98"/>
    </row>
    <row r="6" spans="1:11" s="3" customFormat="1" ht="12.75" customHeight="1" x14ac:dyDescent="0.25">
      <c r="A6" s="7" t="s">
        <v>4</v>
      </c>
      <c r="B6" s="7" t="s">
        <v>5</v>
      </c>
      <c r="C6" s="8" t="s">
        <v>6</v>
      </c>
      <c r="D6" s="9">
        <f>F6+H6+J6</f>
        <v>9466</v>
      </c>
      <c r="E6" s="9">
        <f>G6+I6+K6</f>
        <v>8028</v>
      </c>
      <c r="F6" s="10">
        <v>7546</v>
      </c>
      <c r="G6" s="10">
        <v>8028</v>
      </c>
      <c r="H6" s="10">
        <v>0</v>
      </c>
      <c r="I6" s="10">
        <f>SUM(I7:I19)</f>
        <v>0</v>
      </c>
      <c r="J6" s="10">
        <v>1920</v>
      </c>
      <c r="K6" s="10">
        <v>0</v>
      </c>
    </row>
    <row r="7" spans="1:11" s="15" customFormat="1" ht="11.45" hidden="1" customHeight="1" x14ac:dyDescent="0.25">
      <c r="A7" s="11"/>
      <c r="B7" s="11"/>
      <c r="C7" s="12"/>
      <c r="D7" s="13"/>
      <c r="E7" s="13"/>
      <c r="F7" s="14"/>
      <c r="G7" s="14"/>
      <c r="H7" s="14"/>
      <c r="I7" s="14"/>
      <c r="J7" s="14"/>
      <c r="K7" s="14"/>
    </row>
    <row r="8" spans="1:11" s="15" customFormat="1" ht="11.45" hidden="1" customHeight="1" x14ac:dyDescent="0.25">
      <c r="A8" s="11"/>
      <c r="B8" s="11"/>
      <c r="C8" s="12"/>
      <c r="D8" s="13"/>
      <c r="E8" s="13"/>
      <c r="F8" s="14"/>
      <c r="G8" s="14"/>
      <c r="H8" s="14"/>
      <c r="I8" s="14"/>
      <c r="J8" s="14"/>
      <c r="K8" s="14"/>
    </row>
    <row r="9" spans="1:11" s="15" customFormat="1" ht="11.45" hidden="1" customHeight="1" x14ac:dyDescent="0.25">
      <c r="A9" s="11"/>
      <c r="B9" s="11"/>
      <c r="C9" s="12"/>
      <c r="D9" s="13"/>
      <c r="E9" s="13"/>
      <c r="F9" s="14"/>
      <c r="G9" s="14"/>
      <c r="H9" s="14"/>
      <c r="I9" s="14"/>
      <c r="J9" s="14"/>
      <c r="K9" s="14"/>
    </row>
    <row r="10" spans="1:11" s="15" customFormat="1" ht="11.45" hidden="1" customHeight="1" x14ac:dyDescent="0.25">
      <c r="A10" s="11"/>
      <c r="B10" s="11"/>
      <c r="C10" s="12"/>
      <c r="D10" s="13"/>
      <c r="E10" s="13"/>
      <c r="F10" s="14"/>
      <c r="G10" s="14"/>
      <c r="H10" s="14"/>
      <c r="I10" s="14"/>
      <c r="J10" s="14"/>
      <c r="K10" s="14"/>
    </row>
    <row r="11" spans="1:11" s="15" customFormat="1" ht="11.45" hidden="1" customHeight="1" x14ac:dyDescent="0.25">
      <c r="A11" s="11"/>
      <c r="B11" s="11"/>
      <c r="C11" s="12"/>
      <c r="D11" s="13"/>
      <c r="E11" s="13"/>
      <c r="F11" s="14"/>
      <c r="G11" s="14"/>
      <c r="H11" s="14"/>
      <c r="I11" s="14"/>
      <c r="J11" s="14"/>
      <c r="K11" s="14"/>
    </row>
    <row r="12" spans="1:11" s="15" customFormat="1" ht="11.45" hidden="1" customHeight="1" x14ac:dyDescent="0.25">
      <c r="A12" s="11"/>
      <c r="B12" s="11"/>
      <c r="C12" s="12"/>
      <c r="D12" s="13"/>
      <c r="E12" s="13"/>
      <c r="F12" s="14"/>
      <c r="G12" s="14"/>
      <c r="H12" s="14"/>
      <c r="I12" s="14"/>
      <c r="J12" s="14"/>
      <c r="K12" s="14"/>
    </row>
    <row r="13" spans="1:11" s="15" customFormat="1" ht="11.45" hidden="1" customHeight="1" x14ac:dyDescent="0.25">
      <c r="A13" s="11"/>
      <c r="B13" s="11"/>
      <c r="C13" s="12"/>
      <c r="D13" s="13"/>
      <c r="E13" s="13"/>
      <c r="F13" s="14"/>
      <c r="G13" s="14"/>
      <c r="H13" s="14"/>
      <c r="I13" s="14"/>
      <c r="J13" s="14"/>
      <c r="K13" s="14"/>
    </row>
    <row r="14" spans="1:11" s="15" customFormat="1" ht="11.45" hidden="1" customHeight="1" x14ac:dyDescent="0.25">
      <c r="A14" s="11"/>
      <c r="B14" s="11"/>
      <c r="C14" s="12"/>
      <c r="D14" s="13"/>
      <c r="E14" s="13"/>
      <c r="F14" s="14"/>
      <c r="G14" s="14"/>
      <c r="H14" s="14"/>
      <c r="I14" s="14"/>
      <c r="J14" s="14"/>
      <c r="K14" s="14"/>
    </row>
    <row r="15" spans="1:11" s="15" customFormat="1" ht="11.45" hidden="1" customHeight="1" x14ac:dyDescent="0.25">
      <c r="A15" s="11"/>
      <c r="B15" s="11"/>
      <c r="C15" s="12"/>
      <c r="D15" s="13"/>
      <c r="E15" s="13"/>
      <c r="F15" s="14"/>
      <c r="G15" s="14"/>
      <c r="H15" s="14"/>
      <c r="I15" s="14"/>
      <c r="J15" s="14"/>
      <c r="K15" s="14"/>
    </row>
    <row r="16" spans="1:11" s="15" customFormat="1" ht="11.45" hidden="1" customHeight="1" x14ac:dyDescent="0.25">
      <c r="A16" s="11"/>
      <c r="B16" s="11"/>
      <c r="C16" s="12"/>
      <c r="D16" s="13"/>
      <c r="E16" s="13"/>
      <c r="F16" s="14"/>
      <c r="G16" s="14"/>
      <c r="H16" s="14"/>
      <c r="I16" s="14"/>
      <c r="J16" s="14"/>
      <c r="K16" s="14"/>
    </row>
    <row r="17" spans="1:11" s="15" customFormat="1" ht="11.45" hidden="1" customHeight="1" x14ac:dyDescent="0.25">
      <c r="A17" s="11"/>
      <c r="B17" s="11"/>
      <c r="C17" s="12"/>
      <c r="D17" s="13"/>
      <c r="E17" s="13"/>
      <c r="F17" s="14"/>
      <c r="G17" s="14"/>
      <c r="H17" s="14"/>
      <c r="I17" s="14"/>
      <c r="J17" s="14"/>
      <c r="K17" s="14"/>
    </row>
    <row r="18" spans="1:11" s="15" customFormat="1" ht="11.45" hidden="1" customHeight="1" x14ac:dyDescent="0.25">
      <c r="A18" s="11"/>
      <c r="B18" s="11"/>
      <c r="C18" s="12"/>
      <c r="D18" s="13"/>
      <c r="E18" s="13"/>
      <c r="F18" s="14"/>
      <c r="G18" s="14"/>
      <c r="H18" s="14"/>
      <c r="I18" s="14"/>
      <c r="J18" s="14"/>
      <c r="K18" s="14"/>
    </row>
    <row r="19" spans="1:11" s="15" customFormat="1" ht="11.45" hidden="1" customHeight="1" x14ac:dyDescent="0.25">
      <c r="A19" s="11"/>
      <c r="B19" s="11"/>
      <c r="C19" s="12"/>
      <c r="D19" s="13"/>
      <c r="E19" s="13"/>
      <c r="F19" s="14"/>
      <c r="G19" s="14"/>
      <c r="H19" s="14"/>
      <c r="I19" s="14"/>
      <c r="J19" s="14"/>
      <c r="K19" s="14"/>
    </row>
    <row r="20" spans="1:11" s="3" customFormat="1" ht="12.75" customHeight="1" x14ac:dyDescent="0.25">
      <c r="A20" s="7" t="s">
        <v>7</v>
      </c>
      <c r="B20" s="7" t="s">
        <v>8</v>
      </c>
      <c r="C20" s="8" t="s">
        <v>9</v>
      </c>
      <c r="D20" s="9">
        <f t="shared" ref="D20:E22" si="0">F20+H20+J20</f>
        <v>0</v>
      </c>
      <c r="E20" s="9">
        <f t="shared" si="0"/>
        <v>0</v>
      </c>
      <c r="F20" s="10">
        <v>0</v>
      </c>
      <c r="G20" s="10">
        <v>0</v>
      </c>
      <c r="H20" s="10">
        <v>0</v>
      </c>
      <c r="I20" s="10">
        <v>0</v>
      </c>
      <c r="J20" s="10">
        <v>0</v>
      </c>
      <c r="K20" s="10">
        <v>0</v>
      </c>
    </row>
    <row r="21" spans="1:11" s="3" customFormat="1" ht="12.75" customHeight="1" x14ac:dyDescent="0.25">
      <c r="A21" s="7" t="s">
        <v>10</v>
      </c>
      <c r="B21" s="7" t="s">
        <v>11</v>
      </c>
      <c r="C21" s="8" t="s">
        <v>12</v>
      </c>
      <c r="D21" s="9">
        <f t="shared" si="0"/>
        <v>0</v>
      </c>
      <c r="E21" s="9">
        <f t="shared" si="0"/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</row>
    <row r="22" spans="1:11" s="3" customFormat="1" ht="12.75" customHeight="1" x14ac:dyDescent="0.25">
      <c r="A22" s="7" t="s">
        <v>13</v>
      </c>
      <c r="B22" s="7" t="s">
        <v>14</v>
      </c>
      <c r="C22" s="8" t="s">
        <v>15</v>
      </c>
      <c r="D22" s="9">
        <f t="shared" si="0"/>
        <v>50</v>
      </c>
      <c r="E22" s="9">
        <f t="shared" si="0"/>
        <v>50</v>
      </c>
      <c r="F22" s="10">
        <f>SUM(F23:F24)</f>
        <v>50</v>
      </c>
      <c r="G22" s="10">
        <f>SUM(G23:G24)</f>
        <v>50</v>
      </c>
      <c r="H22" s="10">
        <v>0</v>
      </c>
      <c r="I22" s="10">
        <f>SUM(I23:I24)</f>
        <v>0</v>
      </c>
      <c r="J22" s="10">
        <v>0</v>
      </c>
      <c r="K22" s="10">
        <v>0</v>
      </c>
    </row>
    <row r="23" spans="1:11" s="15" customFormat="1" ht="11.45" customHeight="1" x14ac:dyDescent="0.25">
      <c r="A23" s="11"/>
      <c r="B23" s="11"/>
      <c r="C23" s="12" t="s">
        <v>16</v>
      </c>
      <c r="D23" s="13"/>
      <c r="E23" s="13"/>
      <c r="F23" s="14">
        <v>50</v>
      </c>
      <c r="G23" s="14">
        <v>50</v>
      </c>
      <c r="H23" s="14"/>
      <c r="I23" s="14"/>
      <c r="J23" s="14"/>
      <c r="K23" s="14"/>
    </row>
    <row r="24" spans="1:11" s="15" customFormat="1" ht="11.45" customHeight="1" x14ac:dyDescent="0.25">
      <c r="A24" s="11"/>
      <c r="B24" s="11"/>
      <c r="C24" s="12" t="s">
        <v>17</v>
      </c>
      <c r="D24" s="13"/>
      <c r="E24" s="13"/>
      <c r="F24" s="14">
        <v>0</v>
      </c>
      <c r="G24" s="14">
        <v>0</v>
      </c>
      <c r="H24" s="14"/>
      <c r="I24" s="14"/>
      <c r="J24" s="14"/>
      <c r="K24" s="14"/>
    </row>
    <row r="25" spans="1:11" s="3" customFormat="1" ht="12.75" customHeight="1" x14ac:dyDescent="0.25">
      <c r="A25" s="7" t="s">
        <v>18</v>
      </c>
      <c r="B25" s="7" t="s">
        <v>19</v>
      </c>
      <c r="C25" s="8" t="s">
        <v>20</v>
      </c>
      <c r="D25" s="9">
        <f t="shared" ref="D25:E27" si="1">F25+H25+J25</f>
        <v>0</v>
      </c>
      <c r="E25" s="9">
        <f t="shared" si="1"/>
        <v>0</v>
      </c>
      <c r="F25" s="10">
        <v>0</v>
      </c>
      <c r="G25" s="10">
        <v>0</v>
      </c>
      <c r="H25" s="10">
        <v>0</v>
      </c>
      <c r="I25" s="10">
        <v>0</v>
      </c>
      <c r="J25" s="10">
        <v>0</v>
      </c>
      <c r="K25" s="10">
        <v>0</v>
      </c>
    </row>
    <row r="26" spans="1:11" s="3" customFormat="1" ht="12.75" customHeight="1" x14ac:dyDescent="0.25">
      <c r="A26" s="7" t="s">
        <v>21</v>
      </c>
      <c r="B26" s="7" t="s">
        <v>22</v>
      </c>
      <c r="C26" s="8" t="s">
        <v>23</v>
      </c>
      <c r="D26" s="9">
        <f t="shared" si="1"/>
        <v>0</v>
      </c>
      <c r="E26" s="9">
        <f t="shared" si="1"/>
        <v>0</v>
      </c>
      <c r="F26" s="10">
        <v>0</v>
      </c>
      <c r="G26" s="10">
        <v>0</v>
      </c>
      <c r="H26" s="10">
        <v>0</v>
      </c>
      <c r="I26" s="10">
        <v>0</v>
      </c>
      <c r="J26" s="10">
        <v>0</v>
      </c>
      <c r="K26" s="10">
        <v>0</v>
      </c>
    </row>
    <row r="27" spans="1:11" s="3" customFormat="1" ht="12.75" customHeight="1" x14ac:dyDescent="0.25">
      <c r="A27" s="7" t="s">
        <v>24</v>
      </c>
      <c r="B27" s="7" t="s">
        <v>25</v>
      </c>
      <c r="C27" s="8" t="s">
        <v>26</v>
      </c>
      <c r="D27" s="9">
        <f t="shared" si="1"/>
        <v>348</v>
      </c>
      <c r="E27" s="9">
        <f t="shared" si="1"/>
        <v>384</v>
      </c>
      <c r="F27" s="10">
        <v>348</v>
      </c>
      <c r="G27" s="10">
        <f>G28</f>
        <v>384</v>
      </c>
      <c r="H27" s="10">
        <v>0</v>
      </c>
      <c r="I27" s="10">
        <f>I28</f>
        <v>0</v>
      </c>
      <c r="J27" s="10">
        <v>0</v>
      </c>
      <c r="K27" s="10">
        <v>0</v>
      </c>
    </row>
    <row r="28" spans="1:11" s="15" customFormat="1" ht="11.45" customHeight="1" x14ac:dyDescent="0.25">
      <c r="A28" s="11"/>
      <c r="B28" s="11"/>
      <c r="C28" s="12" t="s">
        <v>1029</v>
      </c>
      <c r="D28" s="13"/>
      <c r="E28" s="13"/>
      <c r="F28" s="14"/>
      <c r="G28" s="14">
        <v>384</v>
      </c>
      <c r="H28" s="14"/>
      <c r="I28" s="14"/>
      <c r="J28" s="14"/>
      <c r="K28" s="14"/>
    </row>
    <row r="29" spans="1:11" s="3" customFormat="1" ht="12.75" customHeight="1" x14ac:dyDescent="0.25">
      <c r="A29" s="7" t="s">
        <v>27</v>
      </c>
      <c r="B29" s="7" t="s">
        <v>28</v>
      </c>
      <c r="C29" s="8" t="s">
        <v>29</v>
      </c>
      <c r="D29" s="9">
        <f t="shared" ref="D29:E31" si="2">F29+H29+J29</f>
        <v>0</v>
      </c>
      <c r="E29" s="9">
        <f t="shared" si="2"/>
        <v>0</v>
      </c>
      <c r="F29" s="10">
        <v>0</v>
      </c>
      <c r="G29" s="10">
        <v>0</v>
      </c>
      <c r="H29" s="10">
        <v>0</v>
      </c>
      <c r="I29" s="10">
        <v>0</v>
      </c>
      <c r="J29" s="10">
        <v>0</v>
      </c>
      <c r="K29" s="10">
        <v>0</v>
      </c>
    </row>
    <row r="30" spans="1:11" s="3" customFormat="1" ht="12.75" customHeight="1" x14ac:dyDescent="0.25">
      <c r="A30" s="7" t="s">
        <v>30</v>
      </c>
      <c r="B30" s="7" t="s">
        <v>31</v>
      </c>
      <c r="C30" s="8" t="s">
        <v>32</v>
      </c>
      <c r="D30" s="9">
        <f t="shared" si="2"/>
        <v>200</v>
      </c>
      <c r="E30" s="9">
        <f t="shared" si="2"/>
        <v>200</v>
      </c>
      <c r="F30" s="10">
        <v>200</v>
      </c>
      <c r="G30" s="10">
        <v>200</v>
      </c>
      <c r="H30" s="10">
        <v>0</v>
      </c>
      <c r="I30" s="10">
        <v>0</v>
      </c>
      <c r="J30" s="10">
        <v>0</v>
      </c>
      <c r="K30" s="10">
        <v>0</v>
      </c>
    </row>
    <row r="31" spans="1:11" s="3" customFormat="1" ht="12.75" customHeight="1" x14ac:dyDescent="0.25">
      <c r="A31" s="7" t="s">
        <v>33</v>
      </c>
      <c r="B31" s="7" t="s">
        <v>34</v>
      </c>
      <c r="C31" s="8" t="s">
        <v>35</v>
      </c>
      <c r="D31" s="9">
        <f t="shared" si="2"/>
        <v>0</v>
      </c>
      <c r="E31" s="9">
        <f t="shared" si="2"/>
        <v>60</v>
      </c>
      <c r="F31" s="10">
        <v>0</v>
      </c>
      <c r="G31" s="10">
        <f>G32</f>
        <v>60</v>
      </c>
      <c r="H31" s="10">
        <v>0</v>
      </c>
      <c r="I31" s="10">
        <f>I32</f>
        <v>0</v>
      </c>
      <c r="J31" s="10">
        <v>0</v>
      </c>
      <c r="K31" s="10">
        <v>0</v>
      </c>
    </row>
    <row r="32" spans="1:11" s="3" customFormat="1" ht="12.75" customHeight="1" x14ac:dyDescent="0.25">
      <c r="A32" s="11"/>
      <c r="B32" s="11"/>
      <c r="C32" s="12" t="s">
        <v>1266</v>
      </c>
      <c r="D32" s="13"/>
      <c r="E32" s="13"/>
      <c r="F32" s="14"/>
      <c r="G32" s="14">
        <v>60</v>
      </c>
      <c r="H32" s="14"/>
      <c r="I32" s="14"/>
      <c r="J32" s="14"/>
      <c r="K32" s="14"/>
    </row>
    <row r="33" spans="1:11" s="3" customFormat="1" ht="12.75" customHeight="1" x14ac:dyDescent="0.25">
      <c r="A33" s="7" t="s">
        <v>36</v>
      </c>
      <c r="B33" s="7" t="s">
        <v>37</v>
      </c>
      <c r="C33" s="8" t="s">
        <v>38</v>
      </c>
      <c r="D33" s="9">
        <f>F33+H33+J33</f>
        <v>0</v>
      </c>
      <c r="E33" s="9">
        <f>G33+I33+K33</f>
        <v>0</v>
      </c>
      <c r="F33" s="10">
        <v>0</v>
      </c>
      <c r="G33" s="10">
        <v>0</v>
      </c>
      <c r="H33" s="10">
        <v>0</v>
      </c>
      <c r="I33" s="10">
        <v>0</v>
      </c>
      <c r="J33" s="10">
        <v>0</v>
      </c>
      <c r="K33" s="10">
        <v>0</v>
      </c>
    </row>
    <row r="34" spans="1:11" s="3" customFormat="1" ht="12.75" customHeight="1" x14ac:dyDescent="0.25">
      <c r="A34" s="7" t="s">
        <v>39</v>
      </c>
      <c r="B34" s="7" t="s">
        <v>40</v>
      </c>
      <c r="C34" s="8" t="s">
        <v>41</v>
      </c>
      <c r="D34" s="9">
        <f>F34+H34+J34</f>
        <v>0</v>
      </c>
      <c r="E34" s="9">
        <f>G34+I34+K34</f>
        <v>32</v>
      </c>
      <c r="F34" s="10">
        <f>F35</f>
        <v>0</v>
      </c>
      <c r="G34" s="10">
        <f>G35</f>
        <v>32</v>
      </c>
      <c r="H34" s="10">
        <f>H35</f>
        <v>0</v>
      </c>
      <c r="I34" s="10">
        <f>I35</f>
        <v>0</v>
      </c>
      <c r="J34" s="10">
        <v>0</v>
      </c>
      <c r="K34" s="10">
        <v>0</v>
      </c>
    </row>
    <row r="35" spans="1:11" s="3" customFormat="1" ht="12.75" customHeight="1" x14ac:dyDescent="0.25">
      <c r="A35" s="11"/>
      <c r="B35" s="11"/>
      <c r="C35" s="12" t="s">
        <v>280</v>
      </c>
      <c r="D35" s="13"/>
      <c r="E35" s="13"/>
      <c r="F35" s="14">
        <v>0</v>
      </c>
      <c r="G35" s="14">
        <f>ROUND(G6*0.004,0)</f>
        <v>32</v>
      </c>
      <c r="H35" s="14"/>
      <c r="I35" s="14"/>
      <c r="J35" s="14"/>
      <c r="K35" s="14"/>
    </row>
    <row r="36" spans="1:11" s="3" customFormat="1" ht="12.75" customHeight="1" x14ac:dyDescent="0.25">
      <c r="A36" s="7" t="s">
        <v>42</v>
      </c>
      <c r="B36" s="7" t="s">
        <v>43</v>
      </c>
      <c r="C36" s="8" t="s">
        <v>44</v>
      </c>
      <c r="D36" s="9">
        <f>F36+H36+J36</f>
        <v>0</v>
      </c>
      <c r="E36" s="9">
        <f>G36+I36+K36</f>
        <v>241</v>
      </c>
      <c r="F36" s="10">
        <v>0</v>
      </c>
      <c r="G36" s="10">
        <f>G37</f>
        <v>241</v>
      </c>
      <c r="H36" s="10">
        <v>0</v>
      </c>
      <c r="I36" s="10">
        <f>I37</f>
        <v>0</v>
      </c>
      <c r="J36" s="10">
        <v>0</v>
      </c>
      <c r="K36" s="10">
        <v>0</v>
      </c>
    </row>
    <row r="37" spans="1:11" s="15" customFormat="1" ht="11.45" customHeight="1" x14ac:dyDescent="0.25">
      <c r="A37" s="11"/>
      <c r="B37" s="11"/>
      <c r="C37" s="12" t="s">
        <v>1268</v>
      </c>
      <c r="D37" s="13"/>
      <c r="E37" s="13"/>
      <c r="F37" s="14"/>
      <c r="G37" s="14">
        <f>ROUND(G6*0.03,0)</f>
        <v>241</v>
      </c>
      <c r="H37" s="14"/>
      <c r="I37" s="14"/>
      <c r="J37" s="14"/>
      <c r="K37" s="14"/>
    </row>
    <row r="38" spans="1:11" s="3" customFormat="1" ht="12.75" customHeight="1" x14ac:dyDescent="0.25">
      <c r="A38" s="16" t="s">
        <v>45</v>
      </c>
      <c r="B38" s="16" t="s">
        <v>46</v>
      </c>
      <c r="C38" s="17" t="s">
        <v>47</v>
      </c>
      <c r="D38" s="18">
        <f>D6+D20+D21+D22+D25+D26+D27+D29+D30+D31+D33+D34+D36</f>
        <v>10064</v>
      </c>
      <c r="E38" s="18">
        <f t="shared" ref="E38:K38" si="3">E6+E20+E21+E22+E25+E26+E27+E29+E30+E31+E33+E34+E36</f>
        <v>8995</v>
      </c>
      <c r="F38" s="18">
        <f t="shared" si="3"/>
        <v>8144</v>
      </c>
      <c r="G38" s="18">
        <f t="shared" si="3"/>
        <v>8995</v>
      </c>
      <c r="H38" s="18">
        <f t="shared" si="3"/>
        <v>0</v>
      </c>
      <c r="I38" s="18">
        <f t="shared" si="3"/>
        <v>0</v>
      </c>
      <c r="J38" s="18">
        <f t="shared" si="3"/>
        <v>1920</v>
      </c>
      <c r="K38" s="18">
        <f t="shared" si="3"/>
        <v>0</v>
      </c>
    </row>
    <row r="39" spans="1:11" s="3" customFormat="1" ht="12.75" customHeight="1" x14ac:dyDescent="0.25">
      <c r="A39" s="7" t="s">
        <v>48</v>
      </c>
      <c r="B39" s="7" t="s">
        <v>49</v>
      </c>
      <c r="C39" s="8" t="s">
        <v>50</v>
      </c>
      <c r="D39" s="9">
        <f>F39+H39+J39</f>
        <v>0</v>
      </c>
      <c r="E39" s="9">
        <f>G39+I39+K39</f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</row>
    <row r="40" spans="1:11" s="3" customFormat="1" ht="12.75" customHeight="1" x14ac:dyDescent="0.25">
      <c r="A40" s="7" t="s">
        <v>51</v>
      </c>
      <c r="B40" s="7" t="s">
        <v>52</v>
      </c>
      <c r="C40" s="8" t="s">
        <v>53</v>
      </c>
      <c r="D40" s="9">
        <f>F40+H40+J40</f>
        <v>1232</v>
      </c>
      <c r="E40" s="9">
        <f>G40+I40+K40</f>
        <v>680</v>
      </c>
      <c r="F40" s="10">
        <f t="shared" ref="F40:K40" si="4">F41</f>
        <v>652</v>
      </c>
      <c r="G40" s="10">
        <f t="shared" si="4"/>
        <v>100</v>
      </c>
      <c r="H40" s="10">
        <f t="shared" si="4"/>
        <v>0</v>
      </c>
      <c r="I40" s="10">
        <f t="shared" si="4"/>
        <v>0</v>
      </c>
      <c r="J40" s="10">
        <f t="shared" si="4"/>
        <v>580</v>
      </c>
      <c r="K40" s="10">
        <f t="shared" si="4"/>
        <v>580</v>
      </c>
    </row>
    <row r="41" spans="1:11" s="15" customFormat="1" ht="11.45" customHeight="1" x14ac:dyDescent="0.25">
      <c r="A41" s="11"/>
      <c r="B41" s="11"/>
      <c r="C41" s="12" t="s">
        <v>282</v>
      </c>
      <c r="D41" s="13"/>
      <c r="E41" s="13"/>
      <c r="F41" s="14">
        <v>652</v>
      </c>
      <c r="G41" s="14">
        <v>100</v>
      </c>
      <c r="H41" s="14"/>
      <c r="I41" s="14"/>
      <c r="J41" s="14">
        <v>580</v>
      </c>
      <c r="K41" s="14">
        <v>580</v>
      </c>
    </row>
    <row r="42" spans="1:11" s="3" customFormat="1" ht="12.75" customHeight="1" x14ac:dyDescent="0.25">
      <c r="A42" s="7" t="s">
        <v>54</v>
      </c>
      <c r="B42" s="7" t="s">
        <v>55</v>
      </c>
      <c r="C42" s="8" t="s">
        <v>285</v>
      </c>
      <c r="D42" s="9">
        <f>F42+H42+J42</f>
        <v>220</v>
      </c>
      <c r="E42" s="9">
        <f>G42+I42+K42</f>
        <v>160</v>
      </c>
      <c r="F42" s="10">
        <f t="shared" ref="F42:K42" si="5">F43</f>
        <v>150</v>
      </c>
      <c r="G42" s="10">
        <f t="shared" si="5"/>
        <v>100</v>
      </c>
      <c r="H42" s="10">
        <f t="shared" si="5"/>
        <v>0</v>
      </c>
      <c r="I42" s="10">
        <f t="shared" si="5"/>
        <v>0</v>
      </c>
      <c r="J42" s="10">
        <f t="shared" si="5"/>
        <v>70</v>
      </c>
      <c r="K42" s="10">
        <f t="shared" si="5"/>
        <v>60</v>
      </c>
    </row>
    <row r="43" spans="1:11" s="15" customFormat="1" ht="11.45" customHeight="1" x14ac:dyDescent="0.25">
      <c r="A43" s="11"/>
      <c r="B43" s="11"/>
      <c r="C43" s="12" t="s">
        <v>283</v>
      </c>
      <c r="D43" s="13"/>
      <c r="E43" s="13"/>
      <c r="F43" s="14">
        <v>150</v>
      </c>
      <c r="G43" s="14">
        <v>100</v>
      </c>
      <c r="H43" s="14"/>
      <c r="I43" s="14"/>
      <c r="J43" s="14">
        <v>70</v>
      </c>
      <c r="K43" s="14">
        <v>60</v>
      </c>
    </row>
    <row r="44" spans="1:11" s="3" customFormat="1" ht="12.75" customHeight="1" x14ac:dyDescent="0.25">
      <c r="A44" s="16" t="s">
        <v>56</v>
      </c>
      <c r="B44" s="16" t="s">
        <v>57</v>
      </c>
      <c r="C44" s="17" t="s">
        <v>58</v>
      </c>
      <c r="D44" s="18">
        <f>D39+D40+D42</f>
        <v>1452</v>
      </c>
      <c r="E44" s="18">
        <f t="shared" ref="E44:K44" si="6">E39+E40+E42</f>
        <v>840</v>
      </c>
      <c r="F44" s="18">
        <f t="shared" si="6"/>
        <v>802</v>
      </c>
      <c r="G44" s="18">
        <f t="shared" si="6"/>
        <v>200</v>
      </c>
      <c r="H44" s="18">
        <f t="shared" si="6"/>
        <v>0</v>
      </c>
      <c r="I44" s="18">
        <f t="shared" si="6"/>
        <v>0</v>
      </c>
      <c r="J44" s="18">
        <f t="shared" si="6"/>
        <v>650</v>
      </c>
      <c r="K44" s="18">
        <f t="shared" si="6"/>
        <v>640</v>
      </c>
    </row>
    <row r="45" spans="1:11" s="3" customFormat="1" ht="12.75" customHeight="1" x14ac:dyDescent="0.25">
      <c r="A45" s="20" t="s">
        <v>59</v>
      </c>
      <c r="B45" s="20" t="s">
        <v>60</v>
      </c>
      <c r="C45" s="21" t="s">
        <v>286</v>
      </c>
      <c r="D45" s="22">
        <f>D38+D44</f>
        <v>11516</v>
      </c>
      <c r="E45" s="22">
        <f t="shared" ref="E45:K45" si="7">E38+E44</f>
        <v>9835</v>
      </c>
      <c r="F45" s="22">
        <f t="shared" si="7"/>
        <v>8946</v>
      </c>
      <c r="G45" s="22">
        <f t="shared" si="7"/>
        <v>9195</v>
      </c>
      <c r="H45" s="22">
        <f t="shared" si="7"/>
        <v>0</v>
      </c>
      <c r="I45" s="22">
        <f t="shared" si="7"/>
        <v>0</v>
      </c>
      <c r="J45" s="22">
        <f t="shared" si="7"/>
        <v>2570</v>
      </c>
      <c r="K45" s="22">
        <f t="shared" si="7"/>
        <v>640</v>
      </c>
    </row>
    <row r="46" spans="1:11" s="15" customFormat="1" ht="11.45" customHeight="1" x14ac:dyDescent="0.25">
      <c r="A46" s="11"/>
      <c r="B46" s="11"/>
      <c r="C46" s="12" t="s">
        <v>284</v>
      </c>
      <c r="D46" s="13">
        <f>H46+F46+J46</f>
        <v>2961</v>
      </c>
      <c r="E46" s="13">
        <f>I46+G46+K46</f>
        <v>2374</v>
      </c>
      <c r="F46" s="13">
        <v>2267</v>
      </c>
      <c r="G46" s="13">
        <f>ROUND((G6+G20+G21+G22+G25+G26+G34+G40)*0.27,0)</f>
        <v>2217</v>
      </c>
      <c r="H46" s="13">
        <f>ROUND((H6+H20+H21+H22+H25+H26+H40)*0.27,0)</f>
        <v>0</v>
      </c>
      <c r="I46" s="13">
        <f>ROUND((I6+I20+I21+I22+I25+I26+I40)*0.27,0)</f>
        <v>0</v>
      </c>
      <c r="J46" s="13">
        <v>694</v>
      </c>
      <c r="K46" s="13">
        <f>ROUND((K6+K20+K21+K22+K25+K26+K40)*0.27,0)</f>
        <v>157</v>
      </c>
    </row>
    <row r="47" spans="1:11" s="15" customFormat="1" ht="11.45" customHeight="1" x14ac:dyDescent="0.25">
      <c r="A47" s="11"/>
      <c r="B47" s="11"/>
      <c r="C47" s="12" t="s">
        <v>61</v>
      </c>
      <c r="D47" s="13">
        <f t="shared" ref="D47:E49" si="8">H47+F47+J47</f>
        <v>150</v>
      </c>
      <c r="E47" s="13">
        <f t="shared" si="8"/>
        <v>193</v>
      </c>
      <c r="F47" s="14">
        <v>106</v>
      </c>
      <c r="G47" s="13">
        <f>ROUND(G27*1.19*0.14+(G42+G36)*1.19*0.27,0)</f>
        <v>174</v>
      </c>
      <c r="H47" s="14"/>
      <c r="I47" s="14"/>
      <c r="J47" s="14">
        <v>44</v>
      </c>
      <c r="K47" s="13">
        <f>ROUND(K27*1.19*0.14+(K42+K36)*1.19*0.27,0)</f>
        <v>19</v>
      </c>
    </row>
    <row r="48" spans="1:11" s="15" customFormat="1" ht="11.45" customHeight="1" x14ac:dyDescent="0.25">
      <c r="A48" s="11"/>
      <c r="B48" s="11"/>
      <c r="C48" s="12" t="s">
        <v>62</v>
      </c>
      <c r="D48" s="13">
        <f t="shared" si="8"/>
        <v>0</v>
      </c>
      <c r="E48" s="13">
        <f t="shared" si="8"/>
        <v>0</v>
      </c>
      <c r="F48" s="14">
        <v>0</v>
      </c>
      <c r="G48" s="14"/>
      <c r="H48" s="14"/>
      <c r="I48" s="14"/>
      <c r="J48" s="14">
        <v>0</v>
      </c>
      <c r="K48" s="14"/>
    </row>
    <row r="49" spans="1:11" s="15" customFormat="1" ht="11.45" customHeight="1" x14ac:dyDescent="0.25">
      <c r="A49" s="11"/>
      <c r="B49" s="11"/>
      <c r="C49" s="12" t="s">
        <v>63</v>
      </c>
      <c r="D49" s="13">
        <f t="shared" si="8"/>
        <v>121</v>
      </c>
      <c r="E49" s="13">
        <f t="shared" si="8"/>
        <v>149</v>
      </c>
      <c r="F49" s="14">
        <v>95</v>
      </c>
      <c r="G49" s="14">
        <f>ROUND((G43+G37+G28)*1.19*0.16,0)</f>
        <v>138</v>
      </c>
      <c r="H49" s="14"/>
      <c r="I49" s="14"/>
      <c r="J49" s="14">
        <v>26</v>
      </c>
      <c r="K49" s="14">
        <f>ROUND((K43+K37+K28)*1.19*0.16,0)</f>
        <v>11</v>
      </c>
    </row>
    <row r="50" spans="1:11" s="3" customFormat="1" ht="12.75" customHeight="1" x14ac:dyDescent="0.25">
      <c r="A50" s="20" t="s">
        <v>64</v>
      </c>
      <c r="B50" s="20" t="s">
        <v>65</v>
      </c>
      <c r="C50" s="21" t="s">
        <v>287</v>
      </c>
      <c r="D50" s="22">
        <f>D46+D47+D48+D49</f>
        <v>3232</v>
      </c>
      <c r="E50" s="22">
        <f t="shared" ref="E50:K50" si="9">E46+E47+E48+E49</f>
        <v>2716</v>
      </c>
      <c r="F50" s="22">
        <f t="shared" si="9"/>
        <v>2468</v>
      </c>
      <c r="G50" s="22">
        <f t="shared" si="9"/>
        <v>2529</v>
      </c>
      <c r="H50" s="22">
        <f t="shared" si="9"/>
        <v>0</v>
      </c>
      <c r="I50" s="22">
        <f t="shared" si="9"/>
        <v>0</v>
      </c>
      <c r="J50" s="22">
        <f t="shared" si="9"/>
        <v>764</v>
      </c>
      <c r="K50" s="22">
        <f t="shared" si="9"/>
        <v>187</v>
      </c>
    </row>
    <row r="51" spans="1:11" s="3" customFormat="1" ht="14.1" customHeight="1" x14ac:dyDescent="0.25">
      <c r="A51" s="966" t="s">
        <v>66</v>
      </c>
      <c r="B51" s="967"/>
      <c r="C51" s="968"/>
      <c r="D51" s="29">
        <f>D45+D50</f>
        <v>14748</v>
      </c>
      <c r="E51" s="29">
        <f t="shared" ref="E51:K51" si="10">E45+E50</f>
        <v>12551</v>
      </c>
      <c r="F51" s="29">
        <f t="shared" si="10"/>
        <v>11414</v>
      </c>
      <c r="G51" s="29">
        <f t="shared" si="10"/>
        <v>11724</v>
      </c>
      <c r="H51" s="29">
        <f t="shared" si="10"/>
        <v>0</v>
      </c>
      <c r="I51" s="29">
        <f t="shared" si="10"/>
        <v>0</v>
      </c>
      <c r="J51" s="29">
        <f t="shared" si="10"/>
        <v>3334</v>
      </c>
      <c r="K51" s="29">
        <f t="shared" si="10"/>
        <v>827</v>
      </c>
    </row>
    <row r="52" spans="1:11" s="1" customFormat="1" ht="12.75" customHeight="1" x14ac:dyDescent="0.25">
      <c r="A52" s="1001" t="s">
        <v>580</v>
      </c>
      <c r="B52" s="1002"/>
      <c r="C52" s="1002"/>
      <c r="D52" s="1002"/>
      <c r="E52" s="1002"/>
      <c r="F52" s="1002"/>
      <c r="G52" s="1002"/>
      <c r="H52" s="1002"/>
      <c r="I52" s="1002"/>
      <c r="J52" s="1002"/>
      <c r="K52" s="1003"/>
    </row>
    <row r="53" spans="1:11" s="1" customFormat="1" ht="14.1" customHeight="1" x14ac:dyDescent="0.25">
      <c r="A53" s="974" t="s">
        <v>0</v>
      </c>
      <c r="B53" s="975" t="s">
        <v>1</v>
      </c>
      <c r="C53" s="974" t="s">
        <v>2</v>
      </c>
      <c r="D53" s="976" t="s">
        <v>260</v>
      </c>
      <c r="E53" s="969" t="s">
        <v>259</v>
      </c>
      <c r="F53" s="971" t="s">
        <v>360</v>
      </c>
      <c r="G53" s="972"/>
      <c r="H53" s="971" t="s">
        <v>582</v>
      </c>
      <c r="I53" s="972"/>
      <c r="J53" s="971" t="s">
        <v>361</v>
      </c>
      <c r="K53" s="972"/>
    </row>
    <row r="54" spans="1:11" s="3" customFormat="1" ht="33" customHeight="1" x14ac:dyDescent="0.25">
      <c r="A54" s="974"/>
      <c r="B54" s="975"/>
      <c r="C54" s="974"/>
      <c r="D54" s="976"/>
      <c r="E54" s="970"/>
      <c r="F54" s="2" t="s">
        <v>260</v>
      </c>
      <c r="G54" s="2" t="s">
        <v>259</v>
      </c>
      <c r="H54" s="2" t="s">
        <v>260</v>
      </c>
      <c r="I54" s="2" t="s">
        <v>259</v>
      </c>
      <c r="J54" s="2" t="s">
        <v>260</v>
      </c>
      <c r="K54" s="2" t="s">
        <v>259</v>
      </c>
    </row>
    <row r="55" spans="1:11" ht="5.65" customHeight="1" x14ac:dyDescent="0.25"/>
    <row r="56" spans="1:11" ht="14.1" customHeight="1" x14ac:dyDescent="0.25">
      <c r="A56" s="973" t="s">
        <v>288</v>
      </c>
      <c r="B56" s="973"/>
      <c r="C56" s="973"/>
      <c r="D56" s="973"/>
      <c r="E56" s="973"/>
      <c r="F56" s="973"/>
      <c r="G56" s="973"/>
      <c r="H56" s="973"/>
      <c r="I56" s="973"/>
      <c r="J56" s="98"/>
      <c r="K56" s="98"/>
    </row>
    <row r="57" spans="1:11" s="3" customFormat="1" ht="14.1" customHeight="1" x14ac:dyDescent="0.25">
      <c r="A57" s="7" t="s">
        <v>67</v>
      </c>
      <c r="B57" s="7" t="s">
        <v>68</v>
      </c>
      <c r="C57" s="8" t="s">
        <v>69</v>
      </c>
      <c r="D57" s="9">
        <f>F57+H57+J57</f>
        <v>2000</v>
      </c>
      <c r="E57" s="9">
        <f>G57+I57+K57</f>
        <v>600</v>
      </c>
      <c r="F57" s="10">
        <f t="shared" ref="F57:K57" si="11">SUM(F58:F63)</f>
        <v>0</v>
      </c>
      <c r="G57" s="10">
        <f t="shared" si="11"/>
        <v>0</v>
      </c>
      <c r="H57" s="10">
        <f t="shared" si="11"/>
        <v>2000</v>
      </c>
      <c r="I57" s="10">
        <f t="shared" si="11"/>
        <v>600</v>
      </c>
      <c r="J57" s="10">
        <f t="shared" si="11"/>
        <v>0</v>
      </c>
      <c r="K57" s="10">
        <f t="shared" si="11"/>
        <v>0</v>
      </c>
    </row>
    <row r="58" spans="1:11" ht="14.1" customHeight="1" x14ac:dyDescent="0.25">
      <c r="A58" s="24"/>
      <c r="B58" s="24"/>
      <c r="C58" s="25" t="s">
        <v>70</v>
      </c>
      <c r="D58" s="26"/>
      <c r="E58" s="26"/>
      <c r="F58" s="26">
        <v>0</v>
      </c>
      <c r="G58" s="26"/>
      <c r="H58" s="26"/>
      <c r="I58" s="26"/>
      <c r="J58" s="26"/>
      <c r="K58" s="26"/>
    </row>
    <row r="59" spans="1:11" ht="14.1" customHeight="1" x14ac:dyDescent="0.25">
      <c r="A59" s="24"/>
      <c r="B59" s="24"/>
      <c r="C59" s="25" t="s">
        <v>71</v>
      </c>
      <c r="D59" s="26"/>
      <c r="E59" s="26"/>
      <c r="F59" s="26">
        <v>0</v>
      </c>
      <c r="G59" s="26"/>
      <c r="H59" s="26"/>
      <c r="I59" s="26"/>
      <c r="J59" s="26"/>
      <c r="K59" s="26"/>
    </row>
    <row r="60" spans="1:11" ht="14.1" customHeight="1" x14ac:dyDescent="0.25">
      <c r="A60" s="24"/>
      <c r="B60" s="24"/>
      <c r="C60" s="25" t="s">
        <v>72</v>
      </c>
      <c r="D60" s="26"/>
      <c r="E60" s="26"/>
      <c r="F60" s="26">
        <v>0</v>
      </c>
      <c r="G60" s="26"/>
      <c r="H60" s="26"/>
      <c r="I60" s="26"/>
      <c r="J60" s="26"/>
      <c r="K60" s="26"/>
    </row>
    <row r="61" spans="1:11" ht="14.1" customHeight="1" x14ac:dyDescent="0.25">
      <c r="A61" s="24"/>
      <c r="B61" s="24"/>
      <c r="C61" s="25" t="s">
        <v>73</v>
      </c>
      <c r="D61" s="26"/>
      <c r="E61" s="26"/>
      <c r="F61" s="26">
        <v>0</v>
      </c>
      <c r="G61" s="26"/>
      <c r="H61" s="26">
        <v>55</v>
      </c>
      <c r="I61" s="26">
        <v>150</v>
      </c>
      <c r="J61" s="26"/>
      <c r="K61" s="26"/>
    </row>
    <row r="62" spans="1:11" ht="14.1" customHeight="1" x14ac:dyDescent="0.25">
      <c r="A62" s="24"/>
      <c r="B62" s="24"/>
      <c r="C62" s="25" t="s">
        <v>74</v>
      </c>
      <c r="D62" s="26"/>
      <c r="E62" s="26"/>
      <c r="F62" s="26">
        <v>0</v>
      </c>
      <c r="G62" s="26"/>
      <c r="H62" s="26">
        <v>245</v>
      </c>
      <c r="I62" s="26">
        <v>450</v>
      </c>
      <c r="J62" s="26"/>
      <c r="K62" s="26"/>
    </row>
    <row r="63" spans="1:11" ht="14.1" customHeight="1" x14ac:dyDescent="0.25">
      <c r="A63" s="24"/>
      <c r="B63" s="24"/>
      <c r="C63" s="25" t="s">
        <v>75</v>
      </c>
      <c r="D63" s="26"/>
      <c r="E63" s="26"/>
      <c r="F63" s="26">
        <v>0</v>
      </c>
      <c r="G63" s="26"/>
      <c r="H63" s="26">
        <v>1700</v>
      </c>
      <c r="I63" s="26"/>
      <c r="J63" s="26"/>
      <c r="K63" s="26"/>
    </row>
    <row r="64" spans="1:11" s="3" customFormat="1" ht="14.1" customHeight="1" x14ac:dyDescent="0.25">
      <c r="A64" s="7" t="s">
        <v>76</v>
      </c>
      <c r="B64" s="7" t="s">
        <v>77</v>
      </c>
      <c r="C64" s="8" t="s">
        <v>78</v>
      </c>
      <c r="D64" s="9">
        <f>F64+H64+J64</f>
        <v>270</v>
      </c>
      <c r="E64" s="9">
        <f>G64+I64+K64</f>
        <v>410</v>
      </c>
      <c r="F64" s="10">
        <f t="shared" ref="F64:K64" si="12">SUM(F65:F70)</f>
        <v>250</v>
      </c>
      <c r="G64" s="10">
        <f t="shared" si="12"/>
        <v>390</v>
      </c>
      <c r="H64" s="10">
        <f t="shared" si="12"/>
        <v>0</v>
      </c>
      <c r="I64" s="10">
        <f t="shared" si="12"/>
        <v>0</v>
      </c>
      <c r="J64" s="10">
        <f t="shared" si="12"/>
        <v>20</v>
      </c>
      <c r="K64" s="10">
        <f t="shared" si="12"/>
        <v>20</v>
      </c>
    </row>
    <row r="65" spans="1:11" ht="14.1" customHeight="1" x14ac:dyDescent="0.25">
      <c r="A65" s="24"/>
      <c r="B65" s="24"/>
      <c r="C65" s="25" t="s">
        <v>79</v>
      </c>
      <c r="D65" s="26"/>
      <c r="E65" s="26"/>
      <c r="F65" s="26"/>
      <c r="G65" s="26"/>
      <c r="H65" s="26"/>
      <c r="I65" s="26"/>
      <c r="J65" s="26"/>
      <c r="K65" s="26"/>
    </row>
    <row r="66" spans="1:11" ht="14.1" customHeight="1" x14ac:dyDescent="0.25">
      <c r="A66" s="24"/>
      <c r="B66" s="24"/>
      <c r="C66" s="25" t="s">
        <v>80</v>
      </c>
      <c r="D66" s="26"/>
      <c r="E66" s="26"/>
      <c r="F66" s="26">
        <v>120</v>
      </c>
      <c r="G66" s="26">
        <v>120</v>
      </c>
      <c r="H66" s="26"/>
      <c r="I66" s="26"/>
      <c r="J66" s="26"/>
      <c r="K66" s="26"/>
    </row>
    <row r="67" spans="1:11" ht="14.1" customHeight="1" x14ac:dyDescent="0.25">
      <c r="A67" s="24"/>
      <c r="B67" s="24"/>
      <c r="C67" s="25" t="s">
        <v>81</v>
      </c>
      <c r="D67" s="26"/>
      <c r="E67" s="26"/>
      <c r="F67" s="26"/>
      <c r="G67" s="26"/>
      <c r="H67" s="26"/>
      <c r="I67" s="26"/>
      <c r="J67" s="26"/>
      <c r="K67" s="26"/>
    </row>
    <row r="68" spans="1:11" ht="14.1" customHeight="1" x14ac:dyDescent="0.25">
      <c r="A68" s="24"/>
      <c r="B68" s="24"/>
      <c r="C68" s="25" t="s">
        <v>82</v>
      </c>
      <c r="D68" s="26"/>
      <c r="E68" s="26"/>
      <c r="F68" s="26"/>
      <c r="G68" s="26"/>
      <c r="H68" s="26"/>
      <c r="I68" s="26"/>
      <c r="J68" s="26"/>
      <c r="K68" s="26"/>
    </row>
    <row r="69" spans="1:11" ht="14.1" customHeight="1" x14ac:dyDescent="0.25">
      <c r="A69" s="24"/>
      <c r="B69" s="24"/>
      <c r="C69" s="25" t="s">
        <v>83</v>
      </c>
      <c r="D69" s="26"/>
      <c r="E69" s="26"/>
      <c r="F69" s="26"/>
      <c r="G69" s="26"/>
      <c r="H69" s="26"/>
      <c r="I69" s="26"/>
      <c r="J69" s="26"/>
      <c r="K69" s="26"/>
    </row>
    <row r="70" spans="1:11" ht="14.1" customHeight="1" x14ac:dyDescent="0.25">
      <c r="A70" s="24"/>
      <c r="B70" s="24"/>
      <c r="C70" s="25" t="s">
        <v>84</v>
      </c>
      <c r="D70" s="26"/>
      <c r="E70" s="26"/>
      <c r="F70" s="26">
        <v>130</v>
      </c>
      <c r="G70" s="26">
        <v>270</v>
      </c>
      <c r="H70" s="26"/>
      <c r="I70" s="26"/>
      <c r="J70" s="26">
        <v>20</v>
      </c>
      <c r="K70" s="26">
        <v>20</v>
      </c>
    </row>
    <row r="71" spans="1:11" s="3" customFormat="1" ht="14.1" customHeight="1" x14ac:dyDescent="0.25">
      <c r="A71" s="7" t="s">
        <v>85</v>
      </c>
      <c r="B71" s="7" t="s">
        <v>86</v>
      </c>
      <c r="C71" s="8" t="s">
        <v>87</v>
      </c>
      <c r="D71" s="9">
        <f>F71+H71+J71</f>
        <v>0</v>
      </c>
      <c r="E71" s="9">
        <f>G71+I71+K71</f>
        <v>0</v>
      </c>
      <c r="F71" s="10">
        <f t="shared" ref="F71:K71" si="13">SUM(F72:F73)</f>
        <v>0</v>
      </c>
      <c r="G71" s="10">
        <f t="shared" si="13"/>
        <v>0</v>
      </c>
      <c r="H71" s="10">
        <f t="shared" si="13"/>
        <v>0</v>
      </c>
      <c r="I71" s="10">
        <f t="shared" si="13"/>
        <v>0</v>
      </c>
      <c r="J71" s="10">
        <f t="shared" si="13"/>
        <v>0</v>
      </c>
      <c r="K71" s="10">
        <f t="shared" si="13"/>
        <v>0</v>
      </c>
    </row>
    <row r="72" spans="1:11" ht="14.1" customHeight="1" x14ac:dyDescent="0.25">
      <c r="A72" s="24"/>
      <c r="B72" s="24"/>
      <c r="C72" s="25" t="s">
        <v>88</v>
      </c>
      <c r="D72" s="26"/>
      <c r="E72" s="26"/>
      <c r="F72" s="26"/>
      <c r="G72" s="26"/>
      <c r="H72" s="26"/>
      <c r="I72" s="26"/>
      <c r="J72" s="26"/>
      <c r="K72" s="26"/>
    </row>
    <row r="73" spans="1:11" ht="14.1" customHeight="1" x14ac:dyDescent="0.25">
      <c r="A73" s="24"/>
      <c r="B73" s="24"/>
      <c r="C73" s="25" t="s">
        <v>89</v>
      </c>
      <c r="D73" s="26"/>
      <c r="E73" s="26"/>
      <c r="F73" s="26"/>
      <c r="G73" s="26"/>
      <c r="H73" s="26"/>
      <c r="I73" s="26"/>
      <c r="J73" s="26"/>
      <c r="K73" s="26"/>
    </row>
    <row r="74" spans="1:11" s="3" customFormat="1" ht="14.1" customHeight="1" x14ac:dyDescent="0.25">
      <c r="A74" s="16" t="s">
        <v>90</v>
      </c>
      <c r="B74" s="16" t="s">
        <v>91</v>
      </c>
      <c r="C74" s="17" t="s">
        <v>92</v>
      </c>
      <c r="D74" s="19">
        <f>D57+D64</f>
        <v>2270</v>
      </c>
      <c r="E74" s="19">
        <f t="shared" ref="E74:K74" si="14">E57+E64</f>
        <v>1010</v>
      </c>
      <c r="F74" s="19">
        <f t="shared" si="14"/>
        <v>250</v>
      </c>
      <c r="G74" s="19">
        <f t="shared" si="14"/>
        <v>390</v>
      </c>
      <c r="H74" s="19">
        <f t="shared" si="14"/>
        <v>2000</v>
      </c>
      <c r="I74" s="19">
        <f t="shared" si="14"/>
        <v>600</v>
      </c>
      <c r="J74" s="19">
        <f t="shared" si="14"/>
        <v>20</v>
      </c>
      <c r="K74" s="19">
        <f t="shared" si="14"/>
        <v>20</v>
      </c>
    </row>
    <row r="75" spans="1:11" s="3" customFormat="1" ht="14.1" customHeight="1" x14ac:dyDescent="0.25">
      <c r="A75" s="7" t="s">
        <v>93</v>
      </c>
      <c r="B75" s="7" t="s">
        <v>94</v>
      </c>
      <c r="C75" s="8" t="s">
        <v>95</v>
      </c>
      <c r="D75" s="9">
        <f>F75+H75+J75</f>
        <v>683</v>
      </c>
      <c r="E75" s="9">
        <f>G75+I75+K75</f>
        <v>650</v>
      </c>
      <c r="F75" s="10">
        <f t="shared" ref="F75:K75" si="15">SUM(F76:F81)</f>
        <v>683</v>
      </c>
      <c r="G75" s="10">
        <f t="shared" si="15"/>
        <v>650</v>
      </c>
      <c r="H75" s="10">
        <f t="shared" si="15"/>
        <v>0</v>
      </c>
      <c r="I75" s="10">
        <f t="shared" si="15"/>
        <v>0</v>
      </c>
      <c r="J75" s="10">
        <f t="shared" si="15"/>
        <v>0</v>
      </c>
      <c r="K75" s="10">
        <f t="shared" si="15"/>
        <v>0</v>
      </c>
    </row>
    <row r="76" spans="1:11" ht="14.1" customHeight="1" x14ac:dyDescent="0.25">
      <c r="A76" s="24"/>
      <c r="B76" s="24"/>
      <c r="C76" s="25" t="s">
        <v>96</v>
      </c>
      <c r="D76" s="26"/>
      <c r="E76" s="26"/>
      <c r="F76" s="26"/>
      <c r="G76" s="26"/>
      <c r="H76" s="26"/>
      <c r="I76" s="26"/>
      <c r="J76" s="26"/>
      <c r="K76" s="26"/>
    </row>
    <row r="77" spans="1:11" ht="14.1" customHeight="1" x14ac:dyDescent="0.25">
      <c r="A77" s="24"/>
      <c r="B77" s="24"/>
      <c r="C77" s="25" t="s">
        <v>97</v>
      </c>
      <c r="D77" s="26"/>
      <c r="E77" s="26"/>
      <c r="F77" s="26">
        <v>513</v>
      </c>
      <c r="G77" s="26">
        <f>400+100</f>
        <v>500</v>
      </c>
      <c r="H77" s="26"/>
      <c r="I77" s="26"/>
      <c r="J77" s="26"/>
      <c r="K77" s="26"/>
    </row>
    <row r="78" spans="1:11" ht="14.1" customHeight="1" x14ac:dyDescent="0.25">
      <c r="A78" s="24"/>
      <c r="B78" s="24"/>
      <c r="C78" s="25" t="s">
        <v>98</v>
      </c>
      <c r="D78" s="26"/>
      <c r="E78" s="26"/>
      <c r="F78" s="26"/>
      <c r="G78" s="26"/>
      <c r="H78" s="26"/>
      <c r="I78" s="26"/>
      <c r="J78" s="26"/>
      <c r="K78" s="26"/>
    </row>
    <row r="79" spans="1:11" ht="14.1" customHeight="1" x14ac:dyDescent="0.25">
      <c r="A79" s="24"/>
      <c r="B79" s="24"/>
      <c r="C79" s="25" t="s">
        <v>99</v>
      </c>
      <c r="D79" s="26"/>
      <c r="E79" s="26"/>
      <c r="F79" s="26">
        <v>170</v>
      </c>
      <c r="G79" s="26">
        <v>150</v>
      </c>
      <c r="H79" s="26"/>
      <c r="I79" s="26"/>
      <c r="J79" s="26"/>
      <c r="K79" s="26"/>
    </row>
    <row r="80" spans="1:11" ht="14.1" customHeight="1" x14ac:dyDescent="0.25">
      <c r="A80" s="24"/>
      <c r="B80" s="24"/>
      <c r="C80" s="25" t="s">
        <v>100</v>
      </c>
      <c r="D80" s="26"/>
      <c r="E80" s="26"/>
      <c r="F80" s="26"/>
      <c r="G80" s="26"/>
      <c r="H80" s="26"/>
      <c r="I80" s="26"/>
      <c r="J80" s="26"/>
      <c r="K80" s="26"/>
    </row>
    <row r="81" spans="1:11" ht="14.1" customHeight="1" x14ac:dyDescent="0.25">
      <c r="A81" s="24"/>
      <c r="B81" s="24"/>
      <c r="C81" s="25" t="s">
        <v>101</v>
      </c>
      <c r="D81" s="26"/>
      <c r="E81" s="26"/>
      <c r="F81" s="26"/>
      <c r="G81" s="26"/>
      <c r="H81" s="26"/>
      <c r="I81" s="26"/>
      <c r="J81" s="26"/>
      <c r="K81" s="26"/>
    </row>
    <row r="82" spans="1:11" s="3" customFormat="1" ht="14.1" customHeight="1" x14ac:dyDescent="0.25">
      <c r="A82" s="7" t="s">
        <v>102</v>
      </c>
      <c r="B82" s="7" t="s">
        <v>103</v>
      </c>
      <c r="C82" s="8" t="s">
        <v>104</v>
      </c>
      <c r="D82" s="9">
        <f>F82+H82+J82</f>
        <v>200</v>
      </c>
      <c r="E82" s="9">
        <f>G82+I82+K82</f>
        <v>160</v>
      </c>
      <c r="F82" s="10">
        <f t="shared" ref="F82:K82" si="16">SUM(F83:F84)</f>
        <v>140</v>
      </c>
      <c r="G82" s="10">
        <f t="shared" si="16"/>
        <v>100</v>
      </c>
      <c r="H82" s="10">
        <f t="shared" si="16"/>
        <v>0</v>
      </c>
      <c r="I82" s="10">
        <f t="shared" si="16"/>
        <v>0</v>
      </c>
      <c r="J82" s="10">
        <f t="shared" si="16"/>
        <v>60</v>
      </c>
      <c r="K82" s="10">
        <f t="shared" si="16"/>
        <v>60</v>
      </c>
    </row>
    <row r="83" spans="1:11" ht="14.1" customHeight="1" x14ac:dyDescent="0.25">
      <c r="A83" s="24"/>
      <c r="B83" s="24"/>
      <c r="C83" s="25" t="s">
        <v>105</v>
      </c>
      <c r="D83" s="26"/>
      <c r="E83" s="26"/>
      <c r="F83" s="26">
        <v>140</v>
      </c>
      <c r="G83" s="26">
        <v>100</v>
      </c>
      <c r="H83" s="26"/>
      <c r="I83" s="26"/>
      <c r="J83" s="26">
        <v>60</v>
      </c>
      <c r="K83" s="26">
        <v>60</v>
      </c>
    </row>
    <row r="84" spans="1:11" ht="14.1" customHeight="1" x14ac:dyDescent="0.25">
      <c r="A84" s="24"/>
      <c r="B84" s="24"/>
      <c r="C84" s="25" t="s">
        <v>106</v>
      </c>
      <c r="D84" s="26"/>
      <c r="E84" s="26"/>
      <c r="F84" s="26"/>
      <c r="G84" s="26"/>
      <c r="H84" s="26"/>
      <c r="I84" s="26"/>
      <c r="J84" s="26"/>
      <c r="K84" s="26"/>
    </row>
    <row r="85" spans="1:11" s="3" customFormat="1" ht="14.1" customHeight="1" x14ac:dyDescent="0.25">
      <c r="A85" s="16" t="s">
        <v>107</v>
      </c>
      <c r="B85" s="16" t="s">
        <v>108</v>
      </c>
      <c r="C85" s="17" t="s">
        <v>109</v>
      </c>
      <c r="D85" s="19">
        <f>D75+D82</f>
        <v>883</v>
      </c>
      <c r="E85" s="19">
        <f t="shared" ref="E85:K85" si="17">E75+E82</f>
        <v>810</v>
      </c>
      <c r="F85" s="19">
        <f t="shared" si="17"/>
        <v>823</v>
      </c>
      <c r="G85" s="19">
        <f t="shared" si="17"/>
        <v>750</v>
      </c>
      <c r="H85" s="19">
        <f t="shared" si="17"/>
        <v>0</v>
      </c>
      <c r="I85" s="19">
        <f t="shared" si="17"/>
        <v>0</v>
      </c>
      <c r="J85" s="19">
        <f t="shared" si="17"/>
        <v>60</v>
      </c>
      <c r="K85" s="19">
        <f t="shared" si="17"/>
        <v>60</v>
      </c>
    </row>
    <row r="86" spans="1:11" s="3" customFormat="1" ht="14.1" customHeight="1" x14ac:dyDescent="0.25">
      <c r="A86" s="7" t="s">
        <v>110</v>
      </c>
      <c r="B86" s="7" t="s">
        <v>111</v>
      </c>
      <c r="C86" s="8" t="s">
        <v>112</v>
      </c>
      <c r="D86" s="9">
        <f>F86+H86+J86</f>
        <v>2745</v>
      </c>
      <c r="E86" s="9">
        <f>G86+I86+K86</f>
        <v>2520</v>
      </c>
      <c r="F86" s="10">
        <f t="shared" ref="F86:K86" si="18">SUM(F87:F89)</f>
        <v>2360</v>
      </c>
      <c r="G86" s="10">
        <f t="shared" si="18"/>
        <v>2100</v>
      </c>
      <c r="H86" s="10">
        <f t="shared" si="18"/>
        <v>0</v>
      </c>
      <c r="I86" s="10">
        <f t="shared" si="18"/>
        <v>0</v>
      </c>
      <c r="J86" s="10">
        <f t="shared" si="18"/>
        <v>385</v>
      </c>
      <c r="K86" s="10">
        <f t="shared" si="18"/>
        <v>420</v>
      </c>
    </row>
    <row r="87" spans="1:11" ht="14.1" customHeight="1" x14ac:dyDescent="0.25">
      <c r="A87" s="24"/>
      <c r="B87" s="24"/>
      <c r="C87" s="25" t="s">
        <v>113</v>
      </c>
      <c r="D87" s="26"/>
      <c r="E87" s="26"/>
      <c r="F87" s="26">
        <v>1200</v>
      </c>
      <c r="G87" s="26">
        <v>1000</v>
      </c>
      <c r="H87" s="26"/>
      <c r="I87" s="26"/>
      <c r="J87" s="26">
        <v>25</v>
      </c>
      <c r="K87" s="26">
        <v>200</v>
      </c>
    </row>
    <row r="88" spans="1:11" ht="14.1" customHeight="1" x14ac:dyDescent="0.25">
      <c r="A88" s="24"/>
      <c r="B88" s="24"/>
      <c r="C88" s="25" t="s">
        <v>114</v>
      </c>
      <c r="D88" s="26"/>
      <c r="E88" s="26"/>
      <c r="F88" s="26">
        <v>1100</v>
      </c>
      <c r="G88" s="26">
        <v>1040</v>
      </c>
      <c r="H88" s="26"/>
      <c r="I88" s="26"/>
      <c r="J88" s="26">
        <v>350</v>
      </c>
      <c r="K88" s="26">
        <v>210</v>
      </c>
    </row>
    <row r="89" spans="1:11" ht="14.1" customHeight="1" x14ac:dyDescent="0.25">
      <c r="A89" s="24"/>
      <c r="B89" s="24"/>
      <c r="C89" s="25" t="s">
        <v>115</v>
      </c>
      <c r="D89" s="26"/>
      <c r="E89" s="26"/>
      <c r="F89" s="26">
        <v>60</v>
      </c>
      <c r="G89" s="26">
        <v>60</v>
      </c>
      <c r="H89" s="26"/>
      <c r="I89" s="26"/>
      <c r="J89" s="26">
        <v>10</v>
      </c>
      <c r="K89" s="26">
        <v>10</v>
      </c>
    </row>
    <row r="90" spans="1:11" s="3" customFormat="1" ht="14.1" customHeight="1" x14ac:dyDescent="0.25">
      <c r="A90" s="7" t="s">
        <v>116</v>
      </c>
      <c r="B90" s="7" t="s">
        <v>117</v>
      </c>
      <c r="C90" s="8" t="s">
        <v>118</v>
      </c>
      <c r="D90" s="9">
        <f>F90+H90+J90</f>
        <v>0</v>
      </c>
      <c r="E90" s="9">
        <f>G90+I90+K90</f>
        <v>0</v>
      </c>
      <c r="F90" s="10">
        <v>0</v>
      </c>
      <c r="G90" s="10">
        <f>G91</f>
        <v>0</v>
      </c>
      <c r="H90" s="10">
        <v>0</v>
      </c>
      <c r="I90" s="10">
        <f>I91</f>
        <v>0</v>
      </c>
      <c r="J90" s="10">
        <f>J91</f>
        <v>0</v>
      </c>
      <c r="K90" s="10">
        <f>K91</f>
        <v>0</v>
      </c>
    </row>
    <row r="91" spans="1:11" s="3" customFormat="1" ht="14.1" customHeight="1" x14ac:dyDescent="0.25">
      <c r="A91" s="24"/>
      <c r="B91" s="24"/>
      <c r="C91" s="25"/>
      <c r="D91" s="26"/>
      <c r="E91" s="26"/>
      <c r="F91" s="26"/>
      <c r="G91" s="26"/>
      <c r="H91" s="26"/>
      <c r="I91" s="26">
        <v>0</v>
      </c>
      <c r="J91" s="26"/>
      <c r="K91" s="26"/>
    </row>
    <row r="92" spans="1:11" s="3" customFormat="1" ht="14.1" customHeight="1" x14ac:dyDescent="0.25">
      <c r="A92" s="7" t="s">
        <v>119</v>
      </c>
      <c r="B92" s="7" t="s">
        <v>120</v>
      </c>
      <c r="C92" s="8" t="s">
        <v>121</v>
      </c>
      <c r="D92" s="9">
        <f>F92+H92+J92</f>
        <v>2030</v>
      </c>
      <c r="E92" s="9">
        <f>G92+I92+K92</f>
        <v>2200</v>
      </c>
      <c r="F92" s="10">
        <f t="shared" ref="F92:K92" si="19">SUM(F93:F94)</f>
        <v>0</v>
      </c>
      <c r="G92" s="10">
        <f t="shared" si="19"/>
        <v>200</v>
      </c>
      <c r="H92" s="10">
        <f t="shared" si="19"/>
        <v>0</v>
      </c>
      <c r="I92" s="10">
        <f t="shared" si="19"/>
        <v>0</v>
      </c>
      <c r="J92" s="10">
        <f t="shared" si="19"/>
        <v>2030</v>
      </c>
      <c r="K92" s="10">
        <f t="shared" si="19"/>
        <v>2000</v>
      </c>
    </row>
    <row r="93" spans="1:11" ht="14.1" customHeight="1" x14ac:dyDescent="0.25">
      <c r="A93" s="24"/>
      <c r="B93" s="24"/>
      <c r="C93" s="25" t="s">
        <v>122</v>
      </c>
      <c r="D93" s="26"/>
      <c r="E93" s="26"/>
      <c r="F93" s="26"/>
      <c r="G93" s="26"/>
      <c r="H93" s="26"/>
      <c r="I93" s="26"/>
      <c r="J93" s="26"/>
      <c r="K93" s="26"/>
    </row>
    <row r="94" spans="1:11" ht="14.1" customHeight="1" x14ac:dyDescent="0.25">
      <c r="A94" s="24"/>
      <c r="B94" s="24"/>
      <c r="C94" s="25" t="s">
        <v>123</v>
      </c>
      <c r="D94" s="26"/>
      <c r="E94" s="26"/>
      <c r="F94" s="26"/>
      <c r="G94" s="26">
        <v>200</v>
      </c>
      <c r="H94" s="26"/>
      <c r="I94" s="26"/>
      <c r="J94" s="26">
        <v>2030</v>
      </c>
      <c r="K94" s="26">
        <v>2000</v>
      </c>
    </row>
    <row r="95" spans="1:11" s="3" customFormat="1" ht="14.1" customHeight="1" x14ac:dyDescent="0.25">
      <c r="A95" s="7" t="s">
        <v>124</v>
      </c>
      <c r="B95" s="7" t="s">
        <v>125</v>
      </c>
      <c r="C95" s="8" t="s">
        <v>126</v>
      </c>
      <c r="D95" s="9">
        <f>F95+H95+J95</f>
        <v>875</v>
      </c>
      <c r="E95" s="9">
        <f>G95+I95+K95</f>
        <v>1366</v>
      </c>
      <c r="F95" s="10">
        <v>875</v>
      </c>
      <c r="G95" s="10">
        <f>762+114+290+200</f>
        <v>1366</v>
      </c>
      <c r="H95" s="10">
        <v>0</v>
      </c>
      <c r="I95" s="10">
        <v>0</v>
      </c>
      <c r="J95" s="10">
        <v>0</v>
      </c>
      <c r="K95" s="10">
        <v>0</v>
      </c>
    </row>
    <row r="96" spans="1:11" s="3" customFormat="1" ht="14.1" customHeight="1" x14ac:dyDescent="0.25">
      <c r="A96" s="7" t="s">
        <v>127</v>
      </c>
      <c r="B96" s="7" t="s">
        <v>128</v>
      </c>
      <c r="C96" s="8" t="s">
        <v>129</v>
      </c>
      <c r="D96" s="9">
        <f>F96+H96+J96</f>
        <v>200</v>
      </c>
      <c r="E96" s="9">
        <f>G96+I96+K96</f>
        <v>200</v>
      </c>
      <c r="F96" s="10">
        <f>SUM(F97:F98)</f>
        <v>200</v>
      </c>
      <c r="G96" s="10">
        <f>SUM(G97:G98)</f>
        <v>200</v>
      </c>
      <c r="H96" s="10">
        <v>0</v>
      </c>
      <c r="I96" s="10">
        <f>SUM(I97:I98)</f>
        <v>0</v>
      </c>
      <c r="J96" s="10">
        <f>SUM(J97:J98)</f>
        <v>0</v>
      </c>
      <c r="K96" s="10">
        <f>SUM(K97:K98)</f>
        <v>0</v>
      </c>
    </row>
    <row r="97" spans="1:11" ht="14.1" customHeight="1" x14ac:dyDescent="0.25">
      <c r="A97" s="24"/>
      <c r="B97" s="24"/>
      <c r="C97" s="25" t="s">
        <v>130</v>
      </c>
      <c r="D97" s="26"/>
      <c r="E97" s="26"/>
      <c r="F97" s="26">
        <v>200</v>
      </c>
      <c r="G97" s="26">
        <v>200</v>
      </c>
      <c r="H97" s="26"/>
      <c r="I97" s="26"/>
      <c r="J97" s="26"/>
      <c r="K97" s="26"/>
    </row>
    <row r="98" spans="1:11" ht="14.1" customHeight="1" x14ac:dyDescent="0.25">
      <c r="A98" s="24"/>
      <c r="B98" s="24"/>
      <c r="C98" s="25" t="s">
        <v>131</v>
      </c>
      <c r="D98" s="26"/>
      <c r="E98" s="26"/>
      <c r="F98" s="26"/>
      <c r="G98" s="26"/>
      <c r="H98" s="26"/>
      <c r="I98" s="26"/>
      <c r="J98" s="26"/>
      <c r="K98" s="26"/>
    </row>
    <row r="99" spans="1:11" s="3" customFormat="1" ht="14.1" customHeight="1" x14ac:dyDescent="0.25">
      <c r="A99" s="7" t="s">
        <v>132</v>
      </c>
      <c r="B99" s="7" t="s">
        <v>133</v>
      </c>
      <c r="C99" s="8" t="s">
        <v>134</v>
      </c>
      <c r="D99" s="9">
        <f>F99+H99+J99</f>
        <v>230</v>
      </c>
      <c r="E99" s="9">
        <f>G99+I99+K99</f>
        <v>1815</v>
      </c>
      <c r="F99" s="10">
        <f t="shared" ref="F99:K99" si="20">SUM(F100:F102)</f>
        <v>200</v>
      </c>
      <c r="G99" s="10">
        <f t="shared" si="20"/>
        <v>1815</v>
      </c>
      <c r="H99" s="10">
        <f t="shared" si="20"/>
        <v>0</v>
      </c>
      <c r="I99" s="10">
        <f t="shared" si="20"/>
        <v>0</v>
      </c>
      <c r="J99" s="10">
        <f t="shared" si="20"/>
        <v>30</v>
      </c>
      <c r="K99" s="10">
        <f t="shared" si="20"/>
        <v>0</v>
      </c>
    </row>
    <row r="100" spans="1:11" ht="14.1" customHeight="1" x14ac:dyDescent="0.25">
      <c r="A100" s="24"/>
      <c r="B100" s="24"/>
      <c r="C100" s="25" t="s">
        <v>135</v>
      </c>
      <c r="D100" s="26"/>
      <c r="E100" s="26"/>
      <c r="F100" s="26">
        <v>0</v>
      </c>
      <c r="G100" s="26"/>
      <c r="H100" s="26">
        <v>0</v>
      </c>
      <c r="I100" s="26">
        <v>0</v>
      </c>
      <c r="J100" s="26"/>
      <c r="K100" s="26"/>
    </row>
    <row r="101" spans="1:11" ht="14.1" customHeight="1" x14ac:dyDescent="0.25">
      <c r="A101" s="24"/>
      <c r="B101" s="24"/>
      <c r="C101" s="25" t="s">
        <v>136</v>
      </c>
      <c r="D101" s="26"/>
      <c r="E101" s="26"/>
      <c r="F101" s="26">
        <v>0</v>
      </c>
      <c r="G101" s="26"/>
      <c r="H101" s="26">
        <v>0</v>
      </c>
      <c r="I101" s="26">
        <v>0</v>
      </c>
      <c r="J101" s="26"/>
      <c r="K101" s="26"/>
    </row>
    <row r="102" spans="1:11" ht="14.1" customHeight="1" x14ac:dyDescent="0.25">
      <c r="A102" s="24"/>
      <c r="B102" s="24"/>
      <c r="C102" s="25" t="s">
        <v>137</v>
      </c>
      <c r="D102" s="26"/>
      <c r="E102" s="26"/>
      <c r="F102" s="26">
        <v>200</v>
      </c>
      <c r="G102" s="26">
        <f>200+40+1575</f>
        <v>1815</v>
      </c>
      <c r="H102" s="26">
        <v>0</v>
      </c>
      <c r="I102" s="26">
        <v>0</v>
      </c>
      <c r="J102" s="26">
        <v>30</v>
      </c>
      <c r="K102" s="26"/>
    </row>
    <row r="103" spans="1:11" s="3" customFormat="1" ht="14.1" customHeight="1" x14ac:dyDescent="0.25">
      <c r="A103" s="7" t="s">
        <v>138</v>
      </c>
      <c r="B103" s="7" t="s">
        <v>139</v>
      </c>
      <c r="C103" s="8" t="s">
        <v>140</v>
      </c>
      <c r="D103" s="9">
        <f>F103+H103+J103</f>
        <v>1880</v>
      </c>
      <c r="E103" s="9">
        <f>G103+I103+K103</f>
        <v>1950</v>
      </c>
      <c r="F103" s="10">
        <f t="shared" ref="F103:K103" si="21">SUM(F104:F107)</f>
        <v>1830</v>
      </c>
      <c r="G103" s="10">
        <f t="shared" si="21"/>
        <v>1900</v>
      </c>
      <c r="H103" s="10">
        <f t="shared" si="21"/>
        <v>0</v>
      </c>
      <c r="I103" s="10">
        <f t="shared" si="21"/>
        <v>0</v>
      </c>
      <c r="J103" s="10">
        <f t="shared" si="21"/>
        <v>50</v>
      </c>
      <c r="K103" s="10">
        <f t="shared" si="21"/>
        <v>50</v>
      </c>
    </row>
    <row r="104" spans="1:11" ht="14.1" customHeight="1" x14ac:dyDescent="0.25">
      <c r="A104" s="24"/>
      <c r="B104" s="24"/>
      <c r="C104" s="25" t="s">
        <v>141</v>
      </c>
      <c r="D104" s="26"/>
      <c r="E104" s="26"/>
      <c r="F104" s="26">
        <v>0</v>
      </c>
      <c r="G104" s="26"/>
      <c r="H104" s="26"/>
      <c r="I104" s="26"/>
      <c r="J104" s="26"/>
      <c r="K104" s="26"/>
    </row>
    <row r="105" spans="1:11" ht="14.1" customHeight="1" x14ac:dyDescent="0.25">
      <c r="A105" s="24"/>
      <c r="B105" s="24"/>
      <c r="C105" s="25" t="s">
        <v>142</v>
      </c>
      <c r="D105" s="26"/>
      <c r="E105" s="26"/>
      <c r="F105" s="26">
        <v>70</v>
      </c>
      <c r="G105" s="26"/>
      <c r="H105" s="26"/>
      <c r="I105" s="26"/>
      <c r="J105" s="26"/>
      <c r="K105" s="26"/>
    </row>
    <row r="106" spans="1:11" ht="14.1" customHeight="1" x14ac:dyDescent="0.25">
      <c r="A106" s="24"/>
      <c r="B106" s="24"/>
      <c r="C106" s="25" t="s">
        <v>143</v>
      </c>
      <c r="D106" s="26"/>
      <c r="E106" s="26"/>
      <c r="F106" s="26">
        <v>0</v>
      </c>
      <c r="G106" s="26">
        <v>100</v>
      </c>
      <c r="H106" s="26"/>
      <c r="I106" s="26"/>
      <c r="J106" s="26"/>
      <c r="K106" s="26"/>
    </row>
    <row r="107" spans="1:11" ht="14.1" customHeight="1" x14ac:dyDescent="0.25">
      <c r="A107" s="24"/>
      <c r="B107" s="24"/>
      <c r="C107" s="25" t="s">
        <v>144</v>
      </c>
      <c r="D107" s="26"/>
      <c r="E107" s="26"/>
      <c r="F107" s="26">
        <v>1760</v>
      </c>
      <c r="G107" s="26">
        <f>1800</f>
        <v>1800</v>
      </c>
      <c r="H107" s="26"/>
      <c r="I107" s="26"/>
      <c r="J107" s="26">
        <v>50</v>
      </c>
      <c r="K107" s="26">
        <v>50</v>
      </c>
    </row>
    <row r="108" spans="1:11" s="3" customFormat="1" ht="14.1" customHeight="1" x14ac:dyDescent="0.25">
      <c r="A108" s="16" t="s">
        <v>145</v>
      </c>
      <c r="B108" s="16" t="s">
        <v>146</v>
      </c>
      <c r="C108" s="17" t="s">
        <v>147</v>
      </c>
      <c r="D108" s="19">
        <f>D86+D90+D92+D95+D96+D99+D103</f>
        <v>7960</v>
      </c>
      <c r="E108" s="19">
        <f t="shared" ref="E108:K108" si="22">E86+E90+E92+E95+E96+E99+E103</f>
        <v>10051</v>
      </c>
      <c r="F108" s="19">
        <f t="shared" si="22"/>
        <v>5465</v>
      </c>
      <c r="G108" s="19">
        <f t="shared" si="22"/>
        <v>7581</v>
      </c>
      <c r="H108" s="19">
        <f t="shared" si="22"/>
        <v>0</v>
      </c>
      <c r="I108" s="19">
        <f t="shared" si="22"/>
        <v>0</v>
      </c>
      <c r="J108" s="19">
        <f t="shared" si="22"/>
        <v>2495</v>
      </c>
      <c r="K108" s="19">
        <f t="shared" si="22"/>
        <v>2470</v>
      </c>
    </row>
    <row r="109" spans="1:11" s="3" customFormat="1" ht="14.1" customHeight="1" x14ac:dyDescent="0.25">
      <c r="A109" s="7" t="s">
        <v>148</v>
      </c>
      <c r="B109" s="7" t="s">
        <v>149</v>
      </c>
      <c r="C109" s="8" t="s">
        <v>150</v>
      </c>
      <c r="D109" s="9">
        <f>F109+H109+J109</f>
        <v>50</v>
      </c>
      <c r="E109" s="9">
        <f>G109+I109+K109</f>
        <v>50</v>
      </c>
      <c r="F109" s="10">
        <f t="shared" ref="F109:K109" si="23">SUM(F110:F111)</f>
        <v>50</v>
      </c>
      <c r="G109" s="10">
        <f t="shared" si="23"/>
        <v>50</v>
      </c>
      <c r="H109" s="10">
        <f t="shared" si="23"/>
        <v>0</v>
      </c>
      <c r="I109" s="10">
        <f t="shared" si="23"/>
        <v>0</v>
      </c>
      <c r="J109" s="10">
        <f t="shared" si="23"/>
        <v>0</v>
      </c>
      <c r="K109" s="10">
        <f t="shared" si="23"/>
        <v>0</v>
      </c>
    </row>
    <row r="110" spans="1:11" ht="14.1" customHeight="1" x14ac:dyDescent="0.25">
      <c r="A110" s="24"/>
      <c r="B110" s="24"/>
      <c r="C110" s="25" t="s">
        <v>151</v>
      </c>
      <c r="D110" s="26"/>
      <c r="E110" s="26"/>
      <c r="F110" s="26">
        <v>50</v>
      </c>
      <c r="G110" s="26">
        <v>50</v>
      </c>
      <c r="H110" s="26"/>
      <c r="I110" s="26"/>
      <c r="J110" s="26"/>
      <c r="K110" s="26"/>
    </row>
    <row r="111" spans="1:11" ht="14.1" customHeight="1" x14ac:dyDescent="0.25">
      <c r="A111" s="24"/>
      <c r="B111" s="24"/>
      <c r="C111" s="25" t="s">
        <v>152</v>
      </c>
      <c r="D111" s="26"/>
      <c r="E111" s="26"/>
      <c r="F111" s="26"/>
      <c r="G111" s="26"/>
      <c r="H111" s="26"/>
      <c r="I111" s="26"/>
      <c r="J111" s="26"/>
      <c r="K111" s="26"/>
    </row>
    <row r="112" spans="1:11" s="3" customFormat="1" ht="14.1" customHeight="1" x14ac:dyDescent="0.25">
      <c r="A112" s="7" t="s">
        <v>153</v>
      </c>
      <c r="B112" s="7" t="s">
        <v>154</v>
      </c>
      <c r="C112" s="8" t="s">
        <v>155</v>
      </c>
      <c r="D112" s="9">
        <f>F112+H112+J112</f>
        <v>60</v>
      </c>
      <c r="E112" s="9">
        <f>G112+I112+K112</f>
        <v>60</v>
      </c>
      <c r="F112" s="10">
        <v>30</v>
      </c>
      <c r="G112" s="10">
        <v>30</v>
      </c>
      <c r="H112" s="10">
        <v>0</v>
      </c>
      <c r="I112" s="10">
        <v>0</v>
      </c>
      <c r="J112" s="10">
        <v>30</v>
      </c>
      <c r="K112" s="10">
        <v>30</v>
      </c>
    </row>
    <row r="113" spans="1:11" s="3" customFormat="1" ht="14.1" customHeight="1" x14ac:dyDescent="0.25">
      <c r="A113" s="16" t="s">
        <v>156</v>
      </c>
      <c r="B113" s="16" t="s">
        <v>157</v>
      </c>
      <c r="C113" s="17" t="s">
        <v>158</v>
      </c>
      <c r="D113" s="19">
        <f>D109+D112</f>
        <v>110</v>
      </c>
      <c r="E113" s="19">
        <f t="shared" ref="E113:K113" si="24">E109+E112</f>
        <v>110</v>
      </c>
      <c r="F113" s="19">
        <f t="shared" si="24"/>
        <v>80</v>
      </c>
      <c r="G113" s="19">
        <f t="shared" si="24"/>
        <v>80</v>
      </c>
      <c r="H113" s="19">
        <f t="shared" si="24"/>
        <v>0</v>
      </c>
      <c r="I113" s="19">
        <f t="shared" si="24"/>
        <v>0</v>
      </c>
      <c r="J113" s="19">
        <f t="shared" si="24"/>
        <v>30</v>
      </c>
      <c r="K113" s="19">
        <f t="shared" si="24"/>
        <v>30</v>
      </c>
    </row>
    <row r="114" spans="1:11" s="3" customFormat="1" ht="14.1" customHeight="1" x14ac:dyDescent="0.25">
      <c r="A114" s="7" t="s">
        <v>159</v>
      </c>
      <c r="B114" s="7" t="s">
        <v>160</v>
      </c>
      <c r="C114" s="8" t="s">
        <v>161</v>
      </c>
      <c r="D114" s="9">
        <f>F114+H114+J114</f>
        <v>1924</v>
      </c>
      <c r="E114" s="9">
        <f>G114+I114+K114</f>
        <v>2525</v>
      </c>
      <c r="F114" s="10">
        <f t="shared" ref="F114:K114" si="25">SUM(F115:F116)</f>
        <v>1773</v>
      </c>
      <c r="G114" s="10">
        <f t="shared" si="25"/>
        <v>2363</v>
      </c>
      <c r="H114" s="10">
        <f t="shared" si="25"/>
        <v>151</v>
      </c>
      <c r="I114" s="10">
        <f t="shared" si="25"/>
        <v>162</v>
      </c>
      <c r="J114" s="10">
        <f t="shared" si="25"/>
        <v>0</v>
      </c>
      <c r="K114" s="10">
        <f t="shared" si="25"/>
        <v>0</v>
      </c>
    </row>
    <row r="115" spans="1:11" ht="14.1" customHeight="1" x14ac:dyDescent="0.25">
      <c r="A115" s="24"/>
      <c r="B115" s="24"/>
      <c r="C115" s="25" t="s">
        <v>162</v>
      </c>
      <c r="D115" s="26"/>
      <c r="E115" s="26"/>
      <c r="F115" s="26"/>
      <c r="G115" s="26"/>
      <c r="H115" s="26"/>
      <c r="I115" s="26"/>
      <c r="J115" s="26"/>
      <c r="K115" s="26"/>
    </row>
    <row r="116" spans="1:11" ht="14.1" customHeight="1" x14ac:dyDescent="0.25">
      <c r="A116" s="24"/>
      <c r="B116" s="24"/>
      <c r="C116" s="25" t="s">
        <v>163</v>
      </c>
      <c r="D116" s="26"/>
      <c r="E116" s="26"/>
      <c r="F116" s="26">
        <v>1773</v>
      </c>
      <c r="G116" s="26">
        <f>ROUND((G74+G85+G108+G112)*0.27,0)</f>
        <v>2363</v>
      </c>
      <c r="H116" s="26">
        <v>151</v>
      </c>
      <c r="I116" s="26">
        <f>ROUND((I74+I85+I108+I112)*0.27,0)</f>
        <v>162</v>
      </c>
      <c r="J116" s="26"/>
      <c r="K116" s="26"/>
    </row>
    <row r="117" spans="1:11" s="3" customFormat="1" ht="14.1" customHeight="1" x14ac:dyDescent="0.25">
      <c r="A117" s="7" t="s">
        <v>164</v>
      </c>
      <c r="B117" s="7" t="s">
        <v>165</v>
      </c>
      <c r="C117" s="8" t="s">
        <v>166</v>
      </c>
      <c r="D117" s="9">
        <f>F117+H117+J117</f>
        <v>0</v>
      </c>
      <c r="E117" s="9">
        <f>G117+I117+K117</f>
        <v>0</v>
      </c>
      <c r="F117" s="10">
        <f t="shared" ref="F117:K117" si="26">SUM(F118:F120)</f>
        <v>0</v>
      </c>
      <c r="G117" s="10">
        <f t="shared" si="26"/>
        <v>0</v>
      </c>
      <c r="H117" s="10">
        <f t="shared" si="26"/>
        <v>0</v>
      </c>
      <c r="I117" s="10">
        <f t="shared" si="26"/>
        <v>0</v>
      </c>
      <c r="J117" s="10">
        <f t="shared" si="26"/>
        <v>0</v>
      </c>
      <c r="K117" s="10">
        <f t="shared" si="26"/>
        <v>0</v>
      </c>
    </row>
    <row r="118" spans="1:11" ht="14.1" customHeight="1" x14ac:dyDescent="0.25">
      <c r="A118" s="24"/>
      <c r="B118" s="24"/>
      <c r="C118" s="25" t="s">
        <v>167</v>
      </c>
      <c r="D118" s="26"/>
      <c r="E118" s="26"/>
      <c r="F118" s="26"/>
      <c r="G118" s="26"/>
      <c r="H118" s="26"/>
      <c r="I118" s="26"/>
      <c r="J118" s="26"/>
      <c r="K118" s="26"/>
    </row>
    <row r="119" spans="1:11" ht="14.1" customHeight="1" x14ac:dyDescent="0.25">
      <c r="A119" s="24"/>
      <c r="B119" s="24"/>
      <c r="C119" s="25" t="s">
        <v>168</v>
      </c>
      <c r="D119" s="26"/>
      <c r="E119" s="26"/>
      <c r="F119" s="26"/>
      <c r="G119" s="26"/>
      <c r="H119" s="26"/>
      <c r="I119" s="26"/>
      <c r="J119" s="26"/>
      <c r="K119" s="26"/>
    </row>
    <row r="120" spans="1:11" ht="14.1" customHeight="1" x14ac:dyDescent="0.25">
      <c r="A120" s="24"/>
      <c r="B120" s="24"/>
      <c r="C120" s="25" t="s">
        <v>169</v>
      </c>
      <c r="D120" s="26"/>
      <c r="E120" s="26"/>
      <c r="F120" s="26"/>
      <c r="G120" s="26"/>
      <c r="H120" s="26"/>
      <c r="I120" s="26"/>
      <c r="J120" s="26"/>
      <c r="K120" s="26"/>
    </row>
    <row r="121" spans="1:11" s="3" customFormat="1" ht="14.1" customHeight="1" x14ac:dyDescent="0.25">
      <c r="A121" s="7" t="s">
        <v>170</v>
      </c>
      <c r="B121" s="7" t="s">
        <v>171</v>
      </c>
      <c r="C121" s="8" t="s">
        <v>172</v>
      </c>
      <c r="D121" s="9">
        <f>F121+H121+J121</f>
        <v>0</v>
      </c>
      <c r="E121" s="9">
        <f>G121+I121+K121</f>
        <v>0</v>
      </c>
      <c r="F121" s="10">
        <f t="shared" ref="F121:K121" si="27">SUM(F122:F125)</f>
        <v>0</v>
      </c>
      <c r="G121" s="10">
        <f t="shared" si="27"/>
        <v>0</v>
      </c>
      <c r="H121" s="10">
        <f t="shared" si="27"/>
        <v>0</v>
      </c>
      <c r="I121" s="10">
        <f t="shared" si="27"/>
        <v>0</v>
      </c>
      <c r="J121" s="10">
        <f t="shared" si="27"/>
        <v>0</v>
      </c>
      <c r="K121" s="10">
        <f t="shared" si="27"/>
        <v>0</v>
      </c>
    </row>
    <row r="122" spans="1:11" ht="14.1" customHeight="1" x14ac:dyDescent="0.25">
      <c r="A122" s="24"/>
      <c r="B122" s="24"/>
      <c r="C122" s="25" t="s">
        <v>173</v>
      </c>
      <c r="D122" s="26"/>
      <c r="E122" s="26"/>
      <c r="F122" s="26"/>
      <c r="G122" s="26"/>
      <c r="H122" s="26"/>
      <c r="I122" s="26"/>
      <c r="J122" s="26"/>
      <c r="K122" s="26"/>
    </row>
    <row r="123" spans="1:11" ht="14.1" customHeight="1" x14ac:dyDescent="0.25">
      <c r="A123" s="24"/>
      <c r="B123" s="24"/>
      <c r="C123" s="25" t="s">
        <v>174</v>
      </c>
      <c r="D123" s="26"/>
      <c r="E123" s="26"/>
      <c r="F123" s="26"/>
      <c r="G123" s="26"/>
      <c r="H123" s="26"/>
      <c r="I123" s="26"/>
      <c r="J123" s="26"/>
      <c r="K123" s="26"/>
    </row>
    <row r="124" spans="1:11" ht="14.1" customHeight="1" x14ac:dyDescent="0.25">
      <c r="A124" s="24"/>
      <c r="B124" s="24"/>
      <c r="C124" s="25" t="s">
        <v>175</v>
      </c>
      <c r="D124" s="26"/>
      <c r="E124" s="26"/>
      <c r="F124" s="26"/>
      <c r="G124" s="26"/>
      <c r="H124" s="26"/>
      <c r="I124" s="26"/>
      <c r="J124" s="26"/>
      <c r="K124" s="26"/>
    </row>
    <row r="125" spans="1:11" ht="14.1" customHeight="1" x14ac:dyDescent="0.25">
      <c r="A125" s="24"/>
      <c r="B125" s="24"/>
      <c r="C125" s="25" t="s">
        <v>176</v>
      </c>
      <c r="D125" s="26"/>
      <c r="E125" s="26"/>
      <c r="F125" s="26"/>
      <c r="G125" s="26"/>
      <c r="H125" s="26"/>
      <c r="I125" s="26"/>
      <c r="J125" s="26"/>
      <c r="K125" s="26"/>
    </row>
    <row r="126" spans="1:11" s="3" customFormat="1" ht="14.1" customHeight="1" x14ac:dyDescent="0.25">
      <c r="A126" s="7" t="s">
        <v>177</v>
      </c>
      <c r="B126" s="7" t="s">
        <v>178</v>
      </c>
      <c r="C126" s="8" t="s">
        <v>179</v>
      </c>
      <c r="D126" s="9">
        <f>F126+H126+J126</f>
        <v>0</v>
      </c>
      <c r="E126" s="9">
        <f>G126+I126+K126</f>
        <v>0</v>
      </c>
      <c r="F126" s="10">
        <f t="shared" ref="F126:K126" si="28">SUM(F127:F128)</f>
        <v>0</v>
      </c>
      <c r="G126" s="10">
        <f t="shared" si="28"/>
        <v>0</v>
      </c>
      <c r="H126" s="10">
        <f t="shared" si="28"/>
        <v>0</v>
      </c>
      <c r="I126" s="10">
        <f t="shared" si="28"/>
        <v>0</v>
      </c>
      <c r="J126" s="10">
        <f t="shared" si="28"/>
        <v>0</v>
      </c>
      <c r="K126" s="10">
        <f t="shared" si="28"/>
        <v>0</v>
      </c>
    </row>
    <row r="127" spans="1:11" ht="14.1" customHeight="1" x14ac:dyDescent="0.25">
      <c r="A127" s="24"/>
      <c r="B127" s="24"/>
      <c r="C127" s="25" t="s">
        <v>180</v>
      </c>
      <c r="D127" s="26"/>
      <c r="E127" s="26"/>
      <c r="F127" s="26"/>
      <c r="G127" s="26"/>
      <c r="H127" s="26"/>
      <c r="I127" s="26"/>
      <c r="J127" s="26"/>
      <c r="K127" s="26"/>
    </row>
    <row r="128" spans="1:11" ht="14.1" customHeight="1" x14ac:dyDescent="0.25">
      <c r="A128" s="24"/>
      <c r="B128" s="24"/>
      <c r="C128" s="25" t="s">
        <v>181</v>
      </c>
      <c r="D128" s="26"/>
      <c r="E128" s="26"/>
      <c r="F128" s="26"/>
      <c r="G128" s="26"/>
      <c r="H128" s="26"/>
      <c r="I128" s="26"/>
      <c r="J128" s="26"/>
      <c r="K128" s="26"/>
    </row>
    <row r="129" spans="1:254" s="3" customFormat="1" ht="14.1" customHeight="1" x14ac:dyDescent="0.25">
      <c r="A129" s="7" t="s">
        <v>182</v>
      </c>
      <c r="B129" s="7" t="s">
        <v>183</v>
      </c>
      <c r="C129" s="8" t="s">
        <v>184</v>
      </c>
      <c r="D129" s="9">
        <f>F129+H129+J129</f>
        <v>20</v>
      </c>
      <c r="E129" s="9">
        <f>G129+I129+K129</f>
        <v>100</v>
      </c>
      <c r="F129" s="10">
        <f t="shared" ref="F129:K129" si="29">SUM(F130:F133)</f>
        <v>15</v>
      </c>
      <c r="G129" s="10">
        <f t="shared" si="29"/>
        <v>100</v>
      </c>
      <c r="H129" s="10">
        <f t="shared" si="29"/>
        <v>0</v>
      </c>
      <c r="I129" s="10">
        <f t="shared" si="29"/>
        <v>0</v>
      </c>
      <c r="J129" s="10">
        <f t="shared" si="29"/>
        <v>5</v>
      </c>
      <c r="K129" s="10">
        <f t="shared" si="29"/>
        <v>0</v>
      </c>
    </row>
    <row r="130" spans="1:254" ht="14.1" customHeight="1" x14ac:dyDescent="0.25">
      <c r="A130" s="24"/>
      <c r="B130" s="24"/>
      <c r="C130" s="25" t="s">
        <v>185</v>
      </c>
      <c r="D130" s="26"/>
      <c r="E130" s="26"/>
      <c r="F130" s="26"/>
      <c r="G130" s="26"/>
      <c r="H130" s="26"/>
      <c r="I130" s="26"/>
      <c r="J130" s="26"/>
      <c r="K130" s="26"/>
    </row>
    <row r="131" spans="1:254" ht="14.1" customHeight="1" x14ac:dyDescent="0.25">
      <c r="A131" s="24"/>
      <c r="B131" s="24"/>
      <c r="C131" s="25" t="s">
        <v>186</v>
      </c>
      <c r="D131" s="26"/>
      <c r="E131" s="26"/>
      <c r="F131" s="26"/>
      <c r="G131" s="26"/>
      <c r="H131" s="26"/>
      <c r="I131" s="26"/>
      <c r="J131" s="26"/>
      <c r="K131" s="26"/>
    </row>
    <row r="132" spans="1:254" ht="14.1" customHeight="1" x14ac:dyDescent="0.25">
      <c r="A132" s="24"/>
      <c r="B132" s="24"/>
      <c r="C132" s="25" t="s">
        <v>187</v>
      </c>
      <c r="D132" s="26"/>
      <c r="E132" s="26"/>
      <c r="F132" s="26"/>
      <c r="G132" s="26"/>
      <c r="H132" s="26"/>
      <c r="I132" s="26"/>
      <c r="J132" s="26"/>
      <c r="K132" s="26"/>
    </row>
    <row r="133" spans="1:254" ht="14.1" customHeight="1" x14ac:dyDescent="0.25">
      <c r="A133" s="24"/>
      <c r="B133" s="24"/>
      <c r="C133" s="25" t="s">
        <v>188</v>
      </c>
      <c r="D133" s="26"/>
      <c r="E133" s="26"/>
      <c r="F133" s="26">
        <v>15</v>
      </c>
      <c r="G133" s="26">
        <v>100</v>
      </c>
      <c r="H133" s="26"/>
      <c r="I133" s="26"/>
      <c r="J133" s="26">
        <v>5</v>
      </c>
      <c r="K133" s="26"/>
    </row>
    <row r="134" spans="1:254" s="3" customFormat="1" ht="14.1" customHeight="1" x14ac:dyDescent="0.25">
      <c r="A134" s="16" t="s">
        <v>189</v>
      </c>
      <c r="B134" s="16" t="s">
        <v>190</v>
      </c>
      <c r="C134" s="17" t="s">
        <v>191</v>
      </c>
      <c r="D134" s="19">
        <f>D114+D117+D121+D126+D129</f>
        <v>1944</v>
      </c>
      <c r="E134" s="19">
        <f t="shared" ref="E134:K134" si="30">E114+E117+E121+E126+E129</f>
        <v>2625</v>
      </c>
      <c r="F134" s="19">
        <f t="shared" si="30"/>
        <v>1788</v>
      </c>
      <c r="G134" s="19">
        <f t="shared" si="30"/>
        <v>2463</v>
      </c>
      <c r="H134" s="19">
        <f t="shared" si="30"/>
        <v>151</v>
      </c>
      <c r="I134" s="19">
        <f t="shared" si="30"/>
        <v>162</v>
      </c>
      <c r="J134" s="19">
        <f t="shared" si="30"/>
        <v>5</v>
      </c>
      <c r="K134" s="19">
        <f t="shared" si="30"/>
        <v>0</v>
      </c>
    </row>
    <row r="135" spans="1:254" s="3" customFormat="1" ht="14.1" customHeight="1" x14ac:dyDescent="0.25">
      <c r="A135" s="20" t="s">
        <v>192</v>
      </c>
      <c r="B135" s="20" t="s">
        <v>193</v>
      </c>
      <c r="C135" s="21" t="s">
        <v>292</v>
      </c>
      <c r="D135" s="23">
        <f>D74+D85+D108+D113+D134</f>
        <v>13167</v>
      </c>
      <c r="E135" s="23">
        <f t="shared" ref="E135:K135" si="31">E74+E85+E108+E113+E134</f>
        <v>14606</v>
      </c>
      <c r="F135" s="23">
        <f t="shared" si="31"/>
        <v>8406</v>
      </c>
      <c r="G135" s="23">
        <f t="shared" si="31"/>
        <v>11264</v>
      </c>
      <c r="H135" s="23">
        <f t="shared" si="31"/>
        <v>2151</v>
      </c>
      <c r="I135" s="23">
        <f t="shared" si="31"/>
        <v>762</v>
      </c>
      <c r="J135" s="23">
        <f t="shared" si="31"/>
        <v>2610</v>
      </c>
      <c r="K135" s="23">
        <f t="shared" si="31"/>
        <v>2580</v>
      </c>
    </row>
    <row r="136" spans="1:254" ht="14.1" customHeight="1" x14ac:dyDescent="0.2">
      <c r="A136" s="977" t="s">
        <v>291</v>
      </c>
      <c r="B136" s="978"/>
      <c r="C136" s="979"/>
      <c r="D136" s="28">
        <f>D51+D135</f>
        <v>27915</v>
      </c>
      <c r="E136" s="28">
        <f t="shared" ref="E136:K136" si="32">E51+E135</f>
        <v>27157</v>
      </c>
      <c r="F136" s="28">
        <f t="shared" si="32"/>
        <v>19820</v>
      </c>
      <c r="G136" s="28">
        <f t="shared" si="32"/>
        <v>22988</v>
      </c>
      <c r="H136" s="28">
        <f t="shared" si="32"/>
        <v>2151</v>
      </c>
      <c r="I136" s="28">
        <f t="shared" si="32"/>
        <v>762</v>
      </c>
      <c r="J136" s="28">
        <f t="shared" si="32"/>
        <v>5944</v>
      </c>
      <c r="K136" s="28">
        <f t="shared" si="32"/>
        <v>3407</v>
      </c>
      <c r="L136" s="27"/>
      <c r="M136" s="27"/>
      <c r="N136" s="27"/>
      <c r="O136" s="27"/>
      <c r="P136" s="27"/>
      <c r="Q136" s="27"/>
      <c r="R136" s="27"/>
      <c r="S136" s="27"/>
      <c r="T136" s="27"/>
      <c r="U136" s="27"/>
      <c r="V136" s="27"/>
      <c r="W136" s="27"/>
      <c r="X136" s="27"/>
      <c r="Y136" s="27"/>
      <c r="Z136" s="27"/>
      <c r="AA136" s="27"/>
      <c r="AB136" s="27"/>
      <c r="AC136" s="27"/>
      <c r="AD136" s="27"/>
      <c r="AE136" s="27"/>
      <c r="AF136" s="27"/>
      <c r="AG136" s="27"/>
      <c r="AH136" s="27"/>
      <c r="AI136" s="27"/>
      <c r="AJ136" s="27"/>
      <c r="AK136" s="27"/>
      <c r="AL136" s="27"/>
      <c r="AM136" s="27"/>
      <c r="AN136" s="27"/>
      <c r="AO136" s="27"/>
      <c r="AP136" s="27"/>
      <c r="AQ136" s="27"/>
      <c r="AR136" s="27"/>
      <c r="AS136" s="27"/>
      <c r="AT136" s="27"/>
      <c r="AU136" s="27"/>
      <c r="AV136" s="27"/>
      <c r="AW136" s="27"/>
      <c r="AX136" s="27"/>
      <c r="AY136" s="27"/>
      <c r="AZ136" s="27"/>
      <c r="BA136" s="27"/>
      <c r="BB136" s="27"/>
      <c r="BC136" s="27"/>
      <c r="BD136" s="27"/>
      <c r="BE136" s="27"/>
      <c r="BF136" s="27"/>
      <c r="BG136" s="27"/>
      <c r="BH136" s="27"/>
      <c r="BI136" s="27"/>
      <c r="BJ136" s="27"/>
      <c r="BK136" s="27"/>
      <c r="BL136" s="27"/>
      <c r="BM136" s="27"/>
      <c r="BN136" s="27"/>
      <c r="BO136" s="27"/>
      <c r="BP136" s="27"/>
      <c r="BQ136" s="27"/>
      <c r="BR136" s="27"/>
      <c r="BS136" s="27"/>
      <c r="BT136" s="27"/>
      <c r="BU136" s="27"/>
      <c r="BV136" s="27"/>
      <c r="BW136" s="27"/>
      <c r="BX136" s="27"/>
      <c r="BY136" s="27"/>
      <c r="BZ136" s="27"/>
      <c r="CA136" s="27"/>
      <c r="CB136" s="27"/>
      <c r="CC136" s="27"/>
      <c r="CD136" s="27"/>
      <c r="CE136" s="27"/>
      <c r="CF136" s="27"/>
      <c r="CG136" s="27"/>
      <c r="CH136" s="27"/>
      <c r="CI136" s="27"/>
      <c r="CJ136" s="27"/>
      <c r="CK136" s="27"/>
      <c r="CL136" s="27"/>
      <c r="CM136" s="27"/>
      <c r="CN136" s="27"/>
      <c r="CO136" s="27"/>
      <c r="CP136" s="27"/>
      <c r="CQ136" s="27"/>
      <c r="CR136" s="27"/>
      <c r="CS136" s="27"/>
      <c r="CT136" s="27"/>
      <c r="CU136" s="27"/>
      <c r="CV136" s="27"/>
      <c r="CW136" s="27"/>
      <c r="CX136" s="27"/>
      <c r="CY136" s="27"/>
      <c r="CZ136" s="27"/>
      <c r="DA136" s="27"/>
      <c r="DB136" s="27"/>
      <c r="DC136" s="27"/>
      <c r="DD136" s="27"/>
      <c r="DE136" s="27"/>
      <c r="DF136" s="27"/>
      <c r="DG136" s="27"/>
      <c r="DH136" s="27"/>
      <c r="DI136" s="27"/>
      <c r="DJ136" s="27"/>
      <c r="DK136" s="27"/>
      <c r="DL136" s="27"/>
      <c r="DM136" s="27"/>
      <c r="DN136" s="27"/>
      <c r="DO136" s="27"/>
      <c r="DP136" s="27"/>
      <c r="DQ136" s="27"/>
      <c r="DR136" s="27"/>
      <c r="DS136" s="27"/>
      <c r="DT136" s="27"/>
      <c r="DU136" s="27"/>
      <c r="DV136" s="27"/>
      <c r="DW136" s="27"/>
      <c r="DX136" s="27"/>
      <c r="DY136" s="27"/>
      <c r="DZ136" s="27"/>
      <c r="EA136" s="27"/>
      <c r="EB136" s="27"/>
      <c r="EC136" s="27"/>
      <c r="ED136" s="27"/>
      <c r="EE136" s="27"/>
      <c r="EF136" s="27"/>
      <c r="EG136" s="27"/>
      <c r="EH136" s="27"/>
      <c r="EI136" s="27"/>
      <c r="EJ136" s="27"/>
      <c r="EK136" s="27"/>
      <c r="EL136" s="27"/>
      <c r="EM136" s="27"/>
      <c r="EN136" s="27"/>
      <c r="EO136" s="27"/>
      <c r="EP136" s="27"/>
      <c r="EQ136" s="27"/>
      <c r="ER136" s="27"/>
      <c r="ES136" s="27"/>
      <c r="ET136" s="27"/>
      <c r="EU136" s="27"/>
      <c r="EV136" s="27"/>
      <c r="EW136" s="27"/>
      <c r="EX136" s="27"/>
      <c r="EY136" s="27"/>
      <c r="EZ136" s="27"/>
      <c r="FA136" s="27"/>
      <c r="FB136" s="27"/>
      <c r="FC136" s="27"/>
      <c r="FD136" s="27"/>
      <c r="FE136" s="27"/>
      <c r="FF136" s="27"/>
      <c r="FG136" s="27"/>
      <c r="FH136" s="27"/>
      <c r="FI136" s="27"/>
      <c r="FJ136" s="27"/>
      <c r="FK136" s="27"/>
      <c r="FL136" s="27"/>
      <c r="FM136" s="27"/>
      <c r="FN136" s="27"/>
      <c r="FO136" s="27"/>
      <c r="FP136" s="27"/>
      <c r="FQ136" s="27"/>
      <c r="FR136" s="27"/>
      <c r="FS136" s="27"/>
      <c r="FT136" s="27"/>
      <c r="FU136" s="27"/>
      <c r="FV136" s="27"/>
      <c r="FW136" s="27"/>
      <c r="FX136" s="27"/>
      <c r="FY136" s="27"/>
      <c r="FZ136" s="27"/>
      <c r="GA136" s="27"/>
      <c r="GB136" s="27"/>
      <c r="GC136" s="27"/>
      <c r="GD136" s="27"/>
      <c r="GE136" s="27"/>
      <c r="GF136" s="27"/>
      <c r="GG136" s="27"/>
      <c r="GH136" s="27"/>
      <c r="GI136" s="27"/>
      <c r="GJ136" s="27"/>
      <c r="GK136" s="27"/>
      <c r="GL136" s="27"/>
      <c r="GM136" s="27"/>
      <c r="GN136" s="27"/>
      <c r="GO136" s="27"/>
      <c r="GP136" s="27"/>
      <c r="GQ136" s="27"/>
      <c r="GR136" s="27"/>
      <c r="GS136" s="27"/>
      <c r="GT136" s="27"/>
      <c r="GU136" s="27"/>
      <c r="GV136" s="27"/>
      <c r="GW136" s="27"/>
      <c r="GX136" s="27"/>
      <c r="GY136" s="27"/>
      <c r="GZ136" s="27"/>
      <c r="HA136" s="27"/>
      <c r="HB136" s="27"/>
      <c r="HC136" s="27"/>
      <c r="HD136" s="27"/>
      <c r="HE136" s="27"/>
      <c r="HF136" s="27"/>
      <c r="HG136" s="27"/>
      <c r="HH136" s="27"/>
      <c r="HI136" s="27"/>
      <c r="HJ136" s="27"/>
      <c r="HK136" s="27"/>
      <c r="HL136" s="27"/>
      <c r="HM136" s="27"/>
      <c r="HN136" s="27"/>
      <c r="HO136" s="27"/>
      <c r="HP136" s="27"/>
      <c r="HQ136" s="27"/>
      <c r="HR136" s="27"/>
      <c r="HS136" s="27"/>
      <c r="HT136" s="27"/>
      <c r="HU136" s="27"/>
      <c r="HV136" s="27"/>
      <c r="HW136" s="27"/>
      <c r="HX136" s="27"/>
      <c r="HY136" s="27"/>
      <c r="HZ136" s="27"/>
      <c r="IA136" s="27"/>
      <c r="IB136" s="27"/>
      <c r="IC136" s="27"/>
      <c r="ID136" s="27"/>
      <c r="IE136" s="27"/>
      <c r="IF136" s="27"/>
      <c r="IG136" s="27"/>
      <c r="IH136" s="27"/>
      <c r="II136" s="27"/>
      <c r="IJ136" s="27"/>
      <c r="IK136" s="27"/>
      <c r="IL136" s="27"/>
      <c r="IM136" s="27"/>
      <c r="IN136" s="27"/>
      <c r="IO136" s="27"/>
      <c r="IP136" s="27"/>
      <c r="IQ136" s="27"/>
      <c r="IR136" s="27"/>
      <c r="IS136" s="27"/>
      <c r="IT136" s="27"/>
    </row>
    <row r="137" spans="1:254" ht="12.75" customHeight="1" x14ac:dyDescent="0.2">
      <c r="A137" s="27"/>
      <c r="B137" s="27"/>
      <c r="C137" s="27"/>
      <c r="D137" s="27"/>
      <c r="E137" s="27"/>
      <c r="F137" s="27"/>
      <c r="G137" s="27"/>
      <c r="H137" s="27"/>
      <c r="I137" s="27"/>
      <c r="J137" s="27"/>
      <c r="K137" s="27"/>
      <c r="L137" s="27"/>
      <c r="M137" s="27"/>
      <c r="N137" s="27"/>
      <c r="O137" s="27"/>
      <c r="P137" s="27"/>
      <c r="Q137" s="27"/>
      <c r="R137" s="27"/>
      <c r="S137" s="27"/>
      <c r="T137" s="27"/>
      <c r="U137" s="27"/>
      <c r="V137" s="27"/>
      <c r="W137" s="27"/>
      <c r="X137" s="27"/>
      <c r="Y137" s="27"/>
      <c r="Z137" s="27"/>
      <c r="AA137" s="27"/>
      <c r="AB137" s="27"/>
      <c r="AC137" s="27"/>
      <c r="AD137" s="27"/>
      <c r="AE137" s="27"/>
      <c r="AF137" s="27"/>
      <c r="AG137" s="27"/>
      <c r="AH137" s="27"/>
      <c r="AI137" s="27"/>
      <c r="AJ137" s="27"/>
      <c r="AK137" s="27"/>
      <c r="AL137" s="27"/>
      <c r="AM137" s="27"/>
      <c r="AN137" s="27"/>
      <c r="AO137" s="27"/>
      <c r="AP137" s="27"/>
      <c r="AQ137" s="27"/>
      <c r="AR137" s="27"/>
      <c r="AS137" s="27"/>
      <c r="AT137" s="27"/>
      <c r="AU137" s="27"/>
      <c r="AV137" s="27"/>
      <c r="AW137" s="27"/>
      <c r="AX137" s="27"/>
      <c r="AY137" s="27"/>
      <c r="AZ137" s="27"/>
      <c r="BA137" s="27"/>
      <c r="BB137" s="27"/>
      <c r="BC137" s="27"/>
      <c r="BD137" s="27"/>
      <c r="BE137" s="27"/>
      <c r="BF137" s="27"/>
      <c r="BG137" s="27"/>
      <c r="BH137" s="27"/>
      <c r="BI137" s="27"/>
      <c r="BJ137" s="27"/>
      <c r="BK137" s="27"/>
      <c r="BL137" s="27"/>
      <c r="BM137" s="27"/>
      <c r="BN137" s="27"/>
      <c r="BO137" s="27"/>
      <c r="BP137" s="27"/>
      <c r="BQ137" s="27"/>
      <c r="BR137" s="27"/>
      <c r="BS137" s="27"/>
      <c r="BT137" s="27"/>
      <c r="BU137" s="27"/>
      <c r="BV137" s="27"/>
      <c r="BW137" s="27"/>
      <c r="BX137" s="27"/>
      <c r="BY137" s="27"/>
      <c r="BZ137" s="27"/>
      <c r="CA137" s="27"/>
      <c r="CB137" s="27"/>
      <c r="CC137" s="27"/>
      <c r="CD137" s="27"/>
      <c r="CE137" s="27"/>
      <c r="CF137" s="27"/>
      <c r="CG137" s="27"/>
      <c r="CH137" s="27"/>
      <c r="CI137" s="27"/>
      <c r="CJ137" s="27"/>
      <c r="CK137" s="27"/>
      <c r="CL137" s="27"/>
      <c r="CM137" s="27"/>
      <c r="CN137" s="27"/>
      <c r="CO137" s="27"/>
      <c r="CP137" s="27"/>
      <c r="CQ137" s="27"/>
      <c r="CR137" s="27"/>
      <c r="CS137" s="27"/>
      <c r="CT137" s="27"/>
      <c r="CU137" s="27"/>
      <c r="CV137" s="27"/>
      <c r="CW137" s="27"/>
      <c r="CX137" s="27"/>
      <c r="CY137" s="27"/>
      <c r="CZ137" s="27"/>
      <c r="DA137" s="27"/>
      <c r="DB137" s="27"/>
      <c r="DC137" s="27"/>
      <c r="DD137" s="27"/>
      <c r="DE137" s="27"/>
      <c r="DF137" s="27"/>
      <c r="DG137" s="27"/>
      <c r="DH137" s="27"/>
      <c r="DI137" s="27"/>
      <c r="DJ137" s="27"/>
      <c r="DK137" s="27"/>
      <c r="DL137" s="27"/>
      <c r="DM137" s="27"/>
      <c r="DN137" s="27"/>
      <c r="DO137" s="27"/>
      <c r="DP137" s="27"/>
      <c r="DQ137" s="27"/>
      <c r="DR137" s="27"/>
      <c r="DS137" s="27"/>
      <c r="DT137" s="27"/>
      <c r="DU137" s="27"/>
      <c r="DV137" s="27"/>
      <c r="DW137" s="27"/>
      <c r="DX137" s="27"/>
      <c r="DY137" s="27"/>
      <c r="DZ137" s="27"/>
      <c r="EA137" s="27"/>
      <c r="EB137" s="27"/>
      <c r="EC137" s="27"/>
      <c r="ED137" s="27"/>
      <c r="EE137" s="27"/>
      <c r="EF137" s="27"/>
      <c r="EG137" s="27"/>
      <c r="EH137" s="27"/>
      <c r="EI137" s="27"/>
      <c r="EJ137" s="27"/>
      <c r="EK137" s="27"/>
      <c r="EL137" s="27"/>
      <c r="EM137" s="27"/>
      <c r="EN137" s="27"/>
      <c r="EO137" s="27"/>
      <c r="EP137" s="27"/>
      <c r="EQ137" s="27"/>
      <c r="ER137" s="27"/>
      <c r="ES137" s="27"/>
      <c r="ET137" s="27"/>
      <c r="EU137" s="27"/>
      <c r="EV137" s="27"/>
      <c r="EW137" s="27"/>
      <c r="EX137" s="27"/>
      <c r="EY137" s="27"/>
      <c r="EZ137" s="27"/>
      <c r="FA137" s="27"/>
      <c r="FB137" s="27"/>
      <c r="FC137" s="27"/>
      <c r="FD137" s="27"/>
      <c r="FE137" s="27"/>
      <c r="FF137" s="27"/>
      <c r="FG137" s="27"/>
      <c r="FH137" s="27"/>
      <c r="FI137" s="27"/>
      <c r="FJ137" s="27"/>
      <c r="FK137" s="27"/>
      <c r="FL137" s="27"/>
      <c r="FM137" s="27"/>
      <c r="FN137" s="27"/>
      <c r="FO137" s="27"/>
      <c r="FP137" s="27"/>
      <c r="FQ137" s="27"/>
      <c r="FR137" s="27"/>
      <c r="FS137" s="27"/>
      <c r="FT137" s="27"/>
      <c r="FU137" s="27"/>
      <c r="FV137" s="27"/>
      <c r="FW137" s="27"/>
      <c r="FX137" s="27"/>
      <c r="FY137" s="27"/>
      <c r="FZ137" s="27"/>
      <c r="GA137" s="27"/>
      <c r="GB137" s="27"/>
      <c r="GC137" s="27"/>
      <c r="GD137" s="27"/>
      <c r="GE137" s="27"/>
      <c r="GF137" s="27"/>
      <c r="GG137" s="27"/>
      <c r="GH137" s="27"/>
      <c r="GI137" s="27"/>
      <c r="GJ137" s="27"/>
      <c r="GK137" s="27"/>
      <c r="GL137" s="27"/>
      <c r="GM137" s="27"/>
      <c r="GN137" s="27"/>
      <c r="GO137" s="27"/>
      <c r="GP137" s="27"/>
      <c r="GQ137" s="27"/>
      <c r="GR137" s="27"/>
      <c r="GS137" s="27"/>
      <c r="GT137" s="27"/>
      <c r="GU137" s="27"/>
      <c r="GV137" s="27"/>
      <c r="GW137" s="27"/>
      <c r="GX137" s="27"/>
      <c r="GY137" s="27"/>
      <c r="GZ137" s="27"/>
      <c r="HA137" s="27"/>
      <c r="HB137" s="27"/>
      <c r="HC137" s="27"/>
      <c r="HD137" s="27"/>
      <c r="HE137" s="27"/>
      <c r="HF137" s="27"/>
      <c r="HG137" s="27"/>
      <c r="HH137" s="27"/>
      <c r="HI137" s="27"/>
      <c r="HJ137" s="27"/>
      <c r="HK137" s="27"/>
      <c r="HL137" s="27"/>
      <c r="HM137" s="27"/>
      <c r="HN137" s="27"/>
      <c r="HO137" s="27"/>
      <c r="HP137" s="27"/>
      <c r="HQ137" s="27"/>
      <c r="HR137" s="27"/>
      <c r="HS137" s="27"/>
      <c r="HT137" s="27"/>
      <c r="HU137" s="27"/>
      <c r="HV137" s="27"/>
      <c r="HW137" s="27"/>
      <c r="HX137" s="27"/>
      <c r="HY137" s="27"/>
      <c r="HZ137" s="27"/>
      <c r="IA137" s="27"/>
      <c r="IB137" s="27"/>
      <c r="IC137" s="27"/>
      <c r="ID137" s="27"/>
      <c r="IE137" s="27"/>
      <c r="IF137" s="27"/>
      <c r="IG137" s="27"/>
      <c r="IH137" s="27"/>
      <c r="II137" s="27"/>
      <c r="IJ137" s="27"/>
      <c r="IK137" s="27"/>
      <c r="IL137" s="27"/>
      <c r="IM137" s="27"/>
      <c r="IN137" s="27"/>
      <c r="IO137" s="27"/>
      <c r="IP137" s="27"/>
      <c r="IQ137" s="27"/>
      <c r="IR137" s="27"/>
      <c r="IS137" s="27"/>
      <c r="IT137" s="27"/>
    </row>
    <row r="138" spans="1:254" ht="14.1" customHeight="1" x14ac:dyDescent="0.2">
      <c r="A138" s="27"/>
      <c r="B138" s="27"/>
      <c r="C138" s="27"/>
      <c r="D138" s="27"/>
      <c r="E138" s="27"/>
      <c r="F138" s="27"/>
      <c r="G138" s="27"/>
      <c r="H138" s="27"/>
      <c r="I138" s="27"/>
      <c r="J138" s="27"/>
      <c r="K138" s="27"/>
      <c r="L138" s="27"/>
      <c r="M138" s="27"/>
      <c r="N138" s="27"/>
      <c r="O138" s="27"/>
      <c r="P138" s="27"/>
      <c r="Q138" s="27"/>
      <c r="R138" s="27"/>
      <c r="S138" s="27"/>
      <c r="T138" s="27"/>
      <c r="U138" s="27"/>
      <c r="V138" s="27"/>
      <c r="W138" s="27"/>
      <c r="X138" s="27"/>
      <c r="Y138" s="27"/>
      <c r="Z138" s="27"/>
      <c r="AA138" s="27"/>
      <c r="AB138" s="27"/>
      <c r="AC138" s="27"/>
      <c r="AD138" s="27"/>
      <c r="AE138" s="27"/>
      <c r="AF138" s="27"/>
      <c r="AG138" s="27"/>
      <c r="AH138" s="27"/>
      <c r="AI138" s="27"/>
      <c r="AJ138" s="27"/>
      <c r="AK138" s="27"/>
      <c r="AL138" s="27"/>
      <c r="AM138" s="27"/>
      <c r="AN138" s="27"/>
      <c r="AO138" s="27"/>
      <c r="AP138" s="27"/>
      <c r="AQ138" s="27"/>
      <c r="AR138" s="27"/>
      <c r="AS138" s="27"/>
      <c r="AT138" s="27"/>
      <c r="AU138" s="27"/>
      <c r="AV138" s="27"/>
      <c r="AW138" s="27"/>
      <c r="AX138" s="27"/>
      <c r="AY138" s="27"/>
      <c r="AZ138" s="27"/>
      <c r="BA138" s="27"/>
      <c r="BB138" s="27"/>
      <c r="BC138" s="27"/>
      <c r="BD138" s="27"/>
      <c r="BE138" s="27"/>
      <c r="BF138" s="27"/>
      <c r="BG138" s="27"/>
      <c r="BH138" s="27"/>
      <c r="BI138" s="27"/>
      <c r="BJ138" s="27"/>
      <c r="BK138" s="27"/>
      <c r="BL138" s="27"/>
      <c r="BM138" s="27"/>
      <c r="BN138" s="27"/>
      <c r="BO138" s="27"/>
      <c r="BP138" s="27"/>
      <c r="BQ138" s="27"/>
      <c r="BR138" s="27"/>
      <c r="BS138" s="27"/>
      <c r="BT138" s="27"/>
      <c r="BU138" s="27"/>
      <c r="BV138" s="27"/>
      <c r="BW138" s="27"/>
      <c r="BX138" s="27"/>
      <c r="BY138" s="27"/>
      <c r="BZ138" s="27"/>
      <c r="CA138" s="27"/>
      <c r="CB138" s="27"/>
      <c r="CC138" s="27"/>
      <c r="CD138" s="27"/>
      <c r="CE138" s="27"/>
      <c r="CF138" s="27"/>
      <c r="CG138" s="27"/>
      <c r="CH138" s="27"/>
      <c r="CI138" s="27"/>
      <c r="CJ138" s="27"/>
      <c r="CK138" s="27"/>
      <c r="CL138" s="27"/>
      <c r="CM138" s="27"/>
      <c r="CN138" s="27"/>
      <c r="CO138" s="27"/>
      <c r="CP138" s="27"/>
      <c r="CQ138" s="27"/>
      <c r="CR138" s="27"/>
      <c r="CS138" s="27"/>
      <c r="CT138" s="27"/>
      <c r="CU138" s="27"/>
      <c r="CV138" s="27"/>
      <c r="CW138" s="27"/>
      <c r="CX138" s="27"/>
      <c r="CY138" s="27"/>
      <c r="CZ138" s="27"/>
      <c r="DA138" s="27"/>
      <c r="DB138" s="27"/>
      <c r="DC138" s="27"/>
      <c r="DD138" s="27"/>
      <c r="DE138" s="27"/>
      <c r="DF138" s="27"/>
      <c r="DG138" s="27"/>
      <c r="DH138" s="27"/>
      <c r="DI138" s="27"/>
      <c r="DJ138" s="27"/>
      <c r="DK138" s="27"/>
      <c r="DL138" s="27"/>
      <c r="DM138" s="27"/>
      <c r="DN138" s="27"/>
      <c r="DO138" s="27"/>
      <c r="DP138" s="27"/>
      <c r="DQ138" s="27"/>
      <c r="DR138" s="27"/>
      <c r="DS138" s="27"/>
      <c r="DT138" s="27"/>
      <c r="DU138" s="27"/>
      <c r="DV138" s="27"/>
      <c r="DW138" s="27"/>
      <c r="DX138" s="27"/>
      <c r="DY138" s="27"/>
      <c r="DZ138" s="27"/>
      <c r="EA138" s="27"/>
      <c r="EB138" s="27"/>
      <c r="EC138" s="27"/>
      <c r="ED138" s="27"/>
      <c r="EE138" s="27"/>
      <c r="EF138" s="27"/>
      <c r="EG138" s="27"/>
      <c r="EH138" s="27"/>
      <c r="EI138" s="27"/>
      <c r="EJ138" s="27"/>
      <c r="EK138" s="27"/>
      <c r="EL138" s="27"/>
      <c r="EM138" s="27"/>
      <c r="EN138" s="27"/>
      <c r="EO138" s="27"/>
      <c r="EP138" s="27"/>
      <c r="EQ138" s="27"/>
      <c r="ER138" s="27"/>
      <c r="ES138" s="27"/>
      <c r="ET138" s="27"/>
      <c r="EU138" s="27"/>
      <c r="EV138" s="27"/>
      <c r="EW138" s="27"/>
      <c r="EX138" s="27"/>
      <c r="EY138" s="27"/>
      <c r="EZ138" s="27"/>
      <c r="FA138" s="27"/>
      <c r="FB138" s="27"/>
      <c r="FC138" s="27"/>
      <c r="FD138" s="27"/>
      <c r="FE138" s="27"/>
      <c r="FF138" s="27"/>
      <c r="FG138" s="27"/>
      <c r="FH138" s="27"/>
      <c r="FI138" s="27"/>
      <c r="FJ138" s="27"/>
      <c r="FK138" s="27"/>
      <c r="FL138" s="27"/>
      <c r="FM138" s="27"/>
      <c r="FN138" s="27"/>
      <c r="FO138" s="27"/>
      <c r="FP138" s="27"/>
      <c r="FQ138" s="27"/>
      <c r="FR138" s="27"/>
      <c r="FS138" s="27"/>
      <c r="FT138" s="27"/>
      <c r="FU138" s="27"/>
      <c r="FV138" s="27"/>
      <c r="FW138" s="27"/>
      <c r="FX138" s="27"/>
      <c r="FY138" s="27"/>
      <c r="FZ138" s="27"/>
      <c r="GA138" s="27"/>
      <c r="GB138" s="27"/>
      <c r="GC138" s="27"/>
      <c r="GD138" s="27"/>
      <c r="GE138" s="27"/>
      <c r="GF138" s="27"/>
      <c r="GG138" s="27"/>
      <c r="GH138" s="27"/>
      <c r="GI138" s="27"/>
      <c r="GJ138" s="27"/>
      <c r="GK138" s="27"/>
      <c r="GL138" s="27"/>
      <c r="GM138" s="27"/>
      <c r="GN138" s="27"/>
      <c r="GO138" s="27"/>
      <c r="GP138" s="27"/>
      <c r="GQ138" s="27"/>
      <c r="GR138" s="27"/>
      <c r="GS138" s="27"/>
      <c r="GT138" s="27"/>
      <c r="GU138" s="27"/>
      <c r="GV138" s="27"/>
      <c r="GW138" s="27"/>
      <c r="GX138" s="27"/>
      <c r="GY138" s="27"/>
      <c r="GZ138" s="27"/>
      <c r="HA138" s="27"/>
      <c r="HB138" s="27"/>
      <c r="HC138" s="27"/>
      <c r="HD138" s="27"/>
      <c r="HE138" s="27"/>
      <c r="HF138" s="27"/>
      <c r="HG138" s="27"/>
      <c r="HH138" s="27"/>
      <c r="HI138" s="27"/>
      <c r="HJ138" s="27"/>
      <c r="HK138" s="27"/>
      <c r="HL138" s="27"/>
      <c r="HM138" s="27"/>
      <c r="HN138" s="27"/>
      <c r="HO138" s="27"/>
      <c r="HP138" s="27"/>
      <c r="HQ138" s="27"/>
      <c r="HR138" s="27"/>
      <c r="HS138" s="27"/>
      <c r="HT138" s="27"/>
      <c r="HU138" s="27"/>
      <c r="HV138" s="27"/>
      <c r="HW138" s="27"/>
      <c r="HX138" s="27"/>
      <c r="HY138" s="27"/>
      <c r="HZ138" s="27"/>
      <c r="IA138" s="27"/>
      <c r="IB138" s="27"/>
      <c r="IC138" s="27"/>
      <c r="ID138" s="27"/>
      <c r="IE138" s="27"/>
      <c r="IF138" s="27"/>
      <c r="IG138" s="27"/>
      <c r="IH138" s="27"/>
      <c r="II138" s="27"/>
      <c r="IJ138" s="27"/>
      <c r="IK138" s="27"/>
      <c r="IL138" s="27"/>
      <c r="IM138" s="27"/>
      <c r="IN138" s="27"/>
      <c r="IO138" s="27"/>
      <c r="IP138" s="27"/>
      <c r="IQ138" s="27"/>
      <c r="IR138" s="27"/>
      <c r="IS138" s="27"/>
      <c r="IT138" s="27"/>
    </row>
    <row r="140" spans="1:254" s="1" customFormat="1" ht="12.75" customHeight="1" x14ac:dyDescent="0.25">
      <c r="A140" s="1001" t="s">
        <v>581</v>
      </c>
      <c r="B140" s="1002"/>
      <c r="C140" s="1002"/>
      <c r="D140" s="1002"/>
      <c r="E140" s="1002"/>
      <c r="F140" s="1002"/>
      <c r="G140" s="1002"/>
      <c r="H140" s="1002"/>
      <c r="I140" s="1002"/>
      <c r="J140" s="1002"/>
      <c r="K140" s="1003"/>
    </row>
    <row r="141" spans="1:254" s="1" customFormat="1" ht="14.1" customHeight="1" x14ac:dyDescent="0.25">
      <c r="A141" s="974" t="s">
        <v>0</v>
      </c>
      <c r="B141" s="975" t="s">
        <v>1</v>
      </c>
      <c r="C141" s="974" t="s">
        <v>2</v>
      </c>
      <c r="D141" s="976" t="s">
        <v>260</v>
      </c>
      <c r="E141" s="969" t="s">
        <v>259</v>
      </c>
      <c r="F141" s="971" t="s">
        <v>360</v>
      </c>
      <c r="G141" s="972"/>
      <c r="H141" s="971" t="s">
        <v>582</v>
      </c>
      <c r="I141" s="972"/>
      <c r="J141" s="971" t="s">
        <v>361</v>
      </c>
      <c r="K141" s="972"/>
    </row>
    <row r="142" spans="1:254" s="3" customFormat="1" ht="27" customHeight="1" x14ac:dyDescent="0.25">
      <c r="A142" s="974"/>
      <c r="B142" s="975"/>
      <c r="C142" s="974"/>
      <c r="D142" s="976"/>
      <c r="E142" s="970"/>
      <c r="F142" s="2" t="s">
        <v>260</v>
      </c>
      <c r="G142" s="2" t="s">
        <v>259</v>
      </c>
      <c r="H142" s="2" t="s">
        <v>260</v>
      </c>
      <c r="I142" s="2" t="s">
        <v>259</v>
      </c>
      <c r="J142" s="2" t="s">
        <v>260</v>
      </c>
      <c r="K142" s="2" t="s">
        <v>259</v>
      </c>
    </row>
    <row r="143" spans="1:254" ht="5.65" customHeight="1" x14ac:dyDescent="0.25"/>
    <row r="144" spans="1:254" ht="14.1" customHeight="1" x14ac:dyDescent="0.25">
      <c r="A144" s="973" t="s">
        <v>194</v>
      </c>
      <c r="B144" s="973"/>
      <c r="C144" s="973"/>
      <c r="D144" s="973"/>
      <c r="E144" s="973"/>
      <c r="F144" s="973"/>
      <c r="G144" s="973"/>
      <c r="H144" s="973"/>
      <c r="I144" s="973"/>
      <c r="J144" s="98"/>
      <c r="K144" s="98"/>
    </row>
    <row r="145" spans="1:11" ht="14.1" customHeight="1" x14ac:dyDescent="0.25">
      <c r="A145" s="24" t="s">
        <v>195</v>
      </c>
      <c r="B145" s="24" t="s">
        <v>196</v>
      </c>
      <c r="C145" s="25" t="s">
        <v>197</v>
      </c>
      <c r="D145" s="26">
        <f>F145+H145+J145</f>
        <v>0</v>
      </c>
      <c r="E145" s="26">
        <f>G145+I145+K145</f>
        <v>0</v>
      </c>
      <c r="F145" s="26"/>
      <c r="G145" s="26"/>
      <c r="H145" s="26"/>
      <c r="I145" s="26"/>
      <c r="J145" s="26"/>
      <c r="K145" s="26"/>
    </row>
    <row r="146" spans="1:11" ht="14.1" customHeight="1" x14ac:dyDescent="0.25">
      <c r="A146" s="24" t="s">
        <v>198</v>
      </c>
      <c r="B146" s="24" t="s">
        <v>199</v>
      </c>
      <c r="C146" s="25" t="s">
        <v>200</v>
      </c>
      <c r="D146" s="26">
        <f t="shared" ref="D146:E158" si="33">F146+H146+J146</f>
        <v>0</v>
      </c>
      <c r="E146" s="26">
        <f t="shared" si="33"/>
        <v>0</v>
      </c>
      <c r="F146" s="26"/>
      <c r="G146" s="26"/>
      <c r="H146" s="26"/>
      <c r="I146" s="26"/>
      <c r="J146" s="26"/>
      <c r="K146" s="26"/>
    </row>
    <row r="147" spans="1:11" ht="14.1" customHeight="1" x14ac:dyDescent="0.25">
      <c r="A147" s="24" t="s">
        <v>201</v>
      </c>
      <c r="B147" s="24" t="s">
        <v>202</v>
      </c>
      <c r="C147" s="25" t="s">
        <v>203</v>
      </c>
      <c r="D147" s="26">
        <f t="shared" si="33"/>
        <v>520</v>
      </c>
      <c r="E147" s="26">
        <f t="shared" si="33"/>
        <v>200</v>
      </c>
      <c r="F147" s="26">
        <v>520</v>
      </c>
      <c r="G147" s="26">
        <v>200</v>
      </c>
      <c r="H147" s="26"/>
      <c r="I147" s="26"/>
      <c r="J147" s="26"/>
      <c r="K147" s="26"/>
    </row>
    <row r="148" spans="1:11" ht="14.1" customHeight="1" x14ac:dyDescent="0.25">
      <c r="A148" s="24" t="s">
        <v>204</v>
      </c>
      <c r="B148" s="24" t="s">
        <v>205</v>
      </c>
      <c r="C148" s="25" t="s">
        <v>206</v>
      </c>
      <c r="D148" s="26">
        <f t="shared" si="33"/>
        <v>40</v>
      </c>
      <c r="E148" s="26">
        <f t="shared" si="33"/>
        <v>3460</v>
      </c>
      <c r="F148" s="26">
        <v>30</v>
      </c>
      <c r="G148" s="26">
        <v>460</v>
      </c>
      <c r="H148" s="26"/>
      <c r="I148" s="26">
        <f>1700+1300</f>
        <v>3000</v>
      </c>
      <c r="J148" s="26">
        <v>10</v>
      </c>
      <c r="K148" s="26"/>
    </row>
    <row r="149" spans="1:11" ht="14.1" customHeight="1" x14ac:dyDescent="0.25">
      <c r="A149" s="24"/>
      <c r="B149" s="24" t="s">
        <v>207</v>
      </c>
      <c r="C149" s="25" t="s">
        <v>208</v>
      </c>
      <c r="D149" s="26">
        <f t="shared" si="33"/>
        <v>0</v>
      </c>
      <c r="E149" s="26">
        <f t="shared" si="33"/>
        <v>0</v>
      </c>
      <c r="F149" s="26"/>
      <c r="G149" s="26"/>
      <c r="H149" s="26"/>
      <c r="I149" s="26"/>
      <c r="J149" s="26"/>
      <c r="K149" s="26"/>
    </row>
    <row r="150" spans="1:11" ht="14.1" customHeight="1" x14ac:dyDescent="0.25">
      <c r="A150" s="24" t="s">
        <v>209</v>
      </c>
      <c r="B150" s="24" t="s">
        <v>210</v>
      </c>
      <c r="C150" s="25" t="s">
        <v>211</v>
      </c>
      <c r="D150" s="26">
        <f t="shared" si="33"/>
        <v>0</v>
      </c>
      <c r="E150" s="26">
        <f t="shared" si="33"/>
        <v>0</v>
      </c>
      <c r="F150" s="26"/>
      <c r="G150" s="26"/>
      <c r="H150" s="26"/>
      <c r="I150" s="26"/>
      <c r="J150" s="26"/>
      <c r="K150" s="26"/>
    </row>
    <row r="151" spans="1:11" ht="14.1" customHeight="1" x14ac:dyDescent="0.25">
      <c r="A151" s="24" t="s">
        <v>212</v>
      </c>
      <c r="B151" s="24" t="s">
        <v>213</v>
      </c>
      <c r="C151" s="25" t="s">
        <v>214</v>
      </c>
      <c r="D151" s="26">
        <f t="shared" si="33"/>
        <v>0</v>
      </c>
      <c r="E151" s="26">
        <f t="shared" si="33"/>
        <v>0</v>
      </c>
      <c r="F151" s="26"/>
      <c r="G151" s="26"/>
      <c r="H151" s="26"/>
      <c r="I151" s="26"/>
      <c r="J151" s="26"/>
      <c r="K151" s="26"/>
    </row>
    <row r="152" spans="1:11" ht="14.1" customHeight="1" x14ac:dyDescent="0.25">
      <c r="A152" s="24" t="s">
        <v>215</v>
      </c>
      <c r="B152" s="24" t="s">
        <v>216</v>
      </c>
      <c r="C152" s="25" t="s">
        <v>217</v>
      </c>
      <c r="D152" s="26">
        <f t="shared" si="33"/>
        <v>152</v>
      </c>
      <c r="E152" s="26">
        <f t="shared" si="33"/>
        <v>538</v>
      </c>
      <c r="F152" s="26">
        <v>149</v>
      </c>
      <c r="G152" s="26">
        <f>ROUND((G145+G146+G147+G148+G149)*0.27,0)</f>
        <v>178</v>
      </c>
      <c r="H152" s="26">
        <v>0</v>
      </c>
      <c r="I152" s="26">
        <f>ROUND((I145+I146+I147+I148+I149)*0.12,0)</f>
        <v>360</v>
      </c>
      <c r="J152" s="26">
        <v>3</v>
      </c>
      <c r="K152" s="26"/>
    </row>
    <row r="153" spans="1:11" s="3" customFormat="1" ht="14.1" customHeight="1" x14ac:dyDescent="0.25">
      <c r="A153" s="16" t="s">
        <v>218</v>
      </c>
      <c r="B153" s="20" t="s">
        <v>219</v>
      </c>
      <c r="C153" s="21" t="s">
        <v>220</v>
      </c>
      <c r="D153" s="22">
        <f>SUM(D145:D152)</f>
        <v>712</v>
      </c>
      <c r="E153" s="22">
        <f t="shared" ref="E153:K153" si="34">SUM(E145:E152)</f>
        <v>4198</v>
      </c>
      <c r="F153" s="22">
        <f t="shared" si="34"/>
        <v>699</v>
      </c>
      <c r="G153" s="22">
        <f t="shared" si="34"/>
        <v>838</v>
      </c>
      <c r="H153" s="22">
        <f t="shared" si="34"/>
        <v>0</v>
      </c>
      <c r="I153" s="22">
        <f t="shared" si="34"/>
        <v>3360</v>
      </c>
      <c r="J153" s="22">
        <f t="shared" si="34"/>
        <v>13</v>
      </c>
      <c r="K153" s="22">
        <f t="shared" si="34"/>
        <v>0</v>
      </c>
    </row>
    <row r="154" spans="1:11" ht="14.1" customHeight="1" x14ac:dyDescent="0.25">
      <c r="A154" s="24" t="s">
        <v>221</v>
      </c>
      <c r="B154" s="24" t="s">
        <v>222</v>
      </c>
      <c r="C154" s="25" t="s">
        <v>223</v>
      </c>
      <c r="D154" s="26">
        <f t="shared" si="33"/>
        <v>0</v>
      </c>
      <c r="E154" s="26">
        <f t="shared" si="33"/>
        <v>0</v>
      </c>
      <c r="F154" s="26"/>
      <c r="G154" s="26"/>
      <c r="H154" s="26"/>
      <c r="I154" s="26"/>
      <c r="J154" s="26"/>
      <c r="K154" s="26"/>
    </row>
    <row r="155" spans="1:11" ht="14.1" customHeight="1" x14ac:dyDescent="0.25">
      <c r="A155" s="24" t="s">
        <v>224</v>
      </c>
      <c r="B155" s="24" t="s">
        <v>225</v>
      </c>
      <c r="C155" s="25" t="s">
        <v>226</v>
      </c>
      <c r="D155" s="26">
        <f t="shared" si="33"/>
        <v>0</v>
      </c>
      <c r="E155" s="26">
        <f t="shared" si="33"/>
        <v>0</v>
      </c>
      <c r="F155" s="26"/>
      <c r="G155" s="26"/>
      <c r="H155" s="26"/>
      <c r="I155" s="26"/>
      <c r="J155" s="26"/>
      <c r="K155" s="26"/>
    </row>
    <row r="156" spans="1:11" ht="14.1" customHeight="1" x14ac:dyDescent="0.25">
      <c r="A156" s="24" t="s">
        <v>227</v>
      </c>
      <c r="B156" s="24" t="s">
        <v>228</v>
      </c>
      <c r="C156" s="25" t="s">
        <v>229</v>
      </c>
      <c r="D156" s="26">
        <f t="shared" si="33"/>
        <v>0</v>
      </c>
      <c r="E156" s="26">
        <f t="shared" si="33"/>
        <v>0</v>
      </c>
      <c r="F156" s="26"/>
      <c r="G156" s="26"/>
      <c r="H156" s="26"/>
      <c r="I156" s="26"/>
      <c r="J156" s="26"/>
      <c r="K156" s="26"/>
    </row>
    <row r="157" spans="1:11" ht="14.1" customHeight="1" x14ac:dyDescent="0.25">
      <c r="A157" s="24"/>
      <c r="B157" s="24" t="s">
        <v>230</v>
      </c>
      <c r="C157" s="25" t="s">
        <v>231</v>
      </c>
      <c r="D157" s="26">
        <f t="shared" si="33"/>
        <v>0</v>
      </c>
      <c r="E157" s="26">
        <f t="shared" si="33"/>
        <v>0</v>
      </c>
      <c r="F157" s="26"/>
      <c r="G157" s="26"/>
      <c r="H157" s="26"/>
      <c r="I157" s="26"/>
      <c r="J157" s="26"/>
      <c r="K157" s="26"/>
    </row>
    <row r="158" spans="1:11" ht="14.1" customHeight="1" x14ac:dyDescent="0.25">
      <c r="A158" s="24" t="s">
        <v>232</v>
      </c>
      <c r="B158" s="24" t="s">
        <v>233</v>
      </c>
      <c r="C158" s="25" t="s">
        <v>234</v>
      </c>
      <c r="D158" s="26">
        <f t="shared" si="33"/>
        <v>0</v>
      </c>
      <c r="E158" s="26">
        <f t="shared" si="33"/>
        <v>0</v>
      </c>
      <c r="F158" s="26">
        <v>0</v>
      </c>
      <c r="G158" s="26">
        <f>ROUND((G154+G155+G156+G157)*0.27,0)</f>
        <v>0</v>
      </c>
      <c r="H158" s="26">
        <v>0</v>
      </c>
      <c r="I158" s="26">
        <f>ROUND((I154+I155+I156+I157)*0.27,0)</f>
        <v>0</v>
      </c>
      <c r="J158" s="26"/>
      <c r="K158" s="26"/>
    </row>
    <row r="159" spans="1:11" s="3" customFormat="1" ht="14.1" customHeight="1" x14ac:dyDescent="0.25">
      <c r="A159" s="16" t="s">
        <v>235</v>
      </c>
      <c r="B159" s="20" t="s">
        <v>236</v>
      </c>
      <c r="C159" s="21" t="s">
        <v>237</v>
      </c>
      <c r="D159" s="22">
        <f>SUM(D154:D158)</f>
        <v>0</v>
      </c>
      <c r="E159" s="22">
        <f t="shared" ref="E159:K159" si="35">SUM(E154:E158)</f>
        <v>0</v>
      </c>
      <c r="F159" s="22">
        <f t="shared" si="35"/>
        <v>0</v>
      </c>
      <c r="G159" s="22">
        <f t="shared" si="35"/>
        <v>0</v>
      </c>
      <c r="H159" s="22">
        <f t="shared" si="35"/>
        <v>0</v>
      </c>
      <c r="I159" s="22">
        <f t="shared" si="35"/>
        <v>0</v>
      </c>
      <c r="J159" s="22">
        <f t="shared" si="35"/>
        <v>0</v>
      </c>
      <c r="K159" s="22">
        <f t="shared" si="35"/>
        <v>0</v>
      </c>
    </row>
    <row r="160" spans="1:11" s="3" customFormat="1" ht="14.1" customHeight="1" x14ac:dyDescent="0.25">
      <c r="A160" s="977" t="s">
        <v>293</v>
      </c>
      <c r="B160" s="978"/>
      <c r="C160" s="979" t="s">
        <v>238</v>
      </c>
      <c r="D160" s="28">
        <f>D153+D159</f>
        <v>712</v>
      </c>
      <c r="E160" s="28">
        <f t="shared" ref="E160:K160" si="36">E153+E159</f>
        <v>4198</v>
      </c>
      <c r="F160" s="28">
        <f t="shared" si="36"/>
        <v>699</v>
      </c>
      <c r="G160" s="28">
        <f t="shared" si="36"/>
        <v>838</v>
      </c>
      <c r="H160" s="28">
        <f t="shared" si="36"/>
        <v>0</v>
      </c>
      <c r="I160" s="28">
        <f t="shared" si="36"/>
        <v>3360</v>
      </c>
      <c r="J160" s="28">
        <f t="shared" si="36"/>
        <v>13</v>
      </c>
      <c r="K160" s="28">
        <f t="shared" si="36"/>
        <v>0</v>
      </c>
    </row>
    <row r="161" spans="1:11" ht="6.75" customHeight="1" x14ac:dyDescent="0.25"/>
    <row r="162" spans="1:11" ht="14.1" customHeight="1" x14ac:dyDescent="0.25">
      <c r="A162" s="966" t="s">
        <v>294</v>
      </c>
      <c r="B162" s="967"/>
      <c r="C162" s="968"/>
      <c r="D162" s="29">
        <f>D160+D136</f>
        <v>28627</v>
      </c>
      <c r="E162" s="29">
        <f t="shared" ref="E162:K162" si="37">E160+E136</f>
        <v>31355</v>
      </c>
      <c r="F162" s="29">
        <f t="shared" si="37"/>
        <v>20519</v>
      </c>
      <c r="G162" s="29">
        <f t="shared" si="37"/>
        <v>23826</v>
      </c>
      <c r="H162" s="29">
        <f t="shared" si="37"/>
        <v>2151</v>
      </c>
      <c r="I162" s="29">
        <f t="shared" si="37"/>
        <v>4122</v>
      </c>
      <c r="J162" s="29">
        <f t="shared" si="37"/>
        <v>5957</v>
      </c>
      <c r="K162" s="29">
        <f t="shared" si="37"/>
        <v>3407</v>
      </c>
    </row>
    <row r="167" spans="1:11" s="1" customFormat="1" ht="12.75" customHeight="1" x14ac:dyDescent="0.25">
      <c r="A167" s="1001" t="s">
        <v>580</v>
      </c>
      <c r="B167" s="1002"/>
      <c r="C167" s="1002"/>
      <c r="D167" s="1002"/>
      <c r="E167" s="1002"/>
      <c r="F167" s="1002"/>
      <c r="G167" s="1002"/>
      <c r="H167" s="1002"/>
      <c r="I167" s="1002"/>
      <c r="J167" s="1002"/>
      <c r="K167" s="1003"/>
    </row>
    <row r="168" spans="1:11" s="1" customFormat="1" ht="14.1" customHeight="1" x14ac:dyDescent="0.25">
      <c r="A168" s="974" t="s">
        <v>0</v>
      </c>
      <c r="B168" s="975" t="s">
        <v>1</v>
      </c>
      <c r="C168" s="974" t="s">
        <v>2</v>
      </c>
      <c r="D168" s="976" t="s">
        <v>260</v>
      </c>
      <c r="E168" s="969" t="s">
        <v>259</v>
      </c>
      <c r="F168" s="971" t="s">
        <v>360</v>
      </c>
      <c r="G168" s="972"/>
      <c r="H168" s="971" t="s">
        <v>582</v>
      </c>
      <c r="I168" s="972"/>
      <c r="J168" s="971" t="s">
        <v>361</v>
      </c>
      <c r="K168" s="972"/>
    </row>
    <row r="169" spans="1:11" s="3" customFormat="1" ht="23.25" customHeight="1" x14ac:dyDescent="0.25">
      <c r="A169" s="974"/>
      <c r="B169" s="975"/>
      <c r="C169" s="974"/>
      <c r="D169" s="976"/>
      <c r="E169" s="970"/>
      <c r="F169" s="2" t="s">
        <v>260</v>
      </c>
      <c r="G169" s="2" t="s">
        <v>259</v>
      </c>
      <c r="H169" s="2" t="s">
        <v>260</v>
      </c>
      <c r="I169" s="2" t="s">
        <v>259</v>
      </c>
      <c r="J169" s="2" t="s">
        <v>260</v>
      </c>
      <c r="K169" s="2" t="s">
        <v>259</v>
      </c>
    </row>
    <row r="170" spans="1:11" ht="5.65" customHeight="1" x14ac:dyDescent="0.25"/>
    <row r="171" spans="1:11" ht="14.1" customHeight="1" x14ac:dyDescent="0.25">
      <c r="A171" s="973" t="s">
        <v>239</v>
      </c>
      <c r="B171" s="973"/>
      <c r="C171" s="973"/>
      <c r="D171" s="973"/>
      <c r="E171" s="973"/>
      <c r="F171" s="973"/>
      <c r="G171" s="973"/>
      <c r="H171" s="973"/>
      <c r="I171" s="973"/>
      <c r="J171" s="98"/>
      <c r="K171" s="98"/>
    </row>
    <row r="172" spans="1:11" s="3" customFormat="1" ht="14.1" customHeight="1" x14ac:dyDescent="0.25">
      <c r="A172" s="20" t="s">
        <v>240</v>
      </c>
      <c r="B172" s="20"/>
      <c r="C172" s="21" t="s">
        <v>241</v>
      </c>
      <c r="D172" s="23">
        <f>SUM(D173:D182)</f>
        <v>294</v>
      </c>
      <c r="E172" s="23">
        <f t="shared" ref="E172:K172" si="38">SUM(E173:E182)</f>
        <v>254</v>
      </c>
      <c r="F172" s="23">
        <f t="shared" si="38"/>
        <v>294</v>
      </c>
      <c r="G172" s="23">
        <f t="shared" si="38"/>
        <v>254</v>
      </c>
      <c r="H172" s="23">
        <f t="shared" si="38"/>
        <v>0</v>
      </c>
      <c r="I172" s="23">
        <f t="shared" si="38"/>
        <v>0</v>
      </c>
      <c r="J172" s="23">
        <f t="shared" si="38"/>
        <v>0</v>
      </c>
      <c r="K172" s="23">
        <f t="shared" si="38"/>
        <v>0</v>
      </c>
    </row>
    <row r="173" spans="1:11" ht="14.1" customHeight="1" x14ac:dyDescent="0.25">
      <c r="A173" s="24" t="s">
        <v>242</v>
      </c>
      <c r="B173" s="24"/>
      <c r="C173" s="25" t="s">
        <v>243</v>
      </c>
      <c r="D173" s="26">
        <f t="shared" ref="D173:E182" si="39">F173+H173+J173</f>
        <v>0</v>
      </c>
      <c r="E173" s="26">
        <f t="shared" si="39"/>
        <v>0</v>
      </c>
      <c r="F173" s="26"/>
      <c r="G173" s="26"/>
      <c r="H173" s="26"/>
      <c r="I173" s="26"/>
      <c r="J173" s="26"/>
      <c r="K173" s="26"/>
    </row>
    <row r="174" spans="1:11" ht="14.1" customHeight="1" x14ac:dyDescent="0.25">
      <c r="A174" s="24" t="s">
        <v>244</v>
      </c>
      <c r="B174" s="24"/>
      <c r="C174" s="25" t="s">
        <v>245</v>
      </c>
      <c r="D174" s="26">
        <f t="shared" si="39"/>
        <v>230</v>
      </c>
      <c r="E174" s="26">
        <f t="shared" si="39"/>
        <v>200</v>
      </c>
      <c r="F174" s="26">
        <v>230</v>
      </c>
      <c r="G174" s="26">
        <v>200</v>
      </c>
      <c r="H174" s="26"/>
      <c r="I174" s="26"/>
      <c r="J174" s="26"/>
      <c r="K174" s="26"/>
    </row>
    <row r="175" spans="1:11" ht="14.1" customHeight="1" x14ac:dyDescent="0.25">
      <c r="A175" s="24" t="s">
        <v>246</v>
      </c>
      <c r="B175" s="24"/>
      <c r="C175" s="25" t="s">
        <v>247</v>
      </c>
      <c r="D175" s="26">
        <f t="shared" si="39"/>
        <v>0</v>
      </c>
      <c r="E175" s="26">
        <f t="shared" si="39"/>
        <v>0</v>
      </c>
      <c r="F175" s="26"/>
      <c r="G175" s="26"/>
      <c r="H175" s="26"/>
      <c r="I175" s="26"/>
      <c r="J175" s="26"/>
      <c r="K175" s="26"/>
    </row>
    <row r="176" spans="1:11" ht="14.1" customHeight="1" x14ac:dyDescent="0.25">
      <c r="A176" s="24" t="s">
        <v>248</v>
      </c>
      <c r="B176" s="24"/>
      <c r="C176" s="25" t="s">
        <v>249</v>
      </c>
      <c r="D176" s="26">
        <f t="shared" si="39"/>
        <v>0</v>
      </c>
      <c r="E176" s="26">
        <f t="shared" si="39"/>
        <v>0</v>
      </c>
      <c r="F176" s="26"/>
      <c r="G176" s="26"/>
      <c r="H176" s="26"/>
      <c r="I176" s="26"/>
      <c r="J176" s="26"/>
      <c r="K176" s="26"/>
    </row>
    <row r="177" spans="1:11" ht="14.1" customHeight="1" x14ac:dyDescent="0.25">
      <c r="A177" s="24" t="s">
        <v>296</v>
      </c>
      <c r="B177" s="24"/>
      <c r="C177" s="25" t="s">
        <v>297</v>
      </c>
      <c r="D177" s="26">
        <f t="shared" si="39"/>
        <v>0</v>
      </c>
      <c r="E177" s="26">
        <f t="shared" si="39"/>
        <v>0</v>
      </c>
      <c r="F177" s="26"/>
      <c r="G177" s="26"/>
      <c r="H177" s="26"/>
      <c r="I177" s="26"/>
      <c r="J177" s="26"/>
      <c r="K177" s="26"/>
    </row>
    <row r="178" spans="1:11" ht="14.1" customHeight="1" x14ac:dyDescent="0.25">
      <c r="A178" s="24" t="s">
        <v>250</v>
      </c>
      <c r="B178" s="24"/>
      <c r="C178" s="25" t="s">
        <v>251</v>
      </c>
      <c r="D178" s="26">
        <f t="shared" si="39"/>
        <v>54</v>
      </c>
      <c r="E178" s="26">
        <f t="shared" si="39"/>
        <v>54</v>
      </c>
      <c r="F178" s="26">
        <v>54</v>
      </c>
      <c r="G178" s="26">
        <f>ROUND((G173+G174+G175+G176+G177)*0.27,0)</f>
        <v>54</v>
      </c>
      <c r="H178" s="26"/>
      <c r="I178" s="26">
        <f>ROUND((I173+I174+I175+I176+I177)*0.27,0)</f>
        <v>0</v>
      </c>
      <c r="J178" s="26"/>
      <c r="K178" s="26"/>
    </row>
    <row r="179" spans="1:11" ht="14.1" customHeight="1" x14ac:dyDescent="0.25">
      <c r="A179" s="24" t="s">
        <v>298</v>
      </c>
      <c r="B179" s="24"/>
      <c r="C179" s="25" t="s">
        <v>299</v>
      </c>
      <c r="D179" s="26">
        <f t="shared" si="39"/>
        <v>0</v>
      </c>
      <c r="E179" s="26">
        <f t="shared" si="39"/>
        <v>0</v>
      </c>
      <c r="F179" s="26"/>
      <c r="G179" s="26"/>
      <c r="H179" s="26"/>
      <c r="I179" s="26"/>
      <c r="J179" s="26"/>
      <c r="K179" s="26"/>
    </row>
    <row r="180" spans="1:11" ht="14.1" customHeight="1" x14ac:dyDescent="0.25">
      <c r="A180" s="24" t="s">
        <v>252</v>
      </c>
      <c r="B180" s="24"/>
      <c r="C180" s="25" t="s">
        <v>253</v>
      </c>
      <c r="D180" s="26">
        <f t="shared" si="39"/>
        <v>0</v>
      </c>
      <c r="E180" s="26">
        <f t="shared" si="39"/>
        <v>0</v>
      </c>
      <c r="F180" s="26"/>
      <c r="G180" s="26"/>
      <c r="H180" s="26"/>
      <c r="I180" s="26"/>
      <c r="J180" s="26"/>
      <c r="K180" s="26"/>
    </row>
    <row r="181" spans="1:11" ht="14.1" customHeight="1" x14ac:dyDescent="0.25">
      <c r="A181" s="24" t="s">
        <v>300</v>
      </c>
      <c r="B181" s="24"/>
      <c r="C181" s="25" t="s">
        <v>301</v>
      </c>
      <c r="D181" s="26">
        <f t="shared" si="39"/>
        <v>0</v>
      </c>
      <c r="E181" s="26">
        <f t="shared" si="39"/>
        <v>0</v>
      </c>
      <c r="F181" s="26"/>
      <c r="G181" s="26"/>
      <c r="H181" s="26"/>
      <c r="I181" s="26"/>
      <c r="J181" s="26"/>
      <c r="K181" s="26"/>
    </row>
    <row r="182" spans="1:11" ht="14.1" customHeight="1" x14ac:dyDescent="0.25">
      <c r="A182" s="24" t="s">
        <v>254</v>
      </c>
      <c r="B182" s="24"/>
      <c r="C182" s="25" t="s">
        <v>255</v>
      </c>
      <c r="D182" s="26">
        <f t="shared" si="39"/>
        <v>10</v>
      </c>
      <c r="E182" s="26">
        <f t="shared" si="39"/>
        <v>0</v>
      </c>
      <c r="F182" s="26">
        <v>10</v>
      </c>
      <c r="G182" s="26"/>
      <c r="H182" s="26"/>
      <c r="I182" s="26"/>
      <c r="J182" s="26"/>
      <c r="K182" s="26"/>
    </row>
    <row r="183" spans="1:11" s="3" customFormat="1" ht="14.1" customHeight="1" x14ac:dyDescent="0.25">
      <c r="A183" s="20" t="s">
        <v>256</v>
      </c>
      <c r="B183" s="20"/>
      <c r="C183" s="21" t="s">
        <v>257</v>
      </c>
      <c r="D183" s="23">
        <f>F183+H183</f>
        <v>0</v>
      </c>
      <c r="E183" s="23">
        <f>G183+I183</f>
        <v>0</v>
      </c>
      <c r="F183" s="23">
        <v>0</v>
      </c>
      <c r="G183" s="23">
        <v>0</v>
      </c>
      <c r="H183" s="23">
        <v>0</v>
      </c>
      <c r="I183" s="23">
        <v>0</v>
      </c>
      <c r="J183" s="23">
        <v>0</v>
      </c>
      <c r="K183" s="23">
        <v>0</v>
      </c>
    </row>
    <row r="184" spans="1:11" s="3" customFormat="1" ht="14.1" customHeight="1" x14ac:dyDescent="0.25">
      <c r="A184" s="966" t="s">
        <v>295</v>
      </c>
      <c r="B184" s="967"/>
      <c r="C184" s="968"/>
      <c r="D184" s="29">
        <f>D172+D183</f>
        <v>294</v>
      </c>
      <c r="E184" s="29">
        <f t="shared" ref="E184:K184" si="40">E172+E183</f>
        <v>254</v>
      </c>
      <c r="F184" s="29">
        <f t="shared" si="40"/>
        <v>294</v>
      </c>
      <c r="G184" s="29">
        <f t="shared" si="40"/>
        <v>254</v>
      </c>
      <c r="H184" s="29">
        <f t="shared" si="40"/>
        <v>0</v>
      </c>
      <c r="I184" s="29">
        <f t="shared" si="40"/>
        <v>0</v>
      </c>
      <c r="J184" s="29">
        <f t="shared" si="40"/>
        <v>0</v>
      </c>
      <c r="K184" s="29">
        <f t="shared" si="40"/>
        <v>0</v>
      </c>
    </row>
  </sheetData>
  <sheetProtection selectLockedCells="1" selectUnlockedCells="1"/>
  <mergeCells count="45">
    <mergeCell ref="A171:I171"/>
    <mergeCell ref="A184:C184"/>
    <mergeCell ref="J2:K2"/>
    <mergeCell ref="J53:K53"/>
    <mergeCell ref="J141:K141"/>
    <mergeCell ref="J168:K168"/>
    <mergeCell ref="A52:K52"/>
    <mergeCell ref="A140:K140"/>
    <mergeCell ref="A167:K167"/>
    <mergeCell ref="A144:I144"/>
    <mergeCell ref="A162:C162"/>
    <mergeCell ref="A168:A169"/>
    <mergeCell ref="B168:B169"/>
    <mergeCell ref="C168:C169"/>
    <mergeCell ref="D168:D169"/>
    <mergeCell ref="C141:C142"/>
    <mergeCell ref="D141:D142"/>
    <mergeCell ref="E141:E142"/>
    <mergeCell ref="F141:G141"/>
    <mergeCell ref="A160:C160"/>
    <mergeCell ref="H141:I141"/>
    <mergeCell ref="H168:I168"/>
    <mergeCell ref="A5:I5"/>
    <mergeCell ref="A51:C51"/>
    <mergeCell ref="A53:A54"/>
    <mergeCell ref="B53:B54"/>
    <mergeCell ref="C53:C54"/>
    <mergeCell ref="D53:D54"/>
    <mergeCell ref="E53:E54"/>
    <mergeCell ref="F53:G53"/>
    <mergeCell ref="E168:E169"/>
    <mergeCell ref="F168:G168"/>
    <mergeCell ref="A56:I56"/>
    <mergeCell ref="A136:C136"/>
    <mergeCell ref="A141:A142"/>
    <mergeCell ref="B141:B142"/>
    <mergeCell ref="H53:I53"/>
    <mergeCell ref="F2:G2"/>
    <mergeCell ref="H2:I2"/>
    <mergeCell ref="A1:K1"/>
    <mergeCell ref="A2:A3"/>
    <mergeCell ref="B2:B3"/>
    <mergeCell ref="C2:C3"/>
    <mergeCell ref="D2:D3"/>
    <mergeCell ref="E2:E3"/>
  </mergeCells>
  <printOptions horizontalCentered="1"/>
  <pageMargins left="0.15748031496062992" right="0.15748031496062992" top="0.19685039370078741" bottom="0.15748031496062992" header="0.31496062992125984" footer="0.31496062992125984"/>
  <pageSetup paperSize="8" fitToHeight="0" orientation="portrait" useFirstPageNumber="1" copies="2" r:id="rId1"/>
  <headerFooter alignWithMargins="0"/>
  <rowBreaks count="1" manualBreakCount="1">
    <brk id="102" max="10" man="1"/>
  </rowBreaks>
  <legacy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S120"/>
  <sheetViews>
    <sheetView showZeros="0" view="pageBreakPreview" zoomScale="75" zoomScaleNormal="100" zoomScaleSheetLayoutView="75" workbookViewId="0">
      <selection activeCell="A30" sqref="A30"/>
    </sheetView>
  </sheetViews>
  <sheetFormatPr defaultColWidth="9.140625" defaultRowHeight="15" x14ac:dyDescent="0.2"/>
  <cols>
    <col min="1" max="1" width="5.7109375" style="412" bestFit="1" customWidth="1"/>
    <col min="2" max="2" width="57.85546875" style="413" customWidth="1"/>
    <col min="3" max="7" width="15" style="413" customWidth="1"/>
    <col min="8" max="11" width="15.7109375" style="413" hidden="1" customWidth="1"/>
    <col min="12" max="12" width="12.28515625" style="413" hidden="1" customWidth="1"/>
    <col min="13" max="13" width="9.7109375" style="426" customWidth="1"/>
    <col min="14" max="14" width="13.28515625" style="601" customWidth="1"/>
    <col min="15" max="15" width="18.140625" style="416" customWidth="1"/>
    <col min="16" max="16" width="10.7109375" style="413" customWidth="1"/>
    <col min="17" max="17" width="12" style="413" customWidth="1"/>
    <col min="18" max="18" width="9.140625" style="413" customWidth="1"/>
    <col min="19" max="19" width="9.85546875" style="413" customWidth="1"/>
    <col min="20" max="16384" width="9.140625" style="413"/>
  </cols>
  <sheetData>
    <row r="1" spans="1:19" s="411" customFormat="1" ht="21" x14ac:dyDescent="0.35">
      <c r="A1" s="1004" t="s">
        <v>977</v>
      </c>
      <c r="B1" s="1004"/>
      <c r="C1" s="1004"/>
      <c r="D1" s="429"/>
      <c r="E1" s="452"/>
      <c r="F1" s="543"/>
      <c r="G1" s="520"/>
      <c r="H1" s="544"/>
      <c r="I1" s="577"/>
      <c r="J1" s="599"/>
      <c r="K1" s="621"/>
      <c r="L1" s="599"/>
      <c r="M1" s="409"/>
      <c r="N1" s="600"/>
      <c r="O1" s="410"/>
      <c r="S1" s="436"/>
    </row>
    <row r="3" spans="1:19" x14ac:dyDescent="0.2">
      <c r="D3" s="414"/>
      <c r="E3" s="414"/>
      <c r="F3" s="414"/>
      <c r="G3" s="414" t="s">
        <v>302</v>
      </c>
      <c r="H3" s="414"/>
      <c r="I3" s="414"/>
      <c r="K3" s="414"/>
      <c r="L3" s="414" t="s">
        <v>302</v>
      </c>
      <c r="M3" s="415"/>
      <c r="N3" s="602"/>
    </row>
    <row r="4" spans="1:19" s="418" customFormat="1" ht="50.25" customHeight="1" x14ac:dyDescent="0.25">
      <c r="A4" s="545" t="s">
        <v>978</v>
      </c>
      <c r="B4" s="546" t="s">
        <v>306</v>
      </c>
      <c r="C4" s="547" t="s">
        <v>1435</v>
      </c>
      <c r="D4" s="547" t="s">
        <v>1461</v>
      </c>
      <c r="E4" s="547" t="s">
        <v>1483</v>
      </c>
      <c r="F4" s="547" t="s">
        <v>1467</v>
      </c>
      <c r="G4" s="547" t="s">
        <v>1468</v>
      </c>
      <c r="H4" s="547" t="s">
        <v>1469</v>
      </c>
      <c r="I4" s="547" t="s">
        <v>1472</v>
      </c>
      <c r="J4" s="547" t="s">
        <v>1473</v>
      </c>
      <c r="K4" s="547" t="s">
        <v>1474</v>
      </c>
      <c r="L4" s="547" t="s">
        <v>1445</v>
      </c>
      <c r="M4" s="339" t="s">
        <v>1251</v>
      </c>
      <c r="N4" s="603" t="s">
        <v>982</v>
      </c>
      <c r="O4" s="417" t="s">
        <v>979</v>
      </c>
      <c r="P4" s="418" t="s">
        <v>980</v>
      </c>
      <c r="Q4" s="418" t="s">
        <v>981</v>
      </c>
    </row>
    <row r="5" spans="1:19" s="418" customFormat="1" x14ac:dyDescent="0.25">
      <c r="A5" s="548" t="s">
        <v>309</v>
      </c>
      <c r="B5" s="549" t="s">
        <v>983</v>
      </c>
      <c r="C5" s="550" t="e">
        <f>C6+C23+C33+C38+C42+C60+C63+C80+C77+C62+C78+C92+1</f>
        <v>#REF!</v>
      </c>
      <c r="D5" s="550">
        <f t="shared" ref="D5:L5" si="0">D6+D23+D33+D38+D42+D60+D63+D80+D77+D62+D78+D92</f>
        <v>1707200.5</v>
      </c>
      <c r="E5" s="550">
        <f t="shared" si="0"/>
        <v>1707200.5</v>
      </c>
      <c r="F5" s="550">
        <f t="shared" si="0"/>
        <v>0</v>
      </c>
      <c r="G5" s="550" t="e">
        <f t="shared" si="0"/>
        <v>#REF!</v>
      </c>
      <c r="H5" s="550" t="e">
        <f t="shared" si="0"/>
        <v>#REF!</v>
      </c>
      <c r="I5" s="550">
        <f t="shared" si="0"/>
        <v>0</v>
      </c>
      <c r="J5" s="550">
        <f t="shared" si="0"/>
        <v>0</v>
      </c>
      <c r="K5" s="550">
        <f t="shared" si="0"/>
        <v>0</v>
      </c>
      <c r="L5" s="550">
        <f t="shared" si="0"/>
        <v>0</v>
      </c>
      <c r="M5" s="339"/>
      <c r="N5" s="603"/>
      <c r="O5" s="611" t="s">
        <v>1446</v>
      </c>
      <c r="P5" s="620"/>
      <c r="R5" s="620"/>
    </row>
    <row r="6" spans="1:19" s="418" customFormat="1" x14ac:dyDescent="0.25">
      <c r="A6" s="551" t="s">
        <v>311</v>
      </c>
      <c r="B6" s="552" t="s">
        <v>1136</v>
      </c>
      <c r="C6" s="553">
        <f>SUM(C7:C21)</f>
        <v>238245</v>
      </c>
      <c r="D6" s="553">
        <f>SUM(D7:D22)</f>
        <v>175688</v>
      </c>
      <c r="E6" s="553">
        <f>SUM(E7:E22)</f>
        <v>175688</v>
      </c>
      <c r="F6" s="553">
        <f t="shared" ref="F6:L6" si="1">SUM(F7:F21)</f>
        <v>0</v>
      </c>
      <c r="G6" s="553">
        <f t="shared" si="1"/>
        <v>0</v>
      </c>
      <c r="H6" s="553">
        <f t="shared" si="1"/>
        <v>0</v>
      </c>
      <c r="I6" s="553">
        <f t="shared" si="1"/>
        <v>0</v>
      </c>
      <c r="J6" s="553">
        <f>SUM(J7:J22)</f>
        <v>0</v>
      </c>
      <c r="K6" s="553">
        <f>SUM(K7:K22)</f>
        <v>0</v>
      </c>
      <c r="L6" s="553">
        <f t="shared" si="1"/>
        <v>0</v>
      </c>
      <c r="M6" s="340"/>
      <c r="N6" s="604"/>
      <c r="O6" s="611"/>
      <c r="P6" s="587"/>
      <c r="Q6" s="169"/>
    </row>
    <row r="7" spans="1:19" s="418" customFormat="1" x14ac:dyDescent="0.25">
      <c r="A7" s="554"/>
      <c r="B7" s="555" t="s">
        <v>1311</v>
      </c>
      <c r="C7" s="557">
        <f>92384+4978+8974+406+921+249+3000+1016+15000</f>
        <v>126928</v>
      </c>
      <c r="D7" s="556">
        <f>88809-10279</f>
        <v>78530</v>
      </c>
      <c r="E7" s="556">
        <f>88809-10279</f>
        <v>78530</v>
      </c>
      <c r="F7" s="557"/>
      <c r="G7" s="557"/>
      <c r="H7" s="556">
        <f t="shared" ref="H7:H15" si="2">+G7</f>
        <v>0</v>
      </c>
      <c r="I7" s="556"/>
      <c r="J7" s="556"/>
      <c r="K7" s="556"/>
      <c r="L7" s="556"/>
      <c r="M7" s="341" t="s">
        <v>1274</v>
      </c>
      <c r="N7" s="605" t="s">
        <v>1284</v>
      </c>
      <c r="O7" s="611">
        <v>18595</v>
      </c>
      <c r="P7" s="358"/>
      <c r="Q7" s="358"/>
    </row>
    <row r="8" spans="1:19" s="418" customFormat="1" ht="28.5" x14ac:dyDescent="0.25">
      <c r="A8" s="554"/>
      <c r="B8" s="555" t="s">
        <v>1349</v>
      </c>
      <c r="C8" s="557">
        <v>8828</v>
      </c>
      <c r="D8" s="556">
        <v>8828</v>
      </c>
      <c r="E8" s="556">
        <v>8828</v>
      </c>
      <c r="F8" s="557"/>
      <c r="G8" s="557"/>
      <c r="H8" s="556">
        <f t="shared" si="2"/>
        <v>0</v>
      </c>
      <c r="I8" s="556"/>
      <c r="J8" s="556"/>
      <c r="K8" s="556"/>
      <c r="L8" s="556"/>
      <c r="M8" s="341" t="s">
        <v>1274</v>
      </c>
      <c r="N8" s="605" t="s">
        <v>1329</v>
      </c>
      <c r="O8" s="611"/>
      <c r="P8" s="358"/>
      <c r="Q8" s="358"/>
    </row>
    <row r="9" spans="1:19" s="418" customFormat="1" x14ac:dyDescent="0.25">
      <c r="A9" s="554"/>
      <c r="B9" s="555" t="s">
        <v>1350</v>
      </c>
      <c r="C9" s="557">
        <v>6985</v>
      </c>
      <c r="D9" s="556">
        <f>6985+635</f>
        <v>7620</v>
      </c>
      <c r="E9" s="556">
        <f>6985+635</f>
        <v>7620</v>
      </c>
      <c r="F9" s="557"/>
      <c r="G9" s="557"/>
      <c r="H9" s="556">
        <f t="shared" si="2"/>
        <v>0</v>
      </c>
      <c r="I9" s="556"/>
      <c r="J9" s="556"/>
      <c r="K9" s="556"/>
      <c r="L9" s="556"/>
      <c r="M9" s="341" t="s">
        <v>1274</v>
      </c>
      <c r="N9" s="605" t="s">
        <v>1375</v>
      </c>
      <c r="O9" s="611">
        <v>351</v>
      </c>
      <c r="P9" s="358"/>
      <c r="Q9" s="358"/>
    </row>
    <row r="10" spans="1:19" s="418" customFormat="1" x14ac:dyDescent="0.25">
      <c r="A10" s="554"/>
      <c r="B10" s="555" t="s">
        <v>1312</v>
      </c>
      <c r="C10" s="557">
        <v>2540</v>
      </c>
      <c r="D10" s="556">
        <v>2540</v>
      </c>
      <c r="E10" s="556">
        <v>2540</v>
      </c>
      <c r="F10" s="557"/>
      <c r="G10" s="557"/>
      <c r="H10" s="556">
        <f t="shared" si="2"/>
        <v>0</v>
      </c>
      <c r="I10" s="556"/>
      <c r="J10" s="556"/>
      <c r="K10" s="556"/>
      <c r="L10" s="556"/>
      <c r="M10" s="341" t="s">
        <v>1274</v>
      </c>
      <c r="N10" s="605" t="s">
        <v>1331</v>
      </c>
      <c r="O10" s="611"/>
      <c r="P10" s="358"/>
      <c r="Q10" s="358"/>
    </row>
    <row r="11" spans="1:19" s="418" customFormat="1" x14ac:dyDescent="0.25">
      <c r="A11" s="551"/>
      <c r="B11" s="559" t="s">
        <v>1313</v>
      </c>
      <c r="C11" s="557">
        <v>3000</v>
      </c>
      <c r="D11" s="556">
        <f>3000-3000</f>
        <v>0</v>
      </c>
      <c r="E11" s="556">
        <f>3000-3000</f>
        <v>0</v>
      </c>
      <c r="F11" s="557"/>
      <c r="G11" s="557"/>
      <c r="H11" s="556">
        <f t="shared" si="2"/>
        <v>0</v>
      </c>
      <c r="I11" s="556"/>
      <c r="J11" s="556"/>
      <c r="K11" s="556"/>
      <c r="L11" s="556"/>
      <c r="M11" s="341" t="s">
        <v>1338</v>
      </c>
      <c r="N11" s="605" t="s">
        <v>1275</v>
      </c>
      <c r="O11" s="611"/>
      <c r="P11" s="206"/>
      <c r="Q11" s="206"/>
    </row>
    <row r="12" spans="1:19" s="418" customFormat="1" x14ac:dyDescent="0.25">
      <c r="A12" s="551"/>
      <c r="B12" s="559" t="s">
        <v>1320</v>
      </c>
      <c r="C12" s="557">
        <f>4191</f>
        <v>4191</v>
      </c>
      <c r="D12" s="556">
        <v>4191</v>
      </c>
      <c r="E12" s="556">
        <v>4191</v>
      </c>
      <c r="F12" s="557"/>
      <c r="G12" s="557"/>
      <c r="H12" s="556">
        <f t="shared" si="2"/>
        <v>0</v>
      </c>
      <c r="I12" s="556"/>
      <c r="J12" s="556"/>
      <c r="K12" s="556"/>
      <c r="L12" s="556"/>
      <c r="M12" s="341" t="s">
        <v>1274</v>
      </c>
      <c r="N12" s="605" t="s">
        <v>1330</v>
      </c>
      <c r="O12" s="611"/>
      <c r="P12" s="206"/>
      <c r="Q12" s="206"/>
    </row>
    <row r="13" spans="1:19" s="418" customFormat="1" ht="28.5" x14ac:dyDescent="0.25">
      <c r="A13" s="551"/>
      <c r="B13" s="559" t="s">
        <v>1351</v>
      </c>
      <c r="C13" s="557">
        <v>28598</v>
      </c>
      <c r="D13" s="556">
        <v>28598</v>
      </c>
      <c r="E13" s="556">
        <v>28598</v>
      </c>
      <c r="F13" s="557"/>
      <c r="G13" s="557"/>
      <c r="H13" s="556">
        <f t="shared" si="2"/>
        <v>0</v>
      </c>
      <c r="I13" s="556"/>
      <c r="J13" s="556"/>
      <c r="K13" s="556"/>
      <c r="L13" s="556"/>
      <c r="M13" s="341" t="s">
        <v>1274</v>
      </c>
      <c r="N13" s="605" t="s">
        <v>1378</v>
      </c>
      <c r="O13" s="611"/>
      <c r="P13" s="206"/>
      <c r="Q13" s="206"/>
    </row>
    <row r="14" spans="1:19" s="527" customFormat="1" ht="28.5" customHeight="1" x14ac:dyDescent="0.25">
      <c r="A14" s="545"/>
      <c r="B14" s="560" t="s">
        <v>1466</v>
      </c>
      <c r="C14" s="557">
        <f>5000+20000</f>
        <v>25000</v>
      </c>
      <c r="D14" s="556">
        <f>25000+1983</f>
        <v>26983</v>
      </c>
      <c r="E14" s="556">
        <f>25000+1983</f>
        <v>26983</v>
      </c>
      <c r="F14" s="557"/>
      <c r="G14" s="557"/>
      <c r="H14" s="556">
        <f t="shared" si="2"/>
        <v>0</v>
      </c>
      <c r="I14" s="556"/>
      <c r="J14" s="556"/>
      <c r="K14" s="556"/>
      <c r="L14" s="556"/>
      <c r="M14" s="525" t="s">
        <v>1274</v>
      </c>
      <c r="N14" s="606" t="s">
        <v>1330</v>
      </c>
      <c r="O14" s="612"/>
      <c r="P14" s="526"/>
      <c r="Q14" s="526"/>
    </row>
    <row r="15" spans="1:19" s="418" customFormat="1" ht="28.5" x14ac:dyDescent="0.25">
      <c r="A15" s="551"/>
      <c r="B15" s="559" t="s">
        <v>1407</v>
      </c>
      <c r="C15" s="557">
        <v>175</v>
      </c>
      <c r="D15" s="556">
        <v>175</v>
      </c>
      <c r="E15" s="556">
        <v>175</v>
      </c>
      <c r="F15" s="557"/>
      <c r="G15" s="557"/>
      <c r="H15" s="556">
        <f t="shared" si="2"/>
        <v>0</v>
      </c>
      <c r="I15" s="556"/>
      <c r="J15" s="556"/>
      <c r="K15" s="556"/>
      <c r="L15" s="556"/>
      <c r="M15" s="341"/>
      <c r="N15" s="605" t="s">
        <v>1373</v>
      </c>
      <c r="O15" s="611"/>
      <c r="P15" s="206"/>
      <c r="Q15" s="206"/>
    </row>
    <row r="16" spans="1:19" s="418" customFormat="1" ht="18" customHeight="1" x14ac:dyDescent="0.25">
      <c r="A16" s="551"/>
      <c r="B16" s="559"/>
      <c r="C16" s="557"/>
      <c r="D16" s="556">
        <f>+C16</f>
        <v>0</v>
      </c>
      <c r="E16" s="556">
        <f>+D16</f>
        <v>0</v>
      </c>
      <c r="F16" s="557"/>
      <c r="G16" s="557"/>
      <c r="H16" s="556"/>
      <c r="I16" s="556"/>
      <c r="J16" s="556"/>
      <c r="K16" s="556"/>
      <c r="L16" s="556"/>
      <c r="M16" s="341"/>
      <c r="N16" s="605" t="s">
        <v>1372</v>
      </c>
      <c r="O16" s="611"/>
      <c r="P16" s="206"/>
      <c r="Q16" s="206"/>
    </row>
    <row r="17" spans="1:17" s="530" customFormat="1" x14ac:dyDescent="0.25">
      <c r="A17" s="561"/>
      <c r="B17" s="559" t="s">
        <v>1408</v>
      </c>
      <c r="C17" s="557">
        <v>6000</v>
      </c>
      <c r="D17" s="556">
        <f>6000+318+1905</f>
        <v>8223</v>
      </c>
      <c r="E17" s="556">
        <f>6000+318+1905</f>
        <v>8223</v>
      </c>
      <c r="F17" s="557"/>
      <c r="G17" s="557"/>
      <c r="H17" s="556"/>
      <c r="I17" s="556"/>
      <c r="J17" s="556"/>
      <c r="K17" s="556"/>
      <c r="L17" s="556"/>
      <c r="M17" s="528" t="s">
        <v>1274</v>
      </c>
      <c r="N17" s="607"/>
      <c r="O17" s="613"/>
      <c r="P17" s="529"/>
      <c r="Q17" s="529"/>
    </row>
    <row r="18" spans="1:17" s="530" customFormat="1" x14ac:dyDescent="0.25">
      <c r="A18" s="561">
        <v>1901</v>
      </c>
      <c r="B18" s="559" t="s">
        <v>1409</v>
      </c>
      <c r="C18" s="558">
        <v>26000</v>
      </c>
      <c r="D18" s="556">
        <f>26000-25000-1000</f>
        <v>0</v>
      </c>
      <c r="E18" s="556">
        <f>26000-25000-1000</f>
        <v>0</v>
      </c>
      <c r="F18" s="558"/>
      <c r="G18" s="558"/>
      <c r="H18" s="556"/>
      <c r="I18" s="556"/>
      <c r="J18" s="556"/>
      <c r="K18" s="556"/>
      <c r="L18" s="556"/>
      <c r="M18" s="528"/>
      <c r="N18" s="607"/>
      <c r="O18" s="613"/>
      <c r="P18" s="529"/>
      <c r="Q18" s="529"/>
    </row>
    <row r="19" spans="1:17" s="418" customFormat="1" x14ac:dyDescent="0.25">
      <c r="A19" s="551"/>
      <c r="B19" s="559"/>
      <c r="C19" s="557"/>
      <c r="D19" s="557"/>
      <c r="E19" s="557"/>
      <c r="F19" s="558"/>
      <c r="G19" s="557"/>
      <c r="H19" s="557"/>
      <c r="I19" s="557"/>
      <c r="J19" s="557"/>
      <c r="K19" s="557"/>
      <c r="L19" s="557"/>
      <c r="M19" s="541"/>
      <c r="N19" s="605"/>
      <c r="O19" s="611"/>
      <c r="P19" s="206"/>
      <c r="Q19" s="206"/>
    </row>
    <row r="20" spans="1:17" s="418" customFormat="1" x14ac:dyDescent="0.25">
      <c r="A20" s="551"/>
      <c r="B20" s="559"/>
      <c r="C20" s="558"/>
      <c r="D20" s="558"/>
      <c r="E20" s="558"/>
      <c r="F20" s="558"/>
      <c r="G20" s="558"/>
      <c r="H20" s="558"/>
      <c r="I20" s="558"/>
      <c r="J20" s="558"/>
      <c r="K20" s="558"/>
      <c r="L20" s="558"/>
      <c r="M20" s="341"/>
      <c r="N20" s="605"/>
      <c r="O20" s="611"/>
      <c r="P20" s="206"/>
      <c r="Q20" s="206"/>
    </row>
    <row r="21" spans="1:17" s="418" customFormat="1" x14ac:dyDescent="0.25">
      <c r="A21" s="551"/>
      <c r="B21" s="559"/>
      <c r="C21" s="558"/>
      <c r="D21" s="558"/>
      <c r="E21" s="558"/>
      <c r="F21" s="558"/>
      <c r="G21" s="558"/>
      <c r="H21" s="558"/>
      <c r="I21" s="558"/>
      <c r="J21" s="558"/>
      <c r="K21" s="558"/>
      <c r="L21" s="558"/>
      <c r="M21" s="341"/>
      <c r="N21" s="605"/>
      <c r="O21" s="611"/>
      <c r="P21" s="206"/>
      <c r="Q21" s="206"/>
    </row>
    <row r="22" spans="1:17" s="418" customFormat="1" x14ac:dyDescent="0.25">
      <c r="A22" s="551"/>
      <c r="B22" s="559" t="s">
        <v>1453</v>
      </c>
      <c r="C22" s="558"/>
      <c r="D22" s="558">
        <v>10000</v>
      </c>
      <c r="E22" s="558">
        <v>10000</v>
      </c>
      <c r="F22" s="558"/>
      <c r="G22" s="558"/>
      <c r="H22" s="558"/>
      <c r="I22" s="558"/>
      <c r="J22" s="558"/>
      <c r="K22" s="558"/>
      <c r="L22" s="558"/>
      <c r="M22" s="341" t="s">
        <v>1454</v>
      </c>
      <c r="N22" s="605" t="s">
        <v>1455</v>
      </c>
      <c r="O22" s="611"/>
      <c r="P22" s="206"/>
      <c r="Q22" s="206"/>
    </row>
    <row r="23" spans="1:17" s="418" customFormat="1" x14ac:dyDescent="0.25">
      <c r="A23" s="551" t="s">
        <v>322</v>
      </c>
      <c r="B23" s="552" t="s">
        <v>1137</v>
      </c>
      <c r="C23" s="563">
        <f>SUM(C24:C29)</f>
        <v>783316.74</v>
      </c>
      <c r="D23" s="563">
        <f>SUM(D24:D32)</f>
        <v>1045910</v>
      </c>
      <c r="E23" s="563">
        <f>SUM(E24:E32)</f>
        <v>1045910</v>
      </c>
      <c r="F23" s="563">
        <f>SUM(F24:F27)</f>
        <v>0</v>
      </c>
      <c r="G23" s="563">
        <f>SUM(G24:G29)</f>
        <v>0</v>
      </c>
      <c r="H23" s="563">
        <f>SUM(H24:H29)</f>
        <v>0</v>
      </c>
      <c r="I23" s="563">
        <f>SUM(I24:I30)</f>
        <v>0</v>
      </c>
      <c r="J23" s="563">
        <f>SUM(J24:J31)</f>
        <v>0</v>
      </c>
      <c r="K23" s="563">
        <f>SUM(K24:K32)</f>
        <v>0</v>
      </c>
      <c r="L23" s="563">
        <f>SUM(L24:L30)</f>
        <v>0</v>
      </c>
      <c r="M23" s="340"/>
      <c r="N23" s="604"/>
      <c r="O23" s="611"/>
      <c r="P23" s="206"/>
      <c r="Q23" s="206"/>
    </row>
    <row r="24" spans="1:17" s="418" customFormat="1" x14ac:dyDescent="0.25">
      <c r="A24" s="551"/>
      <c r="B24" s="559"/>
      <c r="C24" s="557"/>
      <c r="D24" s="557"/>
      <c r="E24" s="557"/>
      <c r="F24" s="557"/>
      <c r="G24" s="557"/>
      <c r="H24" s="557"/>
      <c r="I24" s="557"/>
      <c r="J24" s="557"/>
      <c r="K24" s="557"/>
      <c r="L24" s="557"/>
      <c r="M24" s="341" t="s">
        <v>1274</v>
      </c>
      <c r="N24" s="605" t="s">
        <v>1276</v>
      </c>
      <c r="O24" s="611"/>
      <c r="P24" s="206"/>
      <c r="Q24" s="206"/>
    </row>
    <row r="25" spans="1:17" s="418" customFormat="1" x14ac:dyDescent="0.25">
      <c r="A25" s="554"/>
      <c r="B25" s="555" t="s">
        <v>1410</v>
      </c>
      <c r="C25" s="557">
        <f>757058+7087+2286+2032+7815+1905+140</f>
        <v>778323</v>
      </c>
      <c r="D25" s="556">
        <f>935821-90506+81599+46228</f>
        <v>973142</v>
      </c>
      <c r="E25" s="556">
        <f>935821-90506+81599+46228</f>
        <v>973142</v>
      </c>
      <c r="F25" s="557"/>
      <c r="G25" s="557"/>
      <c r="H25" s="556"/>
      <c r="I25" s="556"/>
      <c r="J25" s="556"/>
      <c r="K25" s="556"/>
      <c r="L25" s="556"/>
      <c r="M25" s="341" t="s">
        <v>1338</v>
      </c>
      <c r="N25" s="605" t="s">
        <v>1277</v>
      </c>
      <c r="O25" s="611">
        <v>40496</v>
      </c>
      <c r="P25" s="358"/>
      <c r="Q25" s="358"/>
    </row>
    <row r="26" spans="1:17" s="418" customFormat="1" x14ac:dyDescent="0.25">
      <c r="A26" s="554"/>
      <c r="B26" s="555"/>
      <c r="C26" s="557"/>
      <c r="D26" s="556">
        <f>+C26</f>
        <v>0</v>
      </c>
      <c r="E26" s="556">
        <f>+D26</f>
        <v>0</v>
      </c>
      <c r="F26" s="557"/>
      <c r="G26" s="557"/>
      <c r="H26" s="556"/>
      <c r="I26" s="556"/>
      <c r="J26" s="556"/>
      <c r="K26" s="556"/>
      <c r="L26" s="556"/>
      <c r="M26" s="341" t="s">
        <v>1274</v>
      </c>
      <c r="N26" s="605" t="s">
        <v>1377</v>
      </c>
      <c r="O26" s="611"/>
      <c r="P26" s="358"/>
      <c r="Q26" s="358"/>
    </row>
    <row r="27" spans="1:17" s="418" customFormat="1" ht="28.5" x14ac:dyDescent="0.25">
      <c r="A27" s="554"/>
      <c r="B27" s="555" t="s">
        <v>1411</v>
      </c>
      <c r="C27" s="557">
        <f>3562*1.27</f>
        <v>4523.74</v>
      </c>
      <c r="D27" s="556">
        <f>3606-626</f>
        <v>2980</v>
      </c>
      <c r="E27" s="556">
        <f>3606-626</f>
        <v>2980</v>
      </c>
      <c r="F27" s="557"/>
      <c r="G27" s="557"/>
      <c r="H27" s="556"/>
      <c r="I27" s="556"/>
      <c r="J27" s="556"/>
      <c r="K27" s="556"/>
      <c r="L27" s="556"/>
      <c r="M27" s="341" t="s">
        <v>1338</v>
      </c>
      <c r="N27" s="605" t="s">
        <v>1278</v>
      </c>
      <c r="O27" s="611">
        <v>1027</v>
      </c>
      <c r="P27" s="358"/>
      <c r="Q27" s="358"/>
    </row>
    <row r="28" spans="1:17" s="527" customFormat="1" x14ac:dyDescent="0.25">
      <c r="A28" s="564"/>
      <c r="B28" s="565"/>
      <c r="C28" s="557"/>
      <c r="D28" s="556">
        <f>+C28</f>
        <v>0</v>
      </c>
      <c r="E28" s="556">
        <f>+D28</f>
        <v>0</v>
      </c>
      <c r="F28" s="557"/>
      <c r="G28" s="557"/>
      <c r="H28" s="556"/>
      <c r="I28" s="556"/>
      <c r="J28" s="556"/>
      <c r="K28" s="556"/>
      <c r="L28" s="556"/>
      <c r="M28" s="525"/>
      <c r="N28" s="606"/>
      <c r="O28" s="612"/>
      <c r="P28" s="531"/>
      <c r="Q28" s="531"/>
    </row>
    <row r="29" spans="1:17" s="418" customFormat="1" ht="28.5" x14ac:dyDescent="0.25">
      <c r="A29" s="671">
        <v>1919</v>
      </c>
      <c r="B29" s="555" t="s">
        <v>1465</v>
      </c>
      <c r="C29" s="557">
        <v>470</v>
      </c>
      <c r="D29" s="556">
        <f>1423+5987</f>
        <v>7410</v>
      </c>
      <c r="E29" s="556">
        <f>1423+5987</f>
        <v>7410</v>
      </c>
      <c r="F29" s="557"/>
      <c r="G29" s="557"/>
      <c r="H29" s="556"/>
      <c r="I29" s="556"/>
      <c r="J29" s="556"/>
      <c r="K29" s="556"/>
      <c r="L29" s="556"/>
      <c r="M29" s="341"/>
      <c r="N29" s="605" t="s">
        <v>1394</v>
      </c>
      <c r="O29" s="611"/>
      <c r="P29" s="358"/>
      <c r="Q29" s="358"/>
    </row>
    <row r="30" spans="1:17" s="418" customFormat="1" ht="42.75" x14ac:dyDescent="0.25">
      <c r="A30" s="554"/>
      <c r="B30" s="585" t="s">
        <v>1442</v>
      </c>
      <c r="C30" s="557"/>
      <c r="D30" s="556">
        <f>49097-1197+4445</f>
        <v>52345</v>
      </c>
      <c r="E30" s="556">
        <f>49097-1197+4445</f>
        <v>52345</v>
      </c>
      <c r="F30" s="557"/>
      <c r="G30" s="557"/>
      <c r="H30" s="556"/>
      <c r="I30" s="556"/>
      <c r="J30" s="556"/>
      <c r="K30" s="556"/>
      <c r="L30" s="556"/>
      <c r="M30" s="341"/>
      <c r="N30" s="605"/>
      <c r="O30" s="611">
        <v>18647</v>
      </c>
      <c r="P30" s="358"/>
      <c r="Q30" s="358"/>
    </row>
    <row r="31" spans="1:17" s="418" customFormat="1" ht="28.5" x14ac:dyDescent="0.25">
      <c r="A31" s="554"/>
      <c r="B31" s="585" t="s">
        <v>1457</v>
      </c>
      <c r="C31" s="557"/>
      <c r="D31" s="556">
        <v>6223</v>
      </c>
      <c r="E31" s="556">
        <v>6223</v>
      </c>
      <c r="F31" s="557"/>
      <c r="G31" s="557"/>
      <c r="H31" s="556"/>
      <c r="I31" s="556"/>
      <c r="J31" s="556"/>
      <c r="K31" s="556"/>
      <c r="L31" s="556"/>
      <c r="M31" s="341"/>
      <c r="N31" s="605" t="s">
        <v>1458</v>
      </c>
      <c r="O31" s="611"/>
      <c r="P31" s="358"/>
      <c r="Q31" s="358"/>
    </row>
    <row r="32" spans="1:17" s="418" customFormat="1" x14ac:dyDescent="0.25">
      <c r="A32" s="554"/>
      <c r="B32" s="585" t="s">
        <v>1463</v>
      </c>
      <c r="C32" s="557"/>
      <c r="D32" s="556">
        <v>3810</v>
      </c>
      <c r="E32" s="556">
        <v>3810</v>
      </c>
      <c r="F32" s="557"/>
      <c r="G32" s="557"/>
      <c r="H32" s="556"/>
      <c r="I32" s="556"/>
      <c r="J32" s="556"/>
      <c r="K32" s="556"/>
      <c r="L32" s="556"/>
      <c r="M32" s="341"/>
      <c r="N32" s="605"/>
      <c r="O32" s="611"/>
      <c r="P32" s="358"/>
      <c r="Q32" s="358"/>
    </row>
    <row r="33" spans="1:17" s="418" customFormat="1" x14ac:dyDescent="0.25">
      <c r="A33" s="551" t="s">
        <v>315</v>
      </c>
      <c r="B33" s="552" t="s">
        <v>1138</v>
      </c>
      <c r="C33" s="562">
        <f>C34+C35+C36+C37</f>
        <v>9500</v>
      </c>
      <c r="D33" s="553">
        <f>+C33</f>
        <v>9500</v>
      </c>
      <c r="E33" s="553">
        <f>+D33</f>
        <v>9500</v>
      </c>
      <c r="F33" s="562">
        <f>F34+F35+F36+F37</f>
        <v>0</v>
      </c>
      <c r="G33" s="562">
        <f>G34+G35+G36+G37</f>
        <v>0</v>
      </c>
      <c r="H33" s="553">
        <f>+G33</f>
        <v>0</v>
      </c>
      <c r="I33" s="553">
        <f>+H33</f>
        <v>0</v>
      </c>
      <c r="J33" s="553">
        <f>+I33</f>
        <v>0</v>
      </c>
      <c r="K33" s="553">
        <f>+J33</f>
        <v>0</v>
      </c>
      <c r="L33" s="553">
        <f>+L37</f>
        <v>0</v>
      </c>
      <c r="M33" s="340"/>
      <c r="N33" s="604"/>
      <c r="O33" s="611"/>
      <c r="P33" s="206"/>
      <c r="Q33" s="206"/>
    </row>
    <row r="34" spans="1:17" s="418" customFormat="1" x14ac:dyDescent="0.25">
      <c r="A34" s="554"/>
      <c r="B34" s="559"/>
      <c r="C34" s="557"/>
      <c r="D34" s="557"/>
      <c r="E34" s="557"/>
      <c r="F34" s="557"/>
      <c r="G34" s="557"/>
      <c r="H34" s="557"/>
      <c r="I34" s="557"/>
      <c r="J34" s="557"/>
      <c r="K34" s="557"/>
      <c r="L34" s="557"/>
      <c r="M34" s="341" t="s">
        <v>1274</v>
      </c>
      <c r="N34" s="605" t="s">
        <v>1279</v>
      </c>
      <c r="O34" s="611"/>
      <c r="P34" s="358"/>
      <c r="Q34" s="358"/>
    </row>
    <row r="35" spans="1:17" s="418" customFormat="1" x14ac:dyDescent="0.25">
      <c r="A35" s="554"/>
      <c r="B35" s="566"/>
      <c r="C35" s="557"/>
      <c r="D35" s="557"/>
      <c r="E35" s="557"/>
      <c r="F35" s="557"/>
      <c r="G35" s="557"/>
      <c r="H35" s="557"/>
      <c r="I35" s="557"/>
      <c r="J35" s="557"/>
      <c r="K35" s="557"/>
      <c r="L35" s="557"/>
      <c r="M35" s="341" t="s">
        <v>1274</v>
      </c>
      <c r="N35" s="605" t="s">
        <v>1285</v>
      </c>
      <c r="O35" s="611"/>
      <c r="P35" s="358"/>
      <c r="Q35" s="358"/>
    </row>
    <row r="36" spans="1:17" s="418" customFormat="1" x14ac:dyDescent="0.25">
      <c r="A36" s="554"/>
      <c r="B36" s="566"/>
      <c r="C36" s="557"/>
      <c r="D36" s="557"/>
      <c r="E36" s="557"/>
      <c r="F36" s="557"/>
      <c r="G36" s="557"/>
      <c r="H36" s="557"/>
      <c r="I36" s="557"/>
      <c r="J36" s="557"/>
      <c r="K36" s="557"/>
      <c r="L36" s="557"/>
      <c r="M36" s="341" t="s">
        <v>1274</v>
      </c>
      <c r="N36" s="605" t="s">
        <v>1332</v>
      </c>
      <c r="O36" s="611"/>
      <c r="P36" s="358"/>
      <c r="Q36" s="358"/>
    </row>
    <row r="37" spans="1:17" s="418" customFormat="1" ht="28.5" x14ac:dyDescent="0.25">
      <c r="A37" s="554"/>
      <c r="B37" s="567" t="s">
        <v>1397</v>
      </c>
      <c r="C37" s="557">
        <v>9500</v>
      </c>
      <c r="D37" s="556">
        <v>9500</v>
      </c>
      <c r="E37" s="556">
        <v>9500</v>
      </c>
      <c r="F37" s="557"/>
      <c r="G37" s="557"/>
      <c r="H37" s="556"/>
      <c r="I37" s="556"/>
      <c r="J37" s="556"/>
      <c r="K37" s="556"/>
      <c r="L37" s="556"/>
      <c r="M37" s="341" t="s">
        <v>1274</v>
      </c>
      <c r="N37" s="605" t="s">
        <v>1333</v>
      </c>
      <c r="O37" s="611"/>
      <c r="P37" s="358"/>
      <c r="Q37" s="358"/>
    </row>
    <row r="38" spans="1:17" s="418" customFormat="1" ht="15.75" x14ac:dyDescent="0.25">
      <c r="A38" s="551" t="s">
        <v>336</v>
      </c>
      <c r="B38" s="552" t="s">
        <v>1139</v>
      </c>
      <c r="C38" s="562">
        <f>C40+C41</f>
        <v>45764</v>
      </c>
      <c r="D38" s="553">
        <f>SUM(D40:D41)</f>
        <v>43799</v>
      </c>
      <c r="E38" s="553">
        <f>SUM(E40:E41)</f>
        <v>43799</v>
      </c>
      <c r="F38" s="562">
        <f>F40+F41</f>
        <v>0</v>
      </c>
      <c r="G38" s="562">
        <f>G40+G41</f>
        <v>0</v>
      </c>
      <c r="H38" s="553">
        <f>+G38</f>
        <v>0</v>
      </c>
      <c r="I38" s="553">
        <f>SUM(I40:I41)</f>
        <v>0</v>
      </c>
      <c r="J38" s="553">
        <f>SUM(J40:J41)</f>
        <v>0</v>
      </c>
      <c r="K38" s="553">
        <f>SUM(K40:K41)</f>
        <v>0</v>
      </c>
      <c r="L38" s="553">
        <f>SUM(L40:L41)</f>
        <v>0</v>
      </c>
      <c r="M38" s="340"/>
      <c r="N38" s="604"/>
      <c r="O38" s="614"/>
      <c r="P38" s="206"/>
      <c r="Q38" s="206"/>
    </row>
    <row r="39" spans="1:17" s="418" customFormat="1" x14ac:dyDescent="0.25">
      <c r="A39" s="554"/>
      <c r="B39" s="567"/>
      <c r="C39" s="557"/>
      <c r="D39" s="557"/>
      <c r="E39" s="557"/>
      <c r="F39" s="557">
        <v>0</v>
      </c>
      <c r="G39" s="557"/>
      <c r="H39" s="557"/>
      <c r="I39" s="557"/>
      <c r="J39" s="557"/>
      <c r="K39" s="557"/>
      <c r="L39" s="557"/>
      <c r="M39" s="341"/>
      <c r="N39" s="605"/>
      <c r="O39" s="417"/>
      <c r="P39" s="358"/>
      <c r="Q39" s="358"/>
    </row>
    <row r="40" spans="1:17" s="419" customFormat="1" ht="15.75" x14ac:dyDescent="0.25">
      <c r="A40" s="554"/>
      <c r="B40" s="555" t="s">
        <v>1314</v>
      </c>
      <c r="C40" s="557">
        <v>25764</v>
      </c>
      <c r="D40" s="556">
        <f>25764+3009-5685</f>
        <v>23088</v>
      </c>
      <c r="E40" s="556">
        <f>25764+3009-5685</f>
        <v>23088</v>
      </c>
      <c r="F40" s="557"/>
      <c r="G40" s="557"/>
      <c r="H40" s="556"/>
      <c r="I40" s="556"/>
      <c r="J40" s="556"/>
      <c r="K40" s="556"/>
      <c r="L40" s="556"/>
      <c r="M40" s="341" t="s">
        <v>1338</v>
      </c>
      <c r="N40" s="605" t="s">
        <v>1334</v>
      </c>
      <c r="O40" s="611"/>
      <c r="P40" s="358"/>
      <c r="Q40" s="358"/>
    </row>
    <row r="41" spans="1:17" s="418" customFormat="1" x14ac:dyDescent="0.25">
      <c r="A41" s="551"/>
      <c r="B41" s="559" t="s">
        <v>1140</v>
      </c>
      <c r="C41" s="557">
        <v>20000</v>
      </c>
      <c r="D41" s="556">
        <f>20000+13+698</f>
        <v>20711</v>
      </c>
      <c r="E41" s="556">
        <f>20000+13+698</f>
        <v>20711</v>
      </c>
      <c r="F41" s="557"/>
      <c r="G41" s="557"/>
      <c r="H41" s="556"/>
      <c r="I41" s="556"/>
      <c r="J41" s="556"/>
      <c r="K41" s="556"/>
      <c r="L41" s="556"/>
      <c r="M41" s="341" t="s">
        <v>1338</v>
      </c>
      <c r="N41" s="605" t="s">
        <v>1381</v>
      </c>
      <c r="O41" s="611"/>
      <c r="P41" s="206"/>
      <c r="Q41" s="206"/>
    </row>
    <row r="42" spans="1:17" s="418" customFormat="1" x14ac:dyDescent="0.25">
      <c r="A42" s="551" t="s">
        <v>338</v>
      </c>
      <c r="B42" s="552" t="s">
        <v>1141</v>
      </c>
      <c r="C42" s="563">
        <f>SUM(C43:C58)</f>
        <v>328054.5</v>
      </c>
      <c r="D42" s="553">
        <f>SUM(D43:D51)+D59</f>
        <v>310119.5</v>
      </c>
      <c r="E42" s="553">
        <f>SUM(E43:E51)+E59</f>
        <v>310119.5</v>
      </c>
      <c r="F42" s="563">
        <f>SUM(F43:F58)</f>
        <v>0</v>
      </c>
      <c r="G42" s="563">
        <f>SUM(G43:G58)</f>
        <v>0</v>
      </c>
      <c r="H42" s="553">
        <f>+G42</f>
        <v>0</v>
      </c>
      <c r="I42" s="553">
        <f>SUM(I43:I51)</f>
        <v>0</v>
      </c>
      <c r="J42" s="553">
        <f>SUM(J43:J51)</f>
        <v>0</v>
      </c>
      <c r="K42" s="553">
        <f>SUM(K43:K51)+K59</f>
        <v>0</v>
      </c>
      <c r="L42" s="553">
        <f>SUM(L43:L51)</f>
        <v>0</v>
      </c>
      <c r="M42" s="340"/>
      <c r="N42" s="604"/>
      <c r="O42" s="611"/>
      <c r="P42" s="206"/>
      <c r="Q42" s="206"/>
    </row>
    <row r="43" spans="1:17" s="418" customFormat="1" x14ac:dyDescent="0.25">
      <c r="A43" s="554"/>
      <c r="B43" s="555" t="s">
        <v>1399</v>
      </c>
      <c r="C43" s="557">
        <f>290812+5000+11000+965</f>
        <v>307777</v>
      </c>
      <c r="D43" s="556">
        <f>271478+8893-4229</f>
        <v>276142</v>
      </c>
      <c r="E43" s="556">
        <f>271478+8893-4229</f>
        <v>276142</v>
      </c>
      <c r="F43" s="557"/>
      <c r="G43" s="557"/>
      <c r="H43" s="556"/>
      <c r="I43" s="556"/>
      <c r="J43" s="556"/>
      <c r="K43" s="556"/>
      <c r="L43" s="556"/>
      <c r="M43" s="341" t="s">
        <v>1338</v>
      </c>
      <c r="N43" s="605" t="s">
        <v>1384</v>
      </c>
      <c r="O43" s="611">
        <v>545</v>
      </c>
      <c r="P43" s="358"/>
      <c r="Q43" s="358"/>
    </row>
    <row r="44" spans="1:17" s="418" customFormat="1" ht="28.5" x14ac:dyDescent="0.25">
      <c r="A44" s="554"/>
      <c r="B44" s="555" t="s">
        <v>1434</v>
      </c>
      <c r="C44" s="557">
        <v>4000</v>
      </c>
      <c r="D44" s="556">
        <f>4000+128</f>
        <v>4128</v>
      </c>
      <c r="E44" s="556">
        <f>4000+128</f>
        <v>4128</v>
      </c>
      <c r="F44" s="557"/>
      <c r="G44" s="557"/>
      <c r="H44" s="556"/>
      <c r="I44" s="556"/>
      <c r="J44" s="556"/>
      <c r="K44" s="556"/>
      <c r="L44" s="556"/>
      <c r="M44" s="341" t="s">
        <v>1274</v>
      </c>
      <c r="N44" s="605" t="s">
        <v>1336</v>
      </c>
      <c r="O44" s="611"/>
      <c r="P44" s="358"/>
      <c r="Q44" s="358"/>
    </row>
    <row r="45" spans="1:17" s="418" customFormat="1" x14ac:dyDescent="0.25">
      <c r="A45" s="554"/>
      <c r="B45" s="559" t="s">
        <v>1232</v>
      </c>
      <c r="C45" s="557">
        <v>33</v>
      </c>
      <c r="D45" s="556">
        <f t="shared" ref="D45:D50" si="3">+C45</f>
        <v>33</v>
      </c>
      <c r="E45" s="556">
        <f t="shared" ref="E45:E50" si="4">+D45</f>
        <v>33</v>
      </c>
      <c r="F45" s="557"/>
      <c r="G45" s="557"/>
      <c r="H45" s="556"/>
      <c r="I45" s="556"/>
      <c r="J45" s="556"/>
      <c r="K45" s="556"/>
      <c r="L45" s="556"/>
      <c r="M45" s="341" t="s">
        <v>1274</v>
      </c>
      <c r="N45" s="605" t="s">
        <v>1330</v>
      </c>
      <c r="O45" s="611"/>
      <c r="P45" s="358"/>
      <c r="Q45" s="358"/>
    </row>
    <row r="46" spans="1:17" s="418" customFormat="1" ht="28.5" x14ac:dyDescent="0.25">
      <c r="A46" s="554"/>
      <c r="B46" s="555" t="s">
        <v>1352</v>
      </c>
      <c r="C46" s="557">
        <v>616</v>
      </c>
      <c r="D46" s="556">
        <f t="shared" si="3"/>
        <v>616</v>
      </c>
      <c r="E46" s="556">
        <f t="shared" si="4"/>
        <v>616</v>
      </c>
      <c r="F46" s="557"/>
      <c r="G46" s="557"/>
      <c r="H46" s="556"/>
      <c r="I46" s="556"/>
      <c r="J46" s="556"/>
      <c r="K46" s="556"/>
      <c r="L46" s="556"/>
      <c r="M46" s="341" t="s">
        <v>1338</v>
      </c>
      <c r="N46" s="605" t="s">
        <v>1335</v>
      </c>
      <c r="O46" s="611"/>
      <c r="P46" s="358"/>
      <c r="Q46" s="358"/>
    </row>
    <row r="47" spans="1:17" s="418" customFormat="1" x14ac:dyDescent="0.25">
      <c r="A47" s="554"/>
      <c r="B47" s="555"/>
      <c r="C47" s="557"/>
      <c r="D47" s="556">
        <f t="shared" si="3"/>
        <v>0</v>
      </c>
      <c r="E47" s="556">
        <f t="shared" si="4"/>
        <v>0</v>
      </c>
      <c r="F47" s="557"/>
      <c r="G47" s="557"/>
      <c r="H47" s="556"/>
      <c r="I47" s="556"/>
      <c r="J47" s="556"/>
      <c r="K47" s="556"/>
      <c r="L47" s="556"/>
      <c r="M47" s="341" t="s">
        <v>1274</v>
      </c>
      <c r="N47" s="605" t="s">
        <v>1280</v>
      </c>
      <c r="O47" s="611"/>
      <c r="P47" s="358"/>
      <c r="Q47" s="358"/>
    </row>
    <row r="48" spans="1:17" s="418" customFormat="1" x14ac:dyDescent="0.25">
      <c r="A48" s="671">
        <v>1920</v>
      </c>
      <c r="B48" s="559" t="s">
        <v>1417</v>
      </c>
      <c r="C48" s="557">
        <f>63.5+3147</f>
        <v>3210.5</v>
      </c>
      <c r="D48" s="556">
        <f t="shared" si="3"/>
        <v>3210.5</v>
      </c>
      <c r="E48" s="556">
        <f t="shared" si="4"/>
        <v>3210.5</v>
      </c>
      <c r="F48" s="557"/>
      <c r="G48" s="557"/>
      <c r="H48" s="556"/>
      <c r="I48" s="556"/>
      <c r="J48" s="556"/>
      <c r="K48" s="556"/>
      <c r="L48" s="556"/>
      <c r="M48" s="341" t="s">
        <v>1274</v>
      </c>
      <c r="N48" s="605" t="s">
        <v>1286</v>
      </c>
      <c r="O48" s="611"/>
      <c r="P48" s="358"/>
      <c r="Q48" s="358"/>
    </row>
    <row r="49" spans="1:17" s="418" customFormat="1" x14ac:dyDescent="0.25">
      <c r="A49" s="554"/>
      <c r="B49" s="565"/>
      <c r="C49" s="557"/>
      <c r="D49" s="556">
        <f t="shared" si="3"/>
        <v>0</v>
      </c>
      <c r="E49" s="556">
        <f t="shared" si="4"/>
        <v>0</v>
      </c>
      <c r="F49" s="557"/>
      <c r="G49" s="557"/>
      <c r="H49" s="556"/>
      <c r="I49" s="556"/>
      <c r="J49" s="556"/>
      <c r="K49" s="556"/>
      <c r="L49" s="556"/>
      <c r="M49" s="341"/>
      <c r="N49" s="605"/>
      <c r="O49" s="611"/>
      <c r="P49" s="358"/>
      <c r="Q49" s="358"/>
    </row>
    <row r="50" spans="1:17" s="418" customFormat="1" x14ac:dyDescent="0.25">
      <c r="A50" s="554"/>
      <c r="B50" s="560" t="s">
        <v>1326</v>
      </c>
      <c r="C50" s="557">
        <f>3401+1600</f>
        <v>5001</v>
      </c>
      <c r="D50" s="556">
        <f t="shared" si="3"/>
        <v>5001</v>
      </c>
      <c r="E50" s="556">
        <f t="shared" si="4"/>
        <v>5001</v>
      </c>
      <c r="F50" s="557"/>
      <c r="G50" s="557"/>
      <c r="H50" s="556"/>
      <c r="I50" s="556"/>
      <c r="J50" s="556"/>
      <c r="K50" s="556"/>
      <c r="L50" s="556"/>
      <c r="M50" s="341" t="s">
        <v>1338</v>
      </c>
      <c r="N50" s="605" t="s">
        <v>1335</v>
      </c>
      <c r="O50" s="611"/>
      <c r="P50" s="358"/>
      <c r="Q50" s="358"/>
    </row>
    <row r="51" spans="1:17" s="418" customFormat="1" x14ac:dyDescent="0.25">
      <c r="A51" s="554"/>
      <c r="B51" s="560" t="s">
        <v>1398</v>
      </c>
      <c r="C51" s="557">
        <v>7417</v>
      </c>
      <c r="D51" s="556">
        <f>7417+965</f>
        <v>8382</v>
      </c>
      <c r="E51" s="556">
        <f>7417+965</f>
        <v>8382</v>
      </c>
      <c r="F51" s="557"/>
      <c r="G51" s="557"/>
      <c r="H51" s="556"/>
      <c r="I51" s="556"/>
      <c r="J51" s="556"/>
      <c r="K51" s="556"/>
      <c r="L51" s="556"/>
      <c r="M51" s="341"/>
      <c r="N51" s="605"/>
      <c r="O51" s="611"/>
      <c r="P51" s="358"/>
      <c r="Q51" s="358"/>
    </row>
    <row r="52" spans="1:17" s="418" customFormat="1" x14ac:dyDescent="0.25">
      <c r="A52" s="554"/>
      <c r="B52" s="560"/>
      <c r="C52" s="557"/>
      <c r="D52" s="557"/>
      <c r="E52" s="557"/>
      <c r="F52" s="557"/>
      <c r="G52" s="557"/>
      <c r="H52" s="557"/>
      <c r="I52" s="557"/>
      <c r="J52" s="557"/>
      <c r="K52" s="557"/>
      <c r="L52" s="557"/>
      <c r="M52" s="341" t="s">
        <v>1338</v>
      </c>
      <c r="N52" s="605" t="s">
        <v>1385</v>
      </c>
      <c r="O52" s="611"/>
      <c r="P52" s="358"/>
      <c r="Q52" s="358"/>
    </row>
    <row r="53" spans="1:17" s="418" customFormat="1" x14ac:dyDescent="0.25">
      <c r="A53" s="554"/>
      <c r="B53" s="560"/>
      <c r="C53" s="557"/>
      <c r="D53" s="557"/>
      <c r="E53" s="557"/>
      <c r="F53" s="557"/>
      <c r="G53" s="557"/>
      <c r="H53" s="557"/>
      <c r="I53" s="557"/>
      <c r="J53" s="557"/>
      <c r="K53" s="557"/>
      <c r="L53" s="557"/>
      <c r="M53" s="341" t="s">
        <v>1338</v>
      </c>
      <c r="N53" s="605" t="s">
        <v>1359</v>
      </c>
      <c r="O53" s="611"/>
      <c r="P53" s="358"/>
      <c r="Q53" s="358"/>
    </row>
    <row r="54" spans="1:17" s="418" customFormat="1" x14ac:dyDescent="0.25">
      <c r="A54" s="554"/>
      <c r="B54" s="560"/>
      <c r="C54" s="557"/>
      <c r="D54" s="557"/>
      <c r="E54" s="557"/>
      <c r="F54" s="557"/>
      <c r="G54" s="557"/>
      <c r="H54" s="557"/>
      <c r="I54" s="557"/>
      <c r="J54" s="557"/>
      <c r="K54" s="557"/>
      <c r="L54" s="557"/>
      <c r="M54" s="341" t="s">
        <v>1274</v>
      </c>
      <c r="N54" s="605" t="s">
        <v>1386</v>
      </c>
      <c r="O54" s="611"/>
      <c r="P54" s="358"/>
      <c r="Q54" s="358"/>
    </row>
    <row r="55" spans="1:17" s="418" customFormat="1" x14ac:dyDescent="0.25">
      <c r="A55" s="554"/>
      <c r="B55" s="560"/>
      <c r="C55" s="557"/>
      <c r="D55" s="557"/>
      <c r="E55" s="557"/>
      <c r="F55" s="557"/>
      <c r="G55" s="557"/>
      <c r="H55" s="557"/>
      <c r="I55" s="557"/>
      <c r="J55" s="557"/>
      <c r="K55" s="557"/>
      <c r="L55" s="557"/>
      <c r="M55" s="341"/>
      <c r="N55" s="605"/>
      <c r="O55" s="611"/>
      <c r="P55" s="358"/>
      <c r="Q55" s="358"/>
    </row>
    <row r="56" spans="1:17" s="418" customFormat="1" x14ac:dyDescent="0.25">
      <c r="A56" s="554"/>
      <c r="B56" s="559"/>
      <c r="C56" s="557"/>
      <c r="D56" s="557"/>
      <c r="E56" s="557"/>
      <c r="F56" s="557"/>
      <c r="G56" s="557"/>
      <c r="H56" s="557"/>
      <c r="I56" s="557"/>
      <c r="J56" s="557"/>
      <c r="K56" s="557"/>
      <c r="L56" s="557"/>
      <c r="M56" s="341"/>
      <c r="N56" s="605" t="s">
        <v>1380</v>
      </c>
      <c r="O56" s="611"/>
      <c r="P56" s="358"/>
      <c r="Q56" s="358"/>
    </row>
    <row r="57" spans="1:17" s="418" customFormat="1" x14ac:dyDescent="0.25">
      <c r="A57" s="554"/>
      <c r="B57" s="559"/>
      <c r="C57" s="557"/>
      <c r="D57" s="557"/>
      <c r="E57" s="557"/>
      <c r="F57" s="557"/>
      <c r="G57" s="557"/>
      <c r="H57" s="557"/>
      <c r="I57" s="557"/>
      <c r="J57" s="557"/>
      <c r="K57" s="557"/>
      <c r="L57" s="557"/>
      <c r="M57" s="341"/>
      <c r="N57" s="605" t="s">
        <v>1365</v>
      </c>
      <c r="O57" s="611"/>
      <c r="P57" s="358"/>
      <c r="Q57" s="358"/>
    </row>
    <row r="58" spans="1:17" s="418" customFormat="1" x14ac:dyDescent="0.25">
      <c r="A58" s="554"/>
      <c r="B58" s="624"/>
      <c r="C58" s="557"/>
      <c r="D58" s="557"/>
      <c r="E58" s="557"/>
      <c r="F58" s="557"/>
      <c r="G58" s="557"/>
      <c r="H58" s="557"/>
      <c r="I58" s="557"/>
      <c r="J58" s="557"/>
      <c r="K58" s="557"/>
      <c r="L58" s="557"/>
      <c r="M58" s="341"/>
      <c r="N58" s="605" t="s">
        <v>1376</v>
      </c>
      <c r="O58" s="611"/>
      <c r="P58" s="358"/>
      <c r="Q58" s="358"/>
    </row>
    <row r="59" spans="1:17" s="418" customFormat="1" x14ac:dyDescent="0.25">
      <c r="A59" s="554"/>
      <c r="B59" s="624" t="s">
        <v>1464</v>
      </c>
      <c r="C59" s="557"/>
      <c r="D59" s="557">
        <v>12607</v>
      </c>
      <c r="E59" s="557">
        <v>12607</v>
      </c>
      <c r="F59" s="557"/>
      <c r="G59" s="557"/>
      <c r="H59" s="557"/>
      <c r="I59" s="557"/>
      <c r="J59" s="557"/>
      <c r="K59" s="557"/>
      <c r="L59" s="557"/>
      <c r="M59" s="341"/>
      <c r="N59" s="605"/>
      <c r="O59" s="611"/>
      <c r="P59" s="358"/>
      <c r="Q59" s="358"/>
    </row>
    <row r="60" spans="1:17" s="418" customFormat="1" x14ac:dyDescent="0.25">
      <c r="A60" s="551" t="s">
        <v>557</v>
      </c>
      <c r="B60" s="552" t="s">
        <v>1142</v>
      </c>
      <c r="C60" s="562">
        <f>SUM(C61:C61)</f>
        <v>2794</v>
      </c>
      <c r="D60" s="553">
        <f>D61</f>
        <v>2794</v>
      </c>
      <c r="E60" s="553">
        <f>E61</f>
        <v>2794</v>
      </c>
      <c r="F60" s="562">
        <f>SUM(F61:F61)</f>
        <v>0</v>
      </c>
      <c r="G60" s="562">
        <f>SUM(G61:G61)</f>
        <v>0</v>
      </c>
      <c r="H60" s="553">
        <f>+G60</f>
        <v>0</v>
      </c>
      <c r="I60" s="553">
        <f>I61</f>
        <v>0</v>
      </c>
      <c r="J60" s="553">
        <f>J61</f>
        <v>0</v>
      </c>
      <c r="K60" s="553">
        <f>K61</f>
        <v>0</v>
      </c>
      <c r="L60" s="553">
        <f>L61</f>
        <v>0</v>
      </c>
      <c r="M60" s="340"/>
      <c r="N60" s="604"/>
      <c r="O60" s="611"/>
      <c r="P60" s="206"/>
      <c r="Q60" s="206"/>
    </row>
    <row r="61" spans="1:17" s="418" customFormat="1" x14ac:dyDescent="0.25">
      <c r="A61" s="551"/>
      <c r="B61" s="559" t="s">
        <v>1143</v>
      </c>
      <c r="C61" s="557">
        <f>4445-4445+2200*1.27+700-700</f>
        <v>2794</v>
      </c>
      <c r="D61" s="556">
        <f>2794</f>
        <v>2794</v>
      </c>
      <c r="E61" s="556">
        <f>2794</f>
        <v>2794</v>
      </c>
      <c r="F61" s="557"/>
      <c r="G61" s="557"/>
      <c r="H61" s="556"/>
      <c r="I61" s="556"/>
      <c r="J61" s="556"/>
      <c r="K61" s="556"/>
      <c r="L61" s="556"/>
      <c r="M61" s="341" t="s">
        <v>1338</v>
      </c>
      <c r="N61" s="605" t="s">
        <v>1283</v>
      </c>
      <c r="O61" s="611"/>
      <c r="P61" s="206"/>
      <c r="Q61" s="206"/>
    </row>
    <row r="62" spans="1:17" s="418" customFormat="1" x14ac:dyDescent="0.25">
      <c r="A62" s="551" t="s">
        <v>559</v>
      </c>
      <c r="B62" s="552" t="s">
        <v>1147</v>
      </c>
      <c r="C62" s="562">
        <v>0</v>
      </c>
      <c r="D62" s="562">
        <f>13000+17500+1000</f>
        <v>31500</v>
      </c>
      <c r="E62" s="562">
        <f>13000+17500+1000</f>
        <v>31500</v>
      </c>
      <c r="F62" s="562">
        <v>0</v>
      </c>
      <c r="G62" s="562">
        <v>0</v>
      </c>
      <c r="H62" s="562"/>
      <c r="I62" s="562"/>
      <c r="J62" s="562"/>
      <c r="K62" s="562"/>
      <c r="L62" s="562"/>
      <c r="M62" s="340"/>
      <c r="N62" s="604"/>
      <c r="O62" s="611"/>
      <c r="P62" s="206"/>
      <c r="Q62" s="206"/>
    </row>
    <row r="63" spans="1:17" s="418" customFormat="1" ht="15.75" x14ac:dyDescent="0.25">
      <c r="A63" s="551" t="s">
        <v>561</v>
      </c>
      <c r="B63" s="552" t="s">
        <v>1353</v>
      </c>
      <c r="C63" s="562">
        <f>C64+C70+C71+C72+C73+C74+C75</f>
        <v>58452</v>
      </c>
      <c r="D63" s="553">
        <f>D64+D71+D72+D74+D75+D76</f>
        <v>44049</v>
      </c>
      <c r="E63" s="553">
        <f>E64+E71+E72+E74+E75+E76</f>
        <v>44049</v>
      </c>
      <c r="F63" s="562">
        <f>F64+F70+F71+F72+F73</f>
        <v>0</v>
      </c>
      <c r="G63" s="562">
        <f>G64+G70+G71+G72+G73+G74+G75</f>
        <v>0</v>
      </c>
      <c r="H63" s="553">
        <f>+G63</f>
        <v>0</v>
      </c>
      <c r="I63" s="553">
        <f>I64+I71+I72+I74+I75</f>
        <v>0</v>
      </c>
      <c r="J63" s="553">
        <f>J64+J71+J72+J74+J75</f>
        <v>0</v>
      </c>
      <c r="K63" s="553">
        <f>K64+K71+K72+K74+K75+K76</f>
        <v>0</v>
      </c>
      <c r="L63" s="553">
        <f>L64+L71+L72+L74+L75</f>
        <v>0</v>
      </c>
      <c r="M63" s="340"/>
      <c r="N63" s="604"/>
      <c r="O63" s="614"/>
      <c r="P63" s="206"/>
      <c r="Q63" s="206"/>
    </row>
    <row r="64" spans="1:17" s="419" customFormat="1" ht="15.75" x14ac:dyDescent="0.25">
      <c r="A64" s="551"/>
      <c r="B64" s="559" t="s">
        <v>1148</v>
      </c>
      <c r="C64" s="557">
        <f>SUM(C65:C69)</f>
        <v>17402</v>
      </c>
      <c r="D64" s="556">
        <f t="shared" ref="D64:D74" si="5">+C64</f>
        <v>17402</v>
      </c>
      <c r="E64" s="556">
        <f t="shared" ref="E64:E74" si="6">+D64</f>
        <v>17402</v>
      </c>
      <c r="F64" s="557"/>
      <c r="G64" s="557"/>
      <c r="H64" s="556"/>
      <c r="I64" s="556"/>
      <c r="J64" s="556"/>
      <c r="K64" s="556"/>
      <c r="L64" s="556"/>
      <c r="M64" s="341" t="s">
        <v>1338</v>
      </c>
      <c r="N64" s="605" t="s">
        <v>1281</v>
      </c>
      <c r="O64" s="611">
        <v>100</v>
      </c>
      <c r="P64" s="206"/>
      <c r="Q64" s="206"/>
    </row>
    <row r="65" spans="1:17" s="420" customFormat="1" x14ac:dyDescent="0.25">
      <c r="A65" s="551"/>
      <c r="B65" s="559"/>
      <c r="C65" s="557"/>
      <c r="D65" s="556">
        <f t="shared" si="5"/>
        <v>0</v>
      </c>
      <c r="E65" s="556">
        <f t="shared" si="6"/>
        <v>0</v>
      </c>
      <c r="F65" s="557"/>
      <c r="G65" s="557"/>
      <c r="H65" s="556">
        <f t="shared" ref="H65:K66" si="7">+G65</f>
        <v>0</v>
      </c>
      <c r="I65" s="556">
        <f t="shared" si="7"/>
        <v>0</v>
      </c>
      <c r="J65" s="556">
        <f t="shared" si="7"/>
        <v>0</v>
      </c>
      <c r="K65" s="556">
        <f t="shared" si="7"/>
        <v>0</v>
      </c>
      <c r="L65" s="556">
        <f>+I65</f>
        <v>0</v>
      </c>
      <c r="M65" s="341"/>
      <c r="N65" s="605"/>
      <c r="O65" s="564"/>
      <c r="P65" s="206"/>
      <c r="Q65" s="206"/>
    </row>
    <row r="66" spans="1:17" s="420" customFormat="1" x14ac:dyDescent="0.25">
      <c r="A66" s="551"/>
      <c r="B66" s="559"/>
      <c r="C66" s="557"/>
      <c r="D66" s="556">
        <f t="shared" si="5"/>
        <v>0</v>
      </c>
      <c r="E66" s="556">
        <f t="shared" si="6"/>
        <v>0</v>
      </c>
      <c r="F66" s="557"/>
      <c r="G66" s="557"/>
      <c r="H66" s="556">
        <f t="shared" si="7"/>
        <v>0</v>
      </c>
      <c r="I66" s="556">
        <f t="shared" si="7"/>
        <v>0</v>
      </c>
      <c r="J66" s="556">
        <f t="shared" si="7"/>
        <v>0</v>
      </c>
      <c r="K66" s="556">
        <f t="shared" si="7"/>
        <v>0</v>
      </c>
      <c r="L66" s="556">
        <f>+I66</f>
        <v>0</v>
      </c>
      <c r="M66" s="341"/>
      <c r="N66" s="605" t="s">
        <v>1382</v>
      </c>
      <c r="O66" s="564"/>
      <c r="P66" s="206"/>
      <c r="Q66" s="206"/>
    </row>
    <row r="67" spans="1:17" s="420" customFormat="1" x14ac:dyDescent="0.25">
      <c r="A67" s="551"/>
      <c r="B67" s="624"/>
      <c r="C67" s="557"/>
      <c r="D67" s="556">
        <f t="shared" si="5"/>
        <v>0</v>
      </c>
      <c r="E67" s="556">
        <f t="shared" si="6"/>
        <v>0</v>
      </c>
      <c r="F67" s="557"/>
      <c r="G67" s="557"/>
      <c r="H67" s="556"/>
      <c r="I67" s="556"/>
      <c r="J67" s="556"/>
      <c r="K67" s="556"/>
      <c r="L67" s="556"/>
      <c r="M67" s="341"/>
      <c r="N67" s="605" t="s">
        <v>1382</v>
      </c>
      <c r="O67" s="564"/>
      <c r="P67" s="206"/>
      <c r="Q67" s="206"/>
    </row>
    <row r="68" spans="1:17" s="420" customFormat="1" x14ac:dyDescent="0.25">
      <c r="A68" s="551"/>
      <c r="B68" s="559" t="s">
        <v>1418</v>
      </c>
      <c r="C68" s="557">
        <v>17402</v>
      </c>
      <c r="D68" s="556">
        <f t="shared" si="5"/>
        <v>17402</v>
      </c>
      <c r="E68" s="556">
        <f t="shared" si="6"/>
        <v>17402</v>
      </c>
      <c r="F68" s="557"/>
      <c r="G68" s="557"/>
      <c r="H68" s="556"/>
      <c r="I68" s="556"/>
      <c r="J68" s="556"/>
      <c r="K68" s="556"/>
      <c r="L68" s="556"/>
      <c r="M68" s="341"/>
      <c r="N68" s="605"/>
      <c r="O68" s="564"/>
      <c r="P68" s="206"/>
      <c r="Q68" s="206"/>
    </row>
    <row r="69" spans="1:17" s="420" customFormat="1" x14ac:dyDescent="0.25">
      <c r="A69" s="551"/>
      <c r="B69" s="559"/>
      <c r="C69" s="557"/>
      <c r="D69" s="556">
        <f t="shared" si="5"/>
        <v>0</v>
      </c>
      <c r="E69" s="556">
        <f t="shared" si="6"/>
        <v>0</v>
      </c>
      <c r="F69" s="557"/>
      <c r="G69" s="557"/>
      <c r="H69" s="556"/>
      <c r="I69" s="556"/>
      <c r="J69" s="556"/>
      <c r="K69" s="556"/>
      <c r="L69" s="556"/>
      <c r="M69" s="341"/>
      <c r="N69" s="605" t="s">
        <v>1361</v>
      </c>
      <c r="O69" s="564"/>
      <c r="P69" s="206"/>
      <c r="Q69" s="206"/>
    </row>
    <row r="70" spans="1:17" s="420" customFormat="1" x14ac:dyDescent="0.25">
      <c r="A70" s="551"/>
      <c r="B70" s="559"/>
      <c r="C70" s="557"/>
      <c r="D70" s="556">
        <f t="shared" si="5"/>
        <v>0</v>
      </c>
      <c r="E70" s="556">
        <f t="shared" si="6"/>
        <v>0</v>
      </c>
      <c r="F70" s="557"/>
      <c r="G70" s="557"/>
      <c r="H70" s="556"/>
      <c r="I70" s="556"/>
      <c r="J70" s="556"/>
      <c r="K70" s="556"/>
      <c r="L70" s="556"/>
      <c r="M70" s="341"/>
      <c r="N70" s="605" t="s">
        <v>1374</v>
      </c>
      <c r="O70" s="564"/>
      <c r="P70" s="206"/>
      <c r="Q70" s="206"/>
    </row>
    <row r="71" spans="1:17" s="418" customFormat="1" x14ac:dyDescent="0.25">
      <c r="A71" s="551"/>
      <c r="B71" s="559" t="s">
        <v>1321</v>
      </c>
      <c r="C71" s="557">
        <v>16800</v>
      </c>
      <c r="D71" s="556">
        <f t="shared" si="5"/>
        <v>16800</v>
      </c>
      <c r="E71" s="556">
        <f t="shared" si="6"/>
        <v>16800</v>
      </c>
      <c r="F71" s="557"/>
      <c r="G71" s="557"/>
      <c r="H71" s="556"/>
      <c r="I71" s="556"/>
      <c r="J71" s="556"/>
      <c r="K71" s="556"/>
      <c r="L71" s="556"/>
      <c r="M71" s="341" t="s">
        <v>1338</v>
      </c>
      <c r="N71" s="605" t="s">
        <v>1387</v>
      </c>
      <c r="O71" s="611"/>
      <c r="P71" s="206"/>
      <c r="Q71" s="206"/>
    </row>
    <row r="72" spans="1:17" s="418" customFormat="1" x14ac:dyDescent="0.25">
      <c r="A72" s="551"/>
      <c r="B72" s="559" t="s">
        <v>1322</v>
      </c>
      <c r="C72" s="557">
        <v>7040</v>
      </c>
      <c r="D72" s="556">
        <f t="shared" si="5"/>
        <v>7040</v>
      </c>
      <c r="E72" s="556">
        <f t="shared" si="6"/>
        <v>7040</v>
      </c>
      <c r="F72" s="557"/>
      <c r="G72" s="556"/>
      <c r="H72" s="556"/>
      <c r="I72" s="556"/>
      <c r="J72" s="556"/>
      <c r="K72" s="556"/>
      <c r="L72" s="556"/>
      <c r="M72" s="341" t="s">
        <v>1338</v>
      </c>
      <c r="N72" s="605" t="s">
        <v>1281</v>
      </c>
      <c r="O72" s="611"/>
      <c r="P72" s="206"/>
      <c r="Q72" s="206"/>
    </row>
    <row r="73" spans="1:17" s="418" customFormat="1" x14ac:dyDescent="0.25">
      <c r="A73" s="551"/>
      <c r="B73" s="559"/>
      <c r="C73" s="557"/>
      <c r="D73" s="556">
        <f t="shared" si="5"/>
        <v>0</v>
      </c>
      <c r="E73" s="556">
        <f t="shared" si="6"/>
        <v>0</v>
      </c>
      <c r="F73" s="557"/>
      <c r="G73" s="557"/>
      <c r="H73" s="556"/>
      <c r="I73" s="556"/>
      <c r="J73" s="556"/>
      <c r="K73" s="556"/>
      <c r="L73" s="556"/>
      <c r="M73" s="341"/>
      <c r="N73" s="605"/>
      <c r="O73" s="611"/>
      <c r="P73" s="206"/>
      <c r="Q73" s="206"/>
    </row>
    <row r="74" spans="1:17" s="418" customFormat="1" x14ac:dyDescent="0.25">
      <c r="A74" s="551"/>
      <c r="B74" s="559" t="s">
        <v>1419</v>
      </c>
      <c r="C74" s="557">
        <v>2210</v>
      </c>
      <c r="D74" s="556">
        <f t="shared" si="5"/>
        <v>2210</v>
      </c>
      <c r="E74" s="556">
        <f t="shared" si="6"/>
        <v>2210</v>
      </c>
      <c r="F74" s="557"/>
      <c r="G74" s="557"/>
      <c r="H74" s="556"/>
      <c r="I74" s="556"/>
      <c r="J74" s="556"/>
      <c r="K74" s="556"/>
      <c r="L74" s="556"/>
      <c r="M74" s="341"/>
      <c r="N74" s="605"/>
      <c r="O74" s="611"/>
      <c r="P74" s="206"/>
      <c r="Q74" s="206"/>
    </row>
    <row r="75" spans="1:17" s="418" customFormat="1" ht="28.5" x14ac:dyDescent="0.25">
      <c r="A75" s="551"/>
      <c r="B75" s="559" t="s">
        <v>1420</v>
      </c>
      <c r="C75" s="557">
        <v>15000</v>
      </c>
      <c r="D75" s="556">
        <f>15000-14403</f>
        <v>597</v>
      </c>
      <c r="E75" s="556">
        <f>15000-14403</f>
        <v>597</v>
      </c>
      <c r="F75" s="557"/>
      <c r="G75" s="557"/>
      <c r="H75" s="556"/>
      <c r="I75" s="556"/>
      <c r="J75" s="556"/>
      <c r="K75" s="556"/>
      <c r="L75" s="556"/>
      <c r="M75" s="341" t="s">
        <v>1274</v>
      </c>
      <c r="N75" s="605"/>
      <c r="O75" s="611"/>
      <c r="P75" s="206"/>
      <c r="Q75" s="206"/>
    </row>
    <row r="76" spans="1:17" s="418" customFormat="1" x14ac:dyDescent="0.25">
      <c r="A76" s="551"/>
      <c r="B76" s="559" t="s">
        <v>1462</v>
      </c>
      <c r="C76" s="557"/>
      <c r="D76" s="556"/>
      <c r="E76" s="556"/>
      <c r="F76" s="557"/>
      <c r="G76" s="557"/>
      <c r="H76" s="556"/>
      <c r="I76" s="556"/>
      <c r="J76" s="556"/>
      <c r="K76" s="556"/>
      <c r="L76" s="556"/>
      <c r="M76" s="341"/>
      <c r="N76" s="605"/>
      <c r="O76" s="611"/>
      <c r="P76" s="206"/>
      <c r="Q76" s="206"/>
    </row>
    <row r="77" spans="1:17" s="418" customFormat="1" ht="15.75" x14ac:dyDescent="0.25">
      <c r="A77" s="551" t="s">
        <v>562</v>
      </c>
      <c r="B77" s="552" t="s">
        <v>1149</v>
      </c>
      <c r="C77" s="562"/>
      <c r="D77" s="556">
        <f>+C77</f>
        <v>0</v>
      </c>
      <c r="E77" s="556">
        <f>+D77</f>
        <v>0</v>
      </c>
      <c r="F77" s="562">
        <v>0</v>
      </c>
      <c r="G77" s="562"/>
      <c r="H77" s="556">
        <f t="shared" ref="H77:I80" si="8">+G77</f>
        <v>0</v>
      </c>
      <c r="I77" s="556">
        <f t="shared" si="8"/>
        <v>0</v>
      </c>
      <c r="J77" s="556">
        <f>+I77</f>
        <v>0</v>
      </c>
      <c r="K77" s="556">
        <f>+J77</f>
        <v>0</v>
      </c>
      <c r="L77" s="556">
        <f>+I77</f>
        <v>0</v>
      </c>
      <c r="M77" s="340"/>
      <c r="N77" s="604"/>
      <c r="O77" s="614"/>
      <c r="P77" s="206"/>
      <c r="Q77" s="206"/>
    </row>
    <row r="78" spans="1:17" s="419" customFormat="1" ht="15.75" x14ac:dyDescent="0.25">
      <c r="A78" s="551" t="s">
        <v>564</v>
      </c>
      <c r="B78" s="552" t="s">
        <v>1153</v>
      </c>
      <c r="C78" s="562">
        <f>SUM(C79:C79)</f>
        <v>1500</v>
      </c>
      <c r="D78" s="553">
        <f>D79</f>
        <v>0</v>
      </c>
      <c r="E78" s="553">
        <f>E79</f>
        <v>0</v>
      </c>
      <c r="F78" s="562">
        <f>SUM(F79:F79)</f>
        <v>0</v>
      </c>
      <c r="G78" s="562">
        <f>SUM(G79:G79)</f>
        <v>0</v>
      </c>
      <c r="H78" s="553">
        <f t="shared" si="8"/>
        <v>0</v>
      </c>
      <c r="I78" s="553">
        <f>I79</f>
        <v>0</v>
      </c>
      <c r="J78" s="553">
        <f>J79</f>
        <v>0</v>
      </c>
      <c r="K78" s="553">
        <f>K79</f>
        <v>0</v>
      </c>
      <c r="L78" s="553">
        <f>L79</f>
        <v>0</v>
      </c>
      <c r="M78" s="340"/>
      <c r="N78" s="604"/>
      <c r="O78" s="611"/>
      <c r="P78" s="206"/>
      <c r="Q78" s="206"/>
    </row>
    <row r="79" spans="1:17" s="418" customFormat="1" x14ac:dyDescent="0.25">
      <c r="A79" s="551"/>
      <c r="B79" s="568" t="s">
        <v>1315</v>
      </c>
      <c r="C79" s="557">
        <v>1500</v>
      </c>
      <c r="D79" s="556">
        <f>1500-1500</f>
        <v>0</v>
      </c>
      <c r="E79" s="556">
        <f>1500-1500</f>
        <v>0</v>
      </c>
      <c r="F79" s="557">
        <v>0</v>
      </c>
      <c r="G79" s="557"/>
      <c r="H79" s="556"/>
      <c r="I79" s="556">
        <f>1500-1500</f>
        <v>0</v>
      </c>
      <c r="J79" s="556">
        <f>1500-1500</f>
        <v>0</v>
      </c>
      <c r="K79" s="556">
        <f>1500-1500</f>
        <v>0</v>
      </c>
      <c r="L79" s="556">
        <f>1500-1500</f>
        <v>0</v>
      </c>
      <c r="M79" s="341" t="s">
        <v>1338</v>
      </c>
      <c r="N79" s="605" t="s">
        <v>1287</v>
      </c>
      <c r="O79" s="611"/>
      <c r="P79" s="206"/>
      <c r="Q79" s="206"/>
    </row>
    <row r="80" spans="1:17" s="418" customFormat="1" ht="15.75" x14ac:dyDescent="0.25">
      <c r="A80" s="551" t="s">
        <v>566</v>
      </c>
      <c r="B80" s="552" t="s">
        <v>1144</v>
      </c>
      <c r="C80" s="562" t="e">
        <f>SUM(C81:C89)</f>
        <v>#REF!</v>
      </c>
      <c r="D80" s="553">
        <f>SUM(D89:D91)</f>
        <v>30253</v>
      </c>
      <c r="E80" s="553">
        <f>SUM(E89:E91)</f>
        <v>30253</v>
      </c>
      <c r="F80" s="562">
        <f>SUM(F81:F89)</f>
        <v>0</v>
      </c>
      <c r="G80" s="562" t="e">
        <f>SUM(G81:G89)</f>
        <v>#REF!</v>
      </c>
      <c r="H80" s="553" t="e">
        <f t="shared" si="8"/>
        <v>#REF!</v>
      </c>
      <c r="I80" s="553">
        <f>SUM(I89:I91)</f>
        <v>0</v>
      </c>
      <c r="J80" s="553">
        <f>SUM(J89:J91)</f>
        <v>0</v>
      </c>
      <c r="K80" s="553">
        <f>SUM(K89:K91)</f>
        <v>0</v>
      </c>
      <c r="L80" s="553">
        <f>SUM(L89:L91)</f>
        <v>0</v>
      </c>
      <c r="M80" s="340"/>
      <c r="N80" s="604"/>
      <c r="O80" s="614"/>
      <c r="P80" s="206"/>
      <c r="Q80" s="206">
        <f>126930-106742</f>
        <v>20188</v>
      </c>
    </row>
    <row r="81" spans="1:17" s="419" customFormat="1" ht="15.75" x14ac:dyDescent="0.25">
      <c r="A81" s="551"/>
      <c r="B81" s="559" t="s">
        <v>1160</v>
      </c>
      <c r="C81" s="557" t="e">
        <f>+'2C Önk bev kiad fel'!#REF!+'2C Önk bev kiad fel'!#REF!</f>
        <v>#REF!</v>
      </c>
      <c r="D81" s="557"/>
      <c r="E81" s="557"/>
      <c r="F81" s="557"/>
      <c r="G81" s="557" t="e">
        <f>+'2C Önk bev kiad fel'!#REF!+'2C Önk bev kiad fel'!E114</f>
        <v>#REF!</v>
      </c>
      <c r="H81" s="557"/>
      <c r="I81" s="557"/>
      <c r="J81" s="557"/>
      <c r="K81" s="557"/>
      <c r="L81" s="557"/>
      <c r="M81" s="341" t="s">
        <v>1338</v>
      </c>
      <c r="N81" s="605" t="s">
        <v>1282</v>
      </c>
      <c r="O81" s="611"/>
      <c r="P81" s="206"/>
      <c r="Q81" s="206">
        <f>306812-292445</f>
        <v>14367</v>
      </c>
    </row>
    <row r="82" spans="1:17" s="418" customFormat="1" x14ac:dyDescent="0.25">
      <c r="A82" s="551"/>
      <c r="B82" s="569" t="s">
        <v>1316</v>
      </c>
      <c r="C82" s="557"/>
      <c r="D82" s="557"/>
      <c r="E82" s="557"/>
      <c r="F82" s="557"/>
      <c r="G82" s="557"/>
      <c r="H82" s="557"/>
      <c r="I82" s="557"/>
      <c r="J82" s="557"/>
      <c r="K82" s="557"/>
      <c r="L82" s="557"/>
      <c r="M82" s="341" t="s">
        <v>1274</v>
      </c>
      <c r="N82" s="605" t="s">
        <v>1288</v>
      </c>
      <c r="O82" s="615"/>
      <c r="P82" s="206"/>
      <c r="Q82" s="206">
        <v>9500</v>
      </c>
    </row>
    <row r="83" spans="1:17" s="412" customFormat="1" x14ac:dyDescent="0.25">
      <c r="A83" s="551"/>
      <c r="B83" s="555"/>
      <c r="C83" s="557"/>
      <c r="D83" s="557"/>
      <c r="E83" s="557"/>
      <c r="F83" s="557"/>
      <c r="G83" s="557"/>
      <c r="H83" s="557"/>
      <c r="I83" s="557"/>
      <c r="J83" s="557"/>
      <c r="K83" s="557"/>
      <c r="L83" s="557"/>
      <c r="M83" s="341" t="s">
        <v>1274</v>
      </c>
      <c r="N83" s="605" t="s">
        <v>1379</v>
      </c>
      <c r="O83" s="615"/>
      <c r="P83" s="206"/>
      <c r="Q83" s="206">
        <f>5001-3401</f>
        <v>1600</v>
      </c>
    </row>
    <row r="84" spans="1:17" s="412" customFormat="1" x14ac:dyDescent="0.25">
      <c r="A84" s="551"/>
      <c r="B84" s="569"/>
      <c r="C84" s="557"/>
      <c r="D84" s="557"/>
      <c r="E84" s="557"/>
      <c r="F84" s="557"/>
      <c r="G84" s="557"/>
      <c r="H84" s="557"/>
      <c r="I84" s="557"/>
      <c r="J84" s="557"/>
      <c r="K84" s="557"/>
      <c r="L84" s="557"/>
      <c r="M84" s="341" t="s">
        <v>1274</v>
      </c>
      <c r="N84" s="605" t="s">
        <v>1330</v>
      </c>
      <c r="O84" s="615"/>
      <c r="P84" s="206"/>
      <c r="Q84" s="206">
        <v>3210</v>
      </c>
    </row>
    <row r="85" spans="1:17" s="412" customFormat="1" x14ac:dyDescent="0.25">
      <c r="A85" s="551"/>
      <c r="B85" s="569"/>
      <c r="C85" s="557"/>
      <c r="D85" s="557"/>
      <c r="E85" s="557"/>
      <c r="F85" s="557"/>
      <c r="G85" s="557"/>
      <c r="H85" s="557"/>
      <c r="I85" s="557"/>
      <c r="J85" s="557"/>
      <c r="K85" s="557"/>
      <c r="L85" s="557"/>
      <c r="M85" s="341" t="s">
        <v>1274</v>
      </c>
      <c r="N85" s="605" t="s">
        <v>1337</v>
      </c>
      <c r="O85" s="615"/>
      <c r="P85" s="206"/>
      <c r="Q85" s="206">
        <v>15000</v>
      </c>
    </row>
    <row r="86" spans="1:17" s="412" customFormat="1" x14ac:dyDescent="0.25">
      <c r="A86" s="551"/>
      <c r="B86" s="569"/>
      <c r="C86" s="557"/>
      <c r="D86" s="557"/>
      <c r="E86" s="557"/>
      <c r="F86" s="557"/>
      <c r="G86" s="557"/>
      <c r="H86" s="557"/>
      <c r="I86" s="557"/>
      <c r="J86" s="557"/>
      <c r="K86" s="557"/>
      <c r="L86" s="557"/>
      <c r="M86" s="341" t="s">
        <v>1274</v>
      </c>
      <c r="N86" s="605" t="s">
        <v>1330</v>
      </c>
      <c r="O86" s="615"/>
      <c r="P86" s="206"/>
      <c r="Q86" s="206">
        <v>17402</v>
      </c>
    </row>
    <row r="87" spans="1:17" s="412" customFormat="1" x14ac:dyDescent="0.25">
      <c r="A87" s="551"/>
      <c r="B87" s="559"/>
      <c r="C87" s="557"/>
      <c r="D87" s="557"/>
      <c r="E87" s="557"/>
      <c r="F87" s="557"/>
      <c r="G87" s="557"/>
      <c r="H87" s="557"/>
      <c r="I87" s="557"/>
      <c r="J87" s="557"/>
      <c r="K87" s="557"/>
      <c r="L87" s="557"/>
      <c r="M87" s="341"/>
      <c r="N87" s="605" t="s">
        <v>1360</v>
      </c>
      <c r="O87" s="615">
        <v>122526</v>
      </c>
      <c r="P87" s="206"/>
      <c r="Q87" s="206">
        <f>SUM(Q80:Q86)</f>
        <v>81267</v>
      </c>
    </row>
    <row r="88" spans="1:17" s="412" customFormat="1" x14ac:dyDescent="0.25">
      <c r="A88" s="551"/>
      <c r="B88" s="569"/>
      <c r="C88" s="557"/>
      <c r="D88" s="557"/>
      <c r="E88" s="557"/>
      <c r="F88" s="557"/>
      <c r="G88" s="557"/>
      <c r="H88" s="557"/>
      <c r="I88" s="557"/>
      <c r="J88" s="557"/>
      <c r="K88" s="557"/>
      <c r="L88" s="557"/>
      <c r="M88" s="341"/>
      <c r="N88" s="605" t="s">
        <v>1383</v>
      </c>
      <c r="O88" s="615"/>
      <c r="P88" s="206"/>
      <c r="Q88" s="206"/>
    </row>
    <row r="89" spans="1:17" s="412" customFormat="1" x14ac:dyDescent="0.25">
      <c r="A89" s="551"/>
      <c r="B89" s="569" t="s">
        <v>1421</v>
      </c>
      <c r="C89" s="557">
        <f>3850+1905</f>
        <v>5755</v>
      </c>
      <c r="D89" s="556">
        <f>+C89</f>
        <v>5755</v>
      </c>
      <c r="E89" s="556">
        <f>+D89</f>
        <v>5755</v>
      </c>
      <c r="F89" s="557"/>
      <c r="G89" s="557"/>
      <c r="H89" s="556"/>
      <c r="I89" s="556"/>
      <c r="J89" s="556"/>
      <c r="K89" s="556"/>
      <c r="L89" s="556"/>
      <c r="M89" s="341"/>
      <c r="N89" s="605" t="s">
        <v>1389</v>
      </c>
      <c r="O89" s="615"/>
      <c r="P89" s="206"/>
      <c r="Q89" s="206"/>
    </row>
    <row r="90" spans="1:17" s="412" customFormat="1" x14ac:dyDescent="0.25">
      <c r="A90" s="551"/>
      <c r="B90" s="569" t="s">
        <v>1436</v>
      </c>
      <c r="C90" s="557"/>
      <c r="D90" s="556">
        <f>4101+97+14200</f>
        <v>18398</v>
      </c>
      <c r="E90" s="556">
        <f>4101+97+14200</f>
        <v>18398</v>
      </c>
      <c r="F90" s="557"/>
      <c r="G90" s="557"/>
      <c r="H90" s="556"/>
      <c r="I90" s="556"/>
      <c r="J90" s="556"/>
      <c r="K90" s="556"/>
      <c r="L90" s="556"/>
      <c r="M90" s="341"/>
      <c r="N90" s="605"/>
      <c r="O90" s="615"/>
      <c r="P90" s="206"/>
      <c r="Q90" s="206"/>
    </row>
    <row r="91" spans="1:17" s="412" customFormat="1" x14ac:dyDescent="0.25">
      <c r="A91" s="551"/>
      <c r="B91" s="569" t="s">
        <v>1437</v>
      </c>
      <c r="C91" s="557"/>
      <c r="D91" s="556">
        <v>6100</v>
      </c>
      <c r="E91" s="556">
        <v>6100</v>
      </c>
      <c r="F91" s="557"/>
      <c r="G91" s="557"/>
      <c r="H91" s="556"/>
      <c r="I91" s="556"/>
      <c r="J91" s="556"/>
      <c r="K91" s="556"/>
      <c r="L91" s="556"/>
      <c r="M91" s="341"/>
      <c r="N91" s="605"/>
      <c r="O91" s="615"/>
      <c r="P91" s="206"/>
      <c r="Q91" s="206"/>
    </row>
    <row r="92" spans="1:17" s="412" customFormat="1" x14ac:dyDescent="0.25">
      <c r="A92" s="551" t="s">
        <v>567</v>
      </c>
      <c r="B92" s="552" t="s">
        <v>1400</v>
      </c>
      <c r="C92" s="562">
        <f>23853+2850</f>
        <v>26703</v>
      </c>
      <c r="D92" s="553">
        <f>22148-2804-5756</f>
        <v>13588</v>
      </c>
      <c r="E92" s="553">
        <f>22148-2804-5756</f>
        <v>13588</v>
      </c>
      <c r="F92" s="557"/>
      <c r="G92" s="562"/>
      <c r="H92" s="553"/>
      <c r="I92" s="553"/>
      <c r="J92" s="553"/>
      <c r="K92" s="553"/>
      <c r="L92" s="553"/>
      <c r="M92" s="341"/>
      <c r="N92" s="605"/>
      <c r="O92" s="615">
        <v>3661</v>
      </c>
      <c r="P92" s="206"/>
      <c r="Q92" s="206"/>
    </row>
    <row r="93" spans="1:17" s="412" customFormat="1" x14ac:dyDescent="0.25">
      <c r="A93" s="548" t="s">
        <v>318</v>
      </c>
      <c r="B93" s="549" t="s">
        <v>341</v>
      </c>
      <c r="C93" s="550">
        <f t="shared" ref="C93:L93" si="9">C94+C99+C103+C105+C107+C109+C111+C114+C116+C117</f>
        <v>38884</v>
      </c>
      <c r="D93" s="550">
        <f t="shared" si="9"/>
        <v>55489</v>
      </c>
      <c r="E93" s="550">
        <f t="shared" si="9"/>
        <v>55489</v>
      </c>
      <c r="F93" s="550">
        <f t="shared" si="9"/>
        <v>0</v>
      </c>
      <c r="G93" s="550">
        <f t="shared" si="9"/>
        <v>12566000</v>
      </c>
      <c r="H93" s="550">
        <f t="shared" si="9"/>
        <v>12566000</v>
      </c>
      <c r="I93" s="550">
        <f t="shared" si="9"/>
        <v>6096000</v>
      </c>
      <c r="J93" s="550">
        <f t="shared" si="9"/>
        <v>3556000</v>
      </c>
      <c r="K93" s="550">
        <f t="shared" si="9"/>
        <v>2286000</v>
      </c>
      <c r="L93" s="550">
        <f t="shared" si="9"/>
        <v>0</v>
      </c>
      <c r="M93" s="341"/>
      <c r="N93" s="605"/>
      <c r="O93" s="615"/>
      <c r="P93" s="206"/>
      <c r="Q93" s="206"/>
    </row>
    <row r="94" spans="1:17" s="412" customFormat="1" x14ac:dyDescent="0.25">
      <c r="A94" s="545" t="s">
        <v>311</v>
      </c>
      <c r="B94" s="570" t="s">
        <v>985</v>
      </c>
      <c r="C94" s="563">
        <f>SUM(C95:C98)</f>
        <v>12750</v>
      </c>
      <c r="D94" s="563">
        <f>SUM(D95:D98)</f>
        <v>27985</v>
      </c>
      <c r="E94" s="563">
        <f>SUM(E95:E98)</f>
        <v>27985</v>
      </c>
      <c r="F94" s="563">
        <f>SUM(F95:F98)</f>
        <v>0</v>
      </c>
      <c r="G94" s="563">
        <f>SUM(G95:G98)</f>
        <v>0</v>
      </c>
      <c r="H94" s="553">
        <f>+G94</f>
        <v>0</v>
      </c>
      <c r="I94" s="553">
        <f>+H94</f>
        <v>0</v>
      </c>
      <c r="J94" s="553">
        <f>+I94</f>
        <v>0</v>
      </c>
      <c r="K94" s="553">
        <f>+J94</f>
        <v>0</v>
      </c>
      <c r="L94" s="553">
        <f>SUM(L95:L98)</f>
        <v>0</v>
      </c>
      <c r="M94" s="342"/>
      <c r="N94" s="608"/>
      <c r="O94" s="615"/>
    </row>
    <row r="95" spans="1:17" s="412" customFormat="1" x14ac:dyDescent="0.25">
      <c r="A95" s="571"/>
      <c r="B95" s="572" t="s">
        <v>1309</v>
      </c>
      <c r="C95" s="558">
        <v>2540</v>
      </c>
      <c r="D95" s="558">
        <f>4000*1.27</f>
        <v>5080</v>
      </c>
      <c r="E95" s="558">
        <f>4000*1.27</f>
        <v>5080</v>
      </c>
      <c r="F95" s="558"/>
      <c r="G95" s="558"/>
      <c r="H95" s="556"/>
      <c r="I95" s="556"/>
      <c r="J95" s="556"/>
      <c r="K95" s="556"/>
      <c r="L95" s="556"/>
      <c r="M95" s="341"/>
      <c r="N95" s="605"/>
      <c r="O95" s="615"/>
    </row>
    <row r="96" spans="1:17" s="412" customFormat="1" x14ac:dyDescent="0.25">
      <c r="A96" s="571"/>
      <c r="B96" s="572" t="s">
        <v>986</v>
      </c>
      <c r="C96" s="558">
        <v>4445</v>
      </c>
      <c r="D96" s="558">
        <f>3500*1.27</f>
        <v>4445</v>
      </c>
      <c r="E96" s="558">
        <f>3500*1.27</f>
        <v>4445</v>
      </c>
      <c r="F96" s="558"/>
      <c r="G96" s="558"/>
      <c r="H96" s="556"/>
      <c r="I96" s="556"/>
      <c r="J96" s="556"/>
      <c r="K96" s="556"/>
      <c r="L96" s="556"/>
      <c r="M96" s="341"/>
      <c r="N96" s="605"/>
      <c r="O96" s="615"/>
    </row>
    <row r="97" spans="1:17" s="412" customFormat="1" x14ac:dyDescent="0.25">
      <c r="A97" s="571"/>
      <c r="B97" s="572" t="s">
        <v>1310</v>
      </c>
      <c r="C97" s="558">
        <v>4445</v>
      </c>
      <c r="D97" s="558">
        <f>3500*1.27</f>
        <v>4445</v>
      </c>
      <c r="E97" s="558">
        <f>3500*1.27</f>
        <v>4445</v>
      </c>
      <c r="F97" s="558"/>
      <c r="G97" s="558"/>
      <c r="H97" s="556"/>
      <c r="I97" s="556"/>
      <c r="J97" s="556"/>
      <c r="K97" s="556"/>
      <c r="L97" s="556"/>
      <c r="M97" s="341"/>
      <c r="N97" s="605"/>
      <c r="O97" s="615"/>
    </row>
    <row r="98" spans="1:17" s="412" customFormat="1" x14ac:dyDescent="0.25">
      <c r="A98" s="571"/>
      <c r="B98" s="572" t="s">
        <v>987</v>
      </c>
      <c r="C98" s="558">
        <v>1320</v>
      </c>
      <c r="D98" s="558">
        <f>45+11000*1.27</f>
        <v>14015</v>
      </c>
      <c r="E98" s="558">
        <f>45+11000*1.27</f>
        <v>14015</v>
      </c>
      <c r="F98" s="558"/>
      <c r="G98" s="558"/>
      <c r="H98" s="556"/>
      <c r="I98" s="556"/>
      <c r="J98" s="556"/>
      <c r="K98" s="556"/>
      <c r="L98" s="556"/>
      <c r="M98" s="341"/>
      <c r="N98" s="605"/>
      <c r="O98" s="615"/>
    </row>
    <row r="99" spans="1:17" s="412" customFormat="1" x14ac:dyDescent="0.25">
      <c r="A99" s="545" t="s">
        <v>322</v>
      </c>
      <c r="B99" s="570" t="s">
        <v>988</v>
      </c>
      <c r="C99" s="562">
        <f>SUM(C101)</f>
        <v>16875</v>
      </c>
      <c r="D99" s="562">
        <f>SUM(D100:D101)</f>
        <v>14550</v>
      </c>
      <c r="E99" s="562">
        <f>SUM(E100:E102)</f>
        <v>14550</v>
      </c>
      <c r="F99" s="562">
        <f>SUM(F100:F102)</f>
        <v>0</v>
      </c>
      <c r="G99" s="562">
        <f>SUM(G100:G102)</f>
        <v>0</v>
      </c>
      <c r="H99" s="553">
        <f>SUM(H101)</f>
        <v>0</v>
      </c>
      <c r="I99" s="553">
        <f>SUM(I101)</f>
        <v>0</v>
      </c>
      <c r="J99" s="553">
        <f>SUM(J101)</f>
        <v>0</v>
      </c>
      <c r="K99" s="553">
        <f>SUM(K101)</f>
        <v>0</v>
      </c>
      <c r="L99" s="553">
        <f>SUM(L101)</f>
        <v>0</v>
      </c>
      <c r="M99" s="342"/>
      <c r="N99" s="608"/>
      <c r="O99" s="615"/>
    </row>
    <row r="100" spans="1:17" s="412" customFormat="1" x14ac:dyDescent="0.25">
      <c r="A100" s="564"/>
      <c r="B100" s="572"/>
      <c r="C100" s="557"/>
      <c r="D100" s="557"/>
      <c r="E100" s="557"/>
      <c r="F100" s="557"/>
      <c r="G100" s="557"/>
      <c r="H100" s="557"/>
      <c r="I100" s="557"/>
      <c r="J100" s="557"/>
      <c r="K100" s="557"/>
      <c r="L100" s="557"/>
      <c r="M100" s="449"/>
      <c r="N100" s="609"/>
      <c r="O100" s="615"/>
    </row>
    <row r="101" spans="1:17" s="412" customFormat="1" x14ac:dyDescent="0.25">
      <c r="A101" s="571"/>
      <c r="B101" s="572" t="s">
        <v>987</v>
      </c>
      <c r="C101" s="556">
        <f>18527-1016-635-1</f>
        <v>16875</v>
      </c>
      <c r="D101" s="556">
        <f>4572+3121+6857</f>
        <v>14550</v>
      </c>
      <c r="E101" s="556">
        <f>4572+3121+6857</f>
        <v>14550</v>
      </c>
      <c r="F101" s="556"/>
      <c r="G101" s="556"/>
      <c r="H101" s="556"/>
      <c r="I101" s="556"/>
      <c r="J101" s="556"/>
      <c r="K101" s="556"/>
      <c r="L101" s="556"/>
      <c r="M101" s="341"/>
      <c r="N101" s="605"/>
      <c r="O101" s="615"/>
    </row>
    <row r="102" spans="1:17" s="412" customFormat="1" x14ac:dyDescent="0.25">
      <c r="A102" s="571"/>
      <c r="B102" s="572"/>
      <c r="C102" s="556"/>
      <c r="D102" s="556"/>
      <c r="E102" s="556"/>
      <c r="F102" s="556"/>
      <c r="G102" s="556"/>
      <c r="H102" s="556"/>
      <c r="I102" s="556"/>
      <c r="J102" s="556"/>
      <c r="K102" s="556"/>
      <c r="L102" s="556"/>
      <c r="M102" s="341"/>
      <c r="N102" s="605"/>
      <c r="O102" s="615"/>
    </row>
    <row r="103" spans="1:17" s="412" customFormat="1" x14ac:dyDescent="0.25">
      <c r="A103" s="545" t="s">
        <v>315</v>
      </c>
      <c r="B103" s="570" t="s">
        <v>347</v>
      </c>
      <c r="C103" s="562">
        <f>SUM(C104)</f>
        <v>845</v>
      </c>
      <c r="D103" s="562">
        <f>SUM(D104)</f>
        <v>0</v>
      </c>
      <c r="E103" s="562">
        <f>SUM(E104)</f>
        <v>0</v>
      </c>
      <c r="F103" s="562">
        <f>SUM(F104)</f>
        <v>0</v>
      </c>
      <c r="G103" s="562">
        <f>SUM(G104)</f>
        <v>1270000</v>
      </c>
      <c r="H103" s="553">
        <f t="shared" ref="H103:I115" si="10">+G103</f>
        <v>1270000</v>
      </c>
      <c r="I103" s="553">
        <f t="shared" si="10"/>
        <v>1270000</v>
      </c>
      <c r="J103" s="553">
        <f>+I103</f>
        <v>1270000</v>
      </c>
      <c r="K103" s="553">
        <f>+J103</f>
        <v>1270000</v>
      </c>
      <c r="L103" s="553">
        <f>+L104</f>
        <v>0</v>
      </c>
      <c r="M103" s="342"/>
      <c r="N103" s="608"/>
      <c r="O103" s="615"/>
    </row>
    <row r="104" spans="1:17" s="412" customFormat="1" x14ac:dyDescent="0.25">
      <c r="A104" s="571"/>
      <c r="B104" s="572" t="s">
        <v>1161</v>
      </c>
      <c r="C104" s="556">
        <v>845</v>
      </c>
      <c r="D104" s="556"/>
      <c r="E104" s="556"/>
      <c r="F104" s="556"/>
      <c r="G104" s="556">
        <f>+'5 GSZNR fel'!E13+'5 GSZNR fel'!E19</f>
        <v>1270000</v>
      </c>
      <c r="H104" s="556">
        <f t="shared" si="10"/>
        <v>1270000</v>
      </c>
      <c r="I104" s="556">
        <f t="shared" si="10"/>
        <v>1270000</v>
      </c>
      <c r="J104" s="556">
        <f>+I104</f>
        <v>1270000</v>
      </c>
      <c r="K104" s="556">
        <f>+J104</f>
        <v>1270000</v>
      </c>
      <c r="L104" s="556"/>
      <c r="M104" s="341"/>
      <c r="N104" s="605"/>
      <c r="O104" s="615"/>
    </row>
    <row r="105" spans="1:17" s="412" customFormat="1" ht="15.75" x14ac:dyDescent="0.25">
      <c r="A105" s="573" t="s">
        <v>336</v>
      </c>
      <c r="B105" s="570" t="s">
        <v>989</v>
      </c>
      <c r="C105" s="562">
        <f>SUM(C106)</f>
        <v>762</v>
      </c>
      <c r="D105" s="562">
        <f>SUM(D106)</f>
        <v>1103</v>
      </c>
      <c r="E105" s="562">
        <f>SUM(E106)</f>
        <v>1103</v>
      </c>
      <c r="F105" s="562">
        <f>SUM(F106)</f>
        <v>0</v>
      </c>
      <c r="G105" s="562">
        <f>SUM(G106)</f>
        <v>1270000</v>
      </c>
      <c r="H105" s="553">
        <f t="shared" si="10"/>
        <v>1270000</v>
      </c>
      <c r="I105" s="553">
        <f t="shared" si="10"/>
        <v>1270000</v>
      </c>
      <c r="J105" s="553">
        <f>J106</f>
        <v>0</v>
      </c>
      <c r="K105" s="553">
        <f>K106</f>
        <v>0</v>
      </c>
      <c r="L105" s="553">
        <f>+L106</f>
        <v>0</v>
      </c>
      <c r="M105" s="340"/>
      <c r="N105" s="604"/>
      <c r="O105" s="616"/>
      <c r="P105" s="422"/>
      <c r="Q105" s="422"/>
    </row>
    <row r="106" spans="1:17" s="412" customFormat="1" x14ac:dyDescent="0.25">
      <c r="A106" s="571"/>
      <c r="B106" s="572" t="s">
        <v>1161</v>
      </c>
      <c r="C106" s="556">
        <v>762</v>
      </c>
      <c r="D106" s="556">
        <f>635+368+100</f>
        <v>1103</v>
      </c>
      <c r="E106" s="556">
        <f>635+368+100</f>
        <v>1103</v>
      </c>
      <c r="F106" s="556"/>
      <c r="G106" s="556">
        <f>+'5 GSZNR fel'!E30+'5 GSZNR fel'!E35</f>
        <v>1270000</v>
      </c>
      <c r="H106" s="556">
        <f t="shared" si="10"/>
        <v>1270000</v>
      </c>
      <c r="I106" s="556">
        <f t="shared" si="10"/>
        <v>1270000</v>
      </c>
      <c r="J106" s="556"/>
      <c r="K106" s="556"/>
      <c r="L106" s="556"/>
      <c r="M106" s="341"/>
      <c r="N106" s="605"/>
      <c r="O106" s="615"/>
    </row>
    <row r="107" spans="1:17" s="422" customFormat="1" ht="15.75" x14ac:dyDescent="0.25">
      <c r="A107" s="573" t="s">
        <v>338</v>
      </c>
      <c r="B107" s="570" t="s">
        <v>990</v>
      </c>
      <c r="C107" s="562">
        <f>SUM(C108)</f>
        <v>635</v>
      </c>
      <c r="D107" s="562">
        <f>SUM(D108)</f>
        <v>0</v>
      </c>
      <c r="E107" s="562">
        <f>SUM(E108)</f>
        <v>0</v>
      </c>
      <c r="F107" s="562">
        <f>SUM(F108)</f>
        <v>0</v>
      </c>
      <c r="G107" s="562">
        <f>SUM(G108)</f>
        <v>1016000</v>
      </c>
      <c r="H107" s="553">
        <f t="shared" si="10"/>
        <v>1016000</v>
      </c>
      <c r="I107" s="553">
        <f t="shared" si="10"/>
        <v>1016000</v>
      </c>
      <c r="J107" s="553">
        <f>+I107</f>
        <v>1016000</v>
      </c>
      <c r="K107" s="553">
        <f>+J107</f>
        <v>1016000</v>
      </c>
      <c r="L107" s="553">
        <f>+L108</f>
        <v>0</v>
      </c>
      <c r="M107" s="340"/>
      <c r="N107" s="604"/>
      <c r="O107" s="616"/>
    </row>
    <row r="108" spans="1:17" s="412" customFormat="1" x14ac:dyDescent="0.25">
      <c r="A108" s="571"/>
      <c r="B108" s="572" t="s">
        <v>1161</v>
      </c>
      <c r="C108" s="556">
        <v>635</v>
      </c>
      <c r="D108" s="556"/>
      <c r="E108" s="556"/>
      <c r="F108" s="556"/>
      <c r="G108" s="556">
        <f>+'5 GSZNR fel'!E46+'5 GSZNR fel'!E51</f>
        <v>1016000</v>
      </c>
      <c r="H108" s="556">
        <f t="shared" si="10"/>
        <v>1016000</v>
      </c>
      <c r="I108" s="556">
        <f t="shared" si="10"/>
        <v>1016000</v>
      </c>
      <c r="J108" s="556">
        <f>+I108</f>
        <v>1016000</v>
      </c>
      <c r="K108" s="556">
        <f>+J108</f>
        <v>1016000</v>
      </c>
      <c r="L108" s="556"/>
      <c r="M108" s="341"/>
      <c r="N108" s="605"/>
      <c r="O108" s="615"/>
    </row>
    <row r="109" spans="1:17" s="422" customFormat="1" ht="15.75" x14ac:dyDescent="0.25">
      <c r="A109" s="573" t="s">
        <v>557</v>
      </c>
      <c r="B109" s="570" t="s">
        <v>356</v>
      </c>
      <c r="C109" s="562">
        <f>SUM(C110)</f>
        <v>2464</v>
      </c>
      <c r="D109" s="562">
        <f>SUM(D110)</f>
        <v>5216</v>
      </c>
      <c r="E109" s="562">
        <f>SUM(E110)</f>
        <v>5216</v>
      </c>
      <c r="F109" s="562">
        <f>SUM(F110)</f>
        <v>0</v>
      </c>
      <c r="G109" s="562">
        <f>SUM(G110)</f>
        <v>1270000</v>
      </c>
      <c r="H109" s="553">
        <f t="shared" si="10"/>
        <v>1270000</v>
      </c>
      <c r="I109" s="553">
        <f t="shared" si="10"/>
        <v>1270000</v>
      </c>
      <c r="J109" s="553">
        <f>J110</f>
        <v>0</v>
      </c>
      <c r="K109" s="553">
        <f>K110</f>
        <v>0</v>
      </c>
      <c r="L109" s="553">
        <f>+L110</f>
        <v>0</v>
      </c>
      <c r="M109" s="340"/>
      <c r="N109" s="604"/>
      <c r="O109" s="616"/>
    </row>
    <row r="110" spans="1:17" s="412" customFormat="1" x14ac:dyDescent="0.25">
      <c r="A110" s="571"/>
      <c r="B110" s="572" t="s">
        <v>1161</v>
      </c>
      <c r="C110" s="556">
        <v>2464</v>
      </c>
      <c r="D110" s="556">
        <f>5525-243-66</f>
        <v>5216</v>
      </c>
      <c r="E110" s="556">
        <f>5525-243-66</f>
        <v>5216</v>
      </c>
      <c r="F110" s="556"/>
      <c r="G110" s="556">
        <f>+'5 GSZNR fel'!E63+'5 GSZNR fel'!E70+'5 GSZNR fel'!E76</f>
        <v>1270000</v>
      </c>
      <c r="H110" s="556">
        <f t="shared" si="10"/>
        <v>1270000</v>
      </c>
      <c r="I110" s="556">
        <f t="shared" si="10"/>
        <v>1270000</v>
      </c>
      <c r="J110" s="556"/>
      <c r="K110" s="556"/>
      <c r="L110" s="556"/>
      <c r="M110" s="341"/>
      <c r="N110" s="605"/>
      <c r="O110" s="615"/>
    </row>
    <row r="111" spans="1:17" s="422" customFormat="1" ht="15.75" x14ac:dyDescent="0.25">
      <c r="A111" s="573" t="s">
        <v>559</v>
      </c>
      <c r="B111" s="570" t="s">
        <v>359</v>
      </c>
      <c r="C111" s="562">
        <f>SUM(C112:C113)</f>
        <v>2711</v>
      </c>
      <c r="D111" s="562">
        <f>SUM(D112:D113)</f>
        <v>3760</v>
      </c>
      <c r="E111" s="562">
        <f>SUM(E112:E113)</f>
        <v>3760</v>
      </c>
      <c r="F111" s="562">
        <f>SUM(F112:F113)</f>
        <v>0</v>
      </c>
      <c r="G111" s="562">
        <f>SUM(G112:G113)</f>
        <v>5200000</v>
      </c>
      <c r="H111" s="553">
        <f t="shared" si="10"/>
        <v>5200000</v>
      </c>
      <c r="I111" s="553">
        <f>I112+I113</f>
        <v>0</v>
      </c>
      <c r="J111" s="553">
        <f>J112+J113</f>
        <v>0</v>
      </c>
      <c r="K111" s="553">
        <f>K112+K113</f>
        <v>0</v>
      </c>
      <c r="L111" s="553">
        <f>L112+L113</f>
        <v>0</v>
      </c>
      <c r="M111" s="340"/>
      <c r="N111" s="604"/>
      <c r="O111" s="616"/>
    </row>
    <row r="112" spans="1:17" s="412" customFormat="1" x14ac:dyDescent="0.25">
      <c r="A112" s="571"/>
      <c r="B112" s="572" t="s">
        <v>1064</v>
      </c>
      <c r="C112" s="556">
        <v>2000</v>
      </c>
      <c r="D112" s="556">
        <f>2000+100</f>
        <v>2100</v>
      </c>
      <c r="E112" s="556">
        <f>2000+100</f>
        <v>2100</v>
      </c>
      <c r="F112" s="556"/>
      <c r="G112" s="556">
        <f>+'5 GSZNR fel'!E99</f>
        <v>2600000</v>
      </c>
      <c r="H112" s="556">
        <f t="shared" si="10"/>
        <v>2600000</v>
      </c>
      <c r="I112" s="556"/>
      <c r="J112" s="556"/>
      <c r="K112" s="556"/>
      <c r="L112" s="556"/>
      <c r="M112" s="341"/>
      <c r="N112" s="605"/>
      <c r="O112" s="615"/>
    </row>
    <row r="113" spans="1:17" s="422" customFormat="1" ht="15.75" x14ac:dyDescent="0.25">
      <c r="A113" s="571"/>
      <c r="B113" s="572" t="s">
        <v>1161</v>
      </c>
      <c r="C113" s="556">
        <v>711</v>
      </c>
      <c r="D113" s="556">
        <f>1661-1</f>
        <v>1660</v>
      </c>
      <c r="E113" s="556">
        <f>1661-1</f>
        <v>1660</v>
      </c>
      <c r="F113" s="556"/>
      <c r="G113" s="556">
        <f>+'5 GSZNR fel'!E93+'5 GSZNR fel'!E99+'5 GSZNR fel'!E107</f>
        <v>2600000</v>
      </c>
      <c r="H113" s="556">
        <f t="shared" si="10"/>
        <v>2600000</v>
      </c>
      <c r="I113" s="556"/>
      <c r="J113" s="556"/>
      <c r="K113" s="556"/>
      <c r="L113" s="556"/>
      <c r="M113" s="341"/>
      <c r="N113" s="605"/>
      <c r="O113" s="615"/>
      <c r="P113" s="412"/>
      <c r="Q113" s="412"/>
    </row>
    <row r="114" spans="1:17" s="412" customFormat="1" x14ac:dyDescent="0.25">
      <c r="A114" s="545" t="s">
        <v>561</v>
      </c>
      <c r="B114" s="570" t="s">
        <v>362</v>
      </c>
      <c r="C114" s="562">
        <f>SUM(C115)</f>
        <v>1385</v>
      </c>
      <c r="D114" s="562">
        <f>SUM(D115)</f>
        <v>1095</v>
      </c>
      <c r="E114" s="562">
        <f>SUM(E115)</f>
        <v>1095</v>
      </c>
      <c r="F114" s="562">
        <f>SUM(F115)</f>
        <v>0</v>
      </c>
      <c r="G114" s="562">
        <f>SUM(G115)</f>
        <v>1270000</v>
      </c>
      <c r="H114" s="553">
        <f t="shared" si="10"/>
        <v>1270000</v>
      </c>
      <c r="I114" s="553">
        <f>I115</f>
        <v>0</v>
      </c>
      <c r="J114" s="553">
        <f>J115</f>
        <v>0</v>
      </c>
      <c r="K114" s="553">
        <f>K115</f>
        <v>0</v>
      </c>
      <c r="L114" s="553">
        <f>L115</f>
        <v>0</v>
      </c>
      <c r="M114" s="342"/>
      <c r="N114" s="608"/>
      <c r="O114" s="421"/>
    </row>
    <row r="115" spans="1:17" s="412" customFormat="1" x14ac:dyDescent="0.25">
      <c r="A115" s="571"/>
      <c r="B115" s="572" t="s">
        <v>1161</v>
      </c>
      <c r="C115" s="556">
        <v>1385</v>
      </c>
      <c r="D115" s="556">
        <f>1345+250-200-300</f>
        <v>1095</v>
      </c>
      <c r="E115" s="556">
        <f>1345+250-200-300</f>
        <v>1095</v>
      </c>
      <c r="F115" s="556"/>
      <c r="G115" s="556">
        <f>+'5 GSZNR fel'!E115+'5 GSZNR fel'!E120+'5 GSZNR fel'!E125</f>
        <v>1270000</v>
      </c>
      <c r="H115" s="556">
        <f t="shared" si="10"/>
        <v>1270000</v>
      </c>
      <c r="I115" s="556"/>
      <c r="J115" s="556"/>
      <c r="K115" s="556"/>
      <c r="L115" s="556"/>
      <c r="M115" s="341"/>
      <c r="N115" s="605"/>
      <c r="O115" s="421"/>
    </row>
    <row r="116" spans="1:17" s="412" customFormat="1" hidden="1" x14ac:dyDescent="0.25">
      <c r="A116" s="571"/>
      <c r="B116" s="572"/>
      <c r="C116" s="556"/>
      <c r="D116" s="556"/>
      <c r="E116" s="556"/>
      <c r="F116" s="556"/>
      <c r="G116" s="556"/>
      <c r="H116" s="556"/>
      <c r="I116" s="556"/>
      <c r="J116" s="556"/>
      <c r="K116" s="556"/>
      <c r="L116" s="556"/>
      <c r="M116" s="341"/>
      <c r="N116" s="605"/>
      <c r="O116" s="421"/>
    </row>
    <row r="117" spans="1:17" s="412" customFormat="1" x14ac:dyDescent="0.25">
      <c r="A117" s="571" t="s">
        <v>1308</v>
      </c>
      <c r="B117" s="570" t="s">
        <v>1291</v>
      </c>
      <c r="C117" s="562">
        <f>SUM(C118)</f>
        <v>457</v>
      </c>
      <c r="D117" s="562">
        <f>SUM(D118)</f>
        <v>1780</v>
      </c>
      <c r="E117" s="562">
        <f>SUM(E118)</f>
        <v>1780</v>
      </c>
      <c r="F117" s="562">
        <f>SUM(F118)</f>
        <v>0</v>
      </c>
      <c r="G117" s="562">
        <f>SUM(G118)</f>
        <v>1270000</v>
      </c>
      <c r="H117" s="553">
        <f t="shared" ref="H117:J118" si="11">+G117</f>
        <v>1270000</v>
      </c>
      <c r="I117" s="553">
        <f t="shared" si="11"/>
        <v>1270000</v>
      </c>
      <c r="J117" s="553">
        <f t="shared" si="11"/>
        <v>1270000</v>
      </c>
      <c r="K117" s="553">
        <f>K118</f>
        <v>0</v>
      </c>
      <c r="L117" s="553">
        <f>+L118</f>
        <v>0</v>
      </c>
      <c r="M117" s="341"/>
      <c r="N117" s="605"/>
      <c r="O117" s="421"/>
    </row>
    <row r="118" spans="1:17" s="412" customFormat="1" x14ac:dyDescent="0.25">
      <c r="A118" s="571"/>
      <c r="B118" s="572" t="s">
        <v>1161</v>
      </c>
      <c r="C118" s="556">
        <v>457</v>
      </c>
      <c r="D118" s="556">
        <f>1612+79+39+50</f>
        <v>1780</v>
      </c>
      <c r="E118" s="556">
        <f>1612+79+39+50</f>
        <v>1780</v>
      </c>
      <c r="F118" s="556"/>
      <c r="G118" s="556">
        <f>+'5 GSZNR fel'!E141+'5 GSZNR fel'!E146</f>
        <v>1270000</v>
      </c>
      <c r="H118" s="556">
        <f t="shared" si="11"/>
        <v>1270000</v>
      </c>
      <c r="I118" s="556">
        <f t="shared" si="11"/>
        <v>1270000</v>
      </c>
      <c r="J118" s="556">
        <f t="shared" si="11"/>
        <v>1270000</v>
      </c>
      <c r="K118" s="556"/>
      <c r="L118" s="556"/>
      <c r="M118" s="341"/>
      <c r="N118" s="605"/>
      <c r="O118" s="421"/>
    </row>
    <row r="119" spans="1:17" s="425" customFormat="1" ht="15.75" x14ac:dyDescent="0.25">
      <c r="A119" s="574"/>
      <c r="B119" s="575" t="s">
        <v>550</v>
      </c>
      <c r="C119" s="576" t="e">
        <f t="shared" ref="C119:L119" si="12">C5+C93</f>
        <v>#REF!</v>
      </c>
      <c r="D119" s="576">
        <f t="shared" si="12"/>
        <v>1762689.5</v>
      </c>
      <c r="E119" s="576">
        <f t="shared" si="12"/>
        <v>1762689.5</v>
      </c>
      <c r="F119" s="576">
        <f t="shared" si="12"/>
        <v>0</v>
      </c>
      <c r="G119" s="576" t="e">
        <f t="shared" si="12"/>
        <v>#REF!</v>
      </c>
      <c r="H119" s="576" t="e">
        <f t="shared" si="12"/>
        <v>#REF!</v>
      </c>
      <c r="I119" s="576">
        <f t="shared" si="12"/>
        <v>6096000</v>
      </c>
      <c r="J119" s="576">
        <f t="shared" si="12"/>
        <v>3556000</v>
      </c>
      <c r="K119" s="576">
        <f>K5+K93</f>
        <v>2286000</v>
      </c>
      <c r="L119" s="576">
        <f t="shared" si="12"/>
        <v>0</v>
      </c>
      <c r="M119" s="423"/>
      <c r="N119" s="610"/>
      <c r="O119" s="424"/>
    </row>
    <row r="120" spans="1:17" x14ac:dyDescent="0.2">
      <c r="D120" s="435"/>
      <c r="E120" s="435"/>
      <c r="F120" s="435"/>
      <c r="G120" s="435"/>
      <c r="H120" s="435"/>
      <c r="I120" s="435"/>
      <c r="J120" s="435"/>
      <c r="K120" s="435"/>
      <c r="L120" s="435"/>
    </row>
  </sheetData>
  <mergeCells count="1">
    <mergeCell ref="A1:C1"/>
  </mergeCells>
  <printOptions horizontalCentered="1"/>
  <pageMargins left="0.23622047244094491" right="0.15748031496062992" top="0.39370078740157483" bottom="0.35433070866141736" header="0.15748031496062992" footer="0.23622047244094491"/>
  <pageSetup paperSize="8" scale="80" fitToHeight="2" orientation="portrait" r:id="rId1"/>
  <headerFooter>
    <oddHeader>&amp;L 7.  melléklet a ...../2019. (.......) önkormányzati rendelethez</oddHeader>
    <oddFooter>&amp;C&amp;10&amp;P&amp;R&amp;10&amp;D  &amp;T</oddFooter>
  </headerFooter>
  <legacy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pageSetUpPr fitToPage="1"/>
  </sheetPr>
  <dimension ref="A2:O56"/>
  <sheetViews>
    <sheetView showZeros="0" view="pageBreakPreview" zoomScale="75" zoomScaleNormal="100" zoomScaleSheetLayoutView="75" workbookViewId="0">
      <selection activeCell="A29" sqref="A29"/>
    </sheetView>
  </sheetViews>
  <sheetFormatPr defaultColWidth="9.140625" defaultRowHeight="15" x14ac:dyDescent="0.25"/>
  <cols>
    <col min="1" max="1" width="5.7109375" style="166" bestFit="1" customWidth="1"/>
    <col min="2" max="2" width="91.7109375" style="166" customWidth="1"/>
    <col min="3" max="3" width="14" style="362" customWidth="1"/>
    <col min="4" max="4" width="14.7109375" style="362" customWidth="1"/>
    <col min="5" max="5" width="14.140625" style="166" customWidth="1"/>
    <col min="6" max="6" width="14.140625" style="412" customWidth="1"/>
    <col min="7" max="7" width="14.140625" style="166" customWidth="1"/>
    <col min="8" max="11" width="14.140625" style="166" hidden="1" customWidth="1"/>
    <col min="12" max="12" width="9.7109375" style="166" hidden="1" customWidth="1"/>
    <col min="13" max="13" width="12.85546875" style="166" customWidth="1"/>
    <col min="14" max="17" width="9.140625" style="166" customWidth="1"/>
    <col min="18" max="16384" width="9.140625" style="166"/>
  </cols>
  <sheetData>
    <row r="2" spans="1:15" s="171" customFormat="1" ht="21" x14ac:dyDescent="0.25">
      <c r="A2" s="1005" t="s">
        <v>991</v>
      </c>
      <c r="B2" s="1005"/>
      <c r="C2" s="1005"/>
      <c r="D2" s="343"/>
      <c r="F2" s="422"/>
    </row>
    <row r="3" spans="1:15" x14ac:dyDescent="0.2">
      <c r="D3" s="359"/>
      <c r="E3" s="359"/>
      <c r="F3" s="359"/>
      <c r="G3" s="359" t="s">
        <v>302</v>
      </c>
      <c r="I3" s="414"/>
      <c r="J3" s="414"/>
      <c r="K3" s="414" t="s">
        <v>302</v>
      </c>
      <c r="L3" s="414" t="s">
        <v>302</v>
      </c>
    </row>
    <row r="4" spans="1:15" s="167" customFormat="1" ht="56.25" customHeight="1" x14ac:dyDescent="0.25">
      <c r="A4" s="588" t="s">
        <v>978</v>
      </c>
      <c r="B4" s="588" t="s">
        <v>306</v>
      </c>
      <c r="C4" s="547" t="s">
        <v>1435</v>
      </c>
      <c r="D4" s="547" t="s">
        <v>1461</v>
      </c>
      <c r="E4" s="547" t="s">
        <v>1483</v>
      </c>
      <c r="F4" s="547" t="s">
        <v>1467</v>
      </c>
      <c r="G4" s="547" t="s">
        <v>1468</v>
      </c>
      <c r="H4" s="547" t="s">
        <v>1469</v>
      </c>
      <c r="I4" s="547" t="s">
        <v>1472</v>
      </c>
      <c r="J4" s="547" t="s">
        <v>1473</v>
      </c>
      <c r="K4" s="547" t="s">
        <v>1474</v>
      </c>
      <c r="L4" s="547" t="s">
        <v>1445</v>
      </c>
      <c r="N4" s="168"/>
    </row>
    <row r="5" spans="1:15" s="167" customFormat="1" ht="49.9" customHeight="1" x14ac:dyDescent="0.25">
      <c r="A5" s="548" t="s">
        <v>309</v>
      </c>
      <c r="B5" s="549" t="s">
        <v>992</v>
      </c>
      <c r="C5" s="589">
        <f t="shared" ref="C5:J5" si="0">SUM(C6,C7,C8,C21,C39,C43,C44)</f>
        <v>294748</v>
      </c>
      <c r="D5" s="589">
        <f t="shared" si="0"/>
        <v>247922</v>
      </c>
      <c r="E5" s="589">
        <f t="shared" si="0"/>
        <v>247922</v>
      </c>
      <c r="F5" s="589">
        <f t="shared" si="0"/>
        <v>0</v>
      </c>
      <c r="G5" s="589">
        <f t="shared" si="0"/>
        <v>0</v>
      </c>
      <c r="H5" s="589">
        <f t="shared" si="0"/>
        <v>0</v>
      </c>
      <c r="I5" s="589">
        <f t="shared" si="0"/>
        <v>0</v>
      </c>
      <c r="J5" s="589">
        <f t="shared" si="0"/>
        <v>0</v>
      </c>
      <c r="K5" s="589">
        <f>SUM(K6,K7,K8,K21,K39,K43,K44)</f>
        <v>0</v>
      </c>
      <c r="L5" s="589">
        <f>+L6+L7+L8+L21+L39</f>
        <v>0</v>
      </c>
      <c r="M5" s="587"/>
      <c r="N5" s="168"/>
      <c r="O5" s="617" t="s">
        <v>1447</v>
      </c>
    </row>
    <row r="6" spans="1:15" x14ac:dyDescent="0.25">
      <c r="A6" s="573" t="s">
        <v>311</v>
      </c>
      <c r="B6" s="570" t="s">
        <v>993</v>
      </c>
      <c r="C6" s="590">
        <v>48890</v>
      </c>
      <c r="D6" s="590">
        <f>+C6</f>
        <v>48890</v>
      </c>
      <c r="E6" s="590">
        <f>+D6</f>
        <v>48890</v>
      </c>
      <c r="F6" s="590"/>
      <c r="G6" s="590"/>
      <c r="H6" s="590"/>
      <c r="I6" s="590"/>
      <c r="J6" s="590"/>
      <c r="K6" s="590"/>
      <c r="L6" s="590"/>
      <c r="M6" s="166">
        <v>121011701</v>
      </c>
      <c r="N6" s="170"/>
      <c r="O6" s="618"/>
    </row>
    <row r="7" spans="1:15" x14ac:dyDescent="0.25">
      <c r="A7" s="573" t="s">
        <v>322</v>
      </c>
      <c r="B7" s="570" t="s">
        <v>1162</v>
      </c>
      <c r="C7" s="590">
        <v>25033</v>
      </c>
      <c r="D7" s="590">
        <f>+C7</f>
        <v>25033</v>
      </c>
      <c r="E7" s="590">
        <f>+D7</f>
        <v>25033</v>
      </c>
      <c r="F7" s="590"/>
      <c r="G7" s="590"/>
      <c r="H7" s="590"/>
      <c r="I7" s="590"/>
      <c r="J7" s="590"/>
      <c r="K7" s="590"/>
      <c r="L7" s="590"/>
      <c r="N7" s="170"/>
      <c r="O7" s="618"/>
    </row>
    <row r="8" spans="1:15" x14ac:dyDescent="0.25">
      <c r="A8" s="573" t="s">
        <v>315</v>
      </c>
      <c r="B8" s="570" t="s">
        <v>1150</v>
      </c>
      <c r="C8" s="590">
        <f>SUM(C9:C19)</f>
        <v>14000</v>
      </c>
      <c r="D8" s="590">
        <f>SUM(D18:D20)</f>
        <v>27087</v>
      </c>
      <c r="E8" s="590">
        <f>SUM(E18:E20)</f>
        <v>27087</v>
      </c>
      <c r="F8" s="590">
        <f>SUM(F9:F17)</f>
        <v>0</v>
      </c>
      <c r="G8" s="590">
        <f>SUM(G9:G19)</f>
        <v>0</v>
      </c>
      <c r="H8" s="590">
        <f>+G8</f>
        <v>0</v>
      </c>
      <c r="I8" s="590">
        <f>+H8</f>
        <v>0</v>
      </c>
      <c r="J8" s="590">
        <f>SUM(J18:J20)</f>
        <v>0</v>
      </c>
      <c r="K8" s="590">
        <f>SUM(K18:K20)</f>
        <v>0</v>
      </c>
      <c r="L8" s="590">
        <f>+L18+L19</f>
        <v>0</v>
      </c>
      <c r="N8" s="170"/>
      <c r="O8" s="618"/>
    </row>
    <row r="9" spans="1:15" x14ac:dyDescent="0.25">
      <c r="A9" s="591"/>
      <c r="B9" s="572" t="s">
        <v>1354</v>
      </c>
      <c r="C9" s="592"/>
      <c r="D9" s="592"/>
      <c r="E9" s="592"/>
      <c r="F9" s="592"/>
      <c r="G9" s="592"/>
      <c r="H9" s="592"/>
      <c r="I9" s="592"/>
      <c r="J9" s="592"/>
      <c r="K9" s="592"/>
      <c r="L9" s="592"/>
      <c r="M9" s="166">
        <v>1227151</v>
      </c>
      <c r="N9" s="170"/>
      <c r="O9" s="618"/>
    </row>
    <row r="10" spans="1:15" x14ac:dyDescent="0.2">
      <c r="A10" s="591"/>
      <c r="B10" s="593" t="s">
        <v>1355</v>
      </c>
      <c r="C10" s="592"/>
      <c r="D10" s="592"/>
      <c r="E10" s="592"/>
      <c r="F10" s="592"/>
      <c r="G10" s="592"/>
      <c r="H10" s="592"/>
      <c r="I10" s="592"/>
      <c r="J10" s="592"/>
      <c r="K10" s="592"/>
      <c r="L10" s="592"/>
      <c r="M10" s="166">
        <v>1227152</v>
      </c>
      <c r="N10" s="170"/>
      <c r="O10" s="618"/>
    </row>
    <row r="11" spans="1:15" x14ac:dyDescent="0.2">
      <c r="A11" s="591"/>
      <c r="B11" s="593" t="s">
        <v>1327</v>
      </c>
      <c r="C11" s="592"/>
      <c r="D11" s="592"/>
      <c r="E11" s="592"/>
      <c r="F11" s="592"/>
      <c r="G11" s="592"/>
      <c r="H11" s="592"/>
      <c r="I11" s="592"/>
      <c r="J11" s="592"/>
      <c r="K11" s="592"/>
      <c r="L11" s="592"/>
      <c r="M11" s="166">
        <v>1227153</v>
      </c>
      <c r="N11" s="170"/>
      <c r="O11" s="618"/>
    </row>
    <row r="12" spans="1:15" ht="28.5" x14ac:dyDescent="0.2">
      <c r="A12" s="591"/>
      <c r="B12" s="593" t="s">
        <v>1328</v>
      </c>
      <c r="C12" s="592"/>
      <c r="D12" s="592"/>
      <c r="E12" s="592"/>
      <c r="F12" s="592"/>
      <c r="G12" s="592"/>
      <c r="H12" s="592"/>
      <c r="I12" s="592"/>
      <c r="J12" s="592"/>
      <c r="K12" s="592"/>
      <c r="L12" s="592"/>
      <c r="M12" s="166">
        <v>1227154</v>
      </c>
      <c r="N12" s="170"/>
      <c r="O12" s="618"/>
    </row>
    <row r="13" spans="1:15" x14ac:dyDescent="0.2">
      <c r="A13" s="591"/>
      <c r="B13" s="593" t="s">
        <v>1404</v>
      </c>
      <c r="C13" s="592"/>
      <c r="D13" s="592"/>
      <c r="E13" s="592"/>
      <c r="F13" s="592"/>
      <c r="G13" s="592"/>
      <c r="H13" s="592"/>
      <c r="I13" s="592"/>
      <c r="J13" s="592"/>
      <c r="K13" s="592"/>
      <c r="L13" s="592"/>
      <c r="N13" s="170"/>
      <c r="O13" s="618"/>
    </row>
    <row r="14" spans="1:15" x14ac:dyDescent="0.2">
      <c r="A14" s="591"/>
      <c r="B14" s="593" t="s">
        <v>1367</v>
      </c>
      <c r="C14" s="592"/>
      <c r="D14" s="592"/>
      <c r="E14" s="592"/>
      <c r="F14" s="592"/>
      <c r="G14" s="592"/>
      <c r="H14" s="592"/>
      <c r="I14" s="592"/>
      <c r="J14" s="592"/>
      <c r="K14" s="592"/>
      <c r="L14" s="592"/>
      <c r="M14" s="166">
        <v>1227156</v>
      </c>
      <c r="N14" s="170"/>
      <c r="O14" s="618"/>
    </row>
    <row r="15" spans="1:15" x14ac:dyDescent="0.2">
      <c r="A15" s="591"/>
      <c r="B15" s="593" t="s">
        <v>1403</v>
      </c>
      <c r="C15" s="592"/>
      <c r="D15" s="592"/>
      <c r="E15" s="592"/>
      <c r="F15" s="592"/>
      <c r="G15" s="592"/>
      <c r="H15" s="592"/>
      <c r="I15" s="592"/>
      <c r="J15" s="592"/>
      <c r="K15" s="592"/>
      <c r="L15" s="592"/>
      <c r="M15" s="166">
        <v>1227155</v>
      </c>
      <c r="N15" s="170"/>
      <c r="O15" s="618"/>
    </row>
    <row r="16" spans="1:15" x14ac:dyDescent="0.2">
      <c r="A16" s="591"/>
      <c r="B16" s="593" t="s">
        <v>1405</v>
      </c>
      <c r="C16" s="592"/>
      <c r="D16" s="592"/>
      <c r="E16" s="592"/>
      <c r="F16" s="592"/>
      <c r="G16" s="592"/>
      <c r="H16" s="592"/>
      <c r="I16" s="592"/>
      <c r="J16" s="592"/>
      <c r="K16" s="592"/>
      <c r="L16" s="592"/>
      <c r="M16" s="166">
        <v>121011715</v>
      </c>
      <c r="N16" s="170"/>
      <c r="O16" s="618"/>
    </row>
    <row r="17" spans="1:15" x14ac:dyDescent="0.2">
      <c r="A17" s="591"/>
      <c r="B17" s="593" t="s">
        <v>1406</v>
      </c>
      <c r="C17" s="592"/>
      <c r="D17" s="592"/>
      <c r="E17" s="592"/>
      <c r="F17" s="592"/>
      <c r="G17" s="592"/>
      <c r="H17" s="592"/>
      <c r="I17" s="592"/>
      <c r="J17" s="592"/>
      <c r="K17" s="592"/>
      <c r="L17" s="592"/>
      <c r="M17" s="166">
        <v>121011715</v>
      </c>
      <c r="N17" s="170"/>
      <c r="O17" s="618"/>
    </row>
    <row r="18" spans="1:15" x14ac:dyDescent="0.2">
      <c r="A18" s="591"/>
      <c r="B18" s="593" t="s">
        <v>1412</v>
      </c>
      <c r="C18" s="592">
        <v>5000</v>
      </c>
      <c r="D18" s="592">
        <f>5000+350</f>
        <v>5350</v>
      </c>
      <c r="E18" s="592">
        <f>5000+350</f>
        <v>5350</v>
      </c>
      <c r="F18" s="592"/>
      <c r="G18" s="592"/>
      <c r="H18" s="592"/>
      <c r="I18" s="592"/>
      <c r="J18" s="592"/>
      <c r="K18" s="592"/>
      <c r="L18" s="592"/>
      <c r="M18" s="166" t="s">
        <v>1401</v>
      </c>
      <c r="N18" s="170"/>
      <c r="O18" s="618"/>
    </row>
    <row r="19" spans="1:15" x14ac:dyDescent="0.2">
      <c r="A19" s="591"/>
      <c r="B19" s="593" t="s">
        <v>1413</v>
      </c>
      <c r="C19" s="592">
        <v>9000</v>
      </c>
      <c r="D19" s="592">
        <f>9000-906-350</f>
        <v>7744</v>
      </c>
      <c r="E19" s="592">
        <f>9000-906-350</f>
        <v>7744</v>
      </c>
      <c r="F19" s="592"/>
      <c r="G19" s="592"/>
      <c r="H19" s="592"/>
      <c r="I19" s="592"/>
      <c r="J19" s="592"/>
      <c r="K19" s="592"/>
      <c r="L19" s="592"/>
      <c r="M19" s="166" t="s">
        <v>1401</v>
      </c>
      <c r="N19" s="170"/>
      <c r="O19" s="618"/>
    </row>
    <row r="20" spans="1:15" x14ac:dyDescent="0.2">
      <c r="A20" s="591"/>
      <c r="B20" s="593" t="s">
        <v>1456</v>
      </c>
      <c r="C20" s="592"/>
      <c r="D20" s="592">
        <v>13993</v>
      </c>
      <c r="E20" s="592">
        <v>13993</v>
      </c>
      <c r="F20" s="592"/>
      <c r="G20" s="592"/>
      <c r="H20" s="592"/>
      <c r="I20" s="592"/>
      <c r="J20" s="592"/>
      <c r="K20" s="592"/>
      <c r="L20" s="592"/>
      <c r="M20" s="166">
        <v>121011710</v>
      </c>
      <c r="N20" s="170"/>
      <c r="O20" s="618"/>
    </row>
    <row r="21" spans="1:15" x14ac:dyDescent="0.25">
      <c r="A21" s="573" t="s">
        <v>336</v>
      </c>
      <c r="B21" s="570" t="s">
        <v>1002</v>
      </c>
      <c r="C21" s="590">
        <f>SUM(C22:C37)</f>
        <v>113083</v>
      </c>
      <c r="D21" s="590">
        <f>SUM(D22:D38)</f>
        <v>92690</v>
      </c>
      <c r="E21" s="590">
        <f>SUM(E22:E38)</f>
        <v>92690</v>
      </c>
      <c r="F21" s="590">
        <f>SUM(F22:F37)</f>
        <v>0</v>
      </c>
      <c r="G21" s="590">
        <f>SUM(G22:G37)</f>
        <v>0</v>
      </c>
      <c r="H21" s="590">
        <f>+G21</f>
        <v>0</v>
      </c>
      <c r="I21" s="590">
        <f>I22</f>
        <v>0</v>
      </c>
      <c r="J21" s="590">
        <f>SUM(J22:J38)</f>
        <v>0</v>
      </c>
      <c r="K21" s="590">
        <f>SUM(K22:K38)</f>
        <v>0</v>
      </c>
      <c r="L21" s="590">
        <f>+L22</f>
        <v>0</v>
      </c>
      <c r="N21" s="170"/>
      <c r="O21" s="618"/>
    </row>
    <row r="22" spans="1:15" x14ac:dyDescent="0.25">
      <c r="A22" s="573"/>
      <c r="B22" s="572" t="s">
        <v>1317</v>
      </c>
      <c r="C22" s="592">
        <f>90628+22455</f>
        <v>113083</v>
      </c>
      <c r="D22" s="592">
        <f>113083+795-113083+88804</f>
        <v>89599</v>
      </c>
      <c r="E22" s="592">
        <f>113083+795-113083+88804</f>
        <v>89599</v>
      </c>
      <c r="F22" s="592"/>
      <c r="G22" s="592"/>
      <c r="H22" s="592"/>
      <c r="I22" s="592"/>
      <c r="J22" s="592"/>
      <c r="K22" s="592"/>
      <c r="L22" s="592"/>
      <c r="M22" s="166">
        <v>121011714</v>
      </c>
      <c r="N22" s="170"/>
      <c r="O22" s="618">
        <f>2286+798</f>
        <v>3084</v>
      </c>
    </row>
    <row r="23" spans="1:15" x14ac:dyDescent="0.25">
      <c r="A23" s="573"/>
      <c r="B23" s="555"/>
      <c r="C23" s="592"/>
      <c r="D23" s="592"/>
      <c r="E23" s="592"/>
      <c r="F23" s="592"/>
      <c r="G23" s="592"/>
      <c r="H23" s="592"/>
      <c r="I23" s="592"/>
      <c r="J23" s="592"/>
      <c r="K23" s="592"/>
      <c r="L23" s="592"/>
      <c r="N23" s="170"/>
      <c r="O23" s="618"/>
    </row>
    <row r="24" spans="1:15" x14ac:dyDescent="0.25">
      <c r="A24" s="573" t="s">
        <v>315</v>
      </c>
      <c r="B24" s="572" t="s">
        <v>994</v>
      </c>
      <c r="C24" s="592"/>
      <c r="D24" s="592"/>
      <c r="E24" s="592"/>
      <c r="F24" s="592"/>
      <c r="G24" s="592"/>
      <c r="H24" s="592"/>
      <c r="I24" s="592"/>
      <c r="J24" s="592"/>
      <c r="K24" s="592"/>
      <c r="L24" s="592"/>
      <c r="O24" s="618"/>
    </row>
    <row r="25" spans="1:15" x14ac:dyDescent="0.25">
      <c r="A25" s="573" t="s">
        <v>336</v>
      </c>
      <c r="B25" s="594"/>
      <c r="C25" s="592"/>
      <c r="D25" s="592"/>
      <c r="E25" s="592"/>
      <c r="F25" s="592"/>
      <c r="G25" s="592"/>
      <c r="H25" s="592"/>
      <c r="I25" s="592"/>
      <c r="J25" s="592"/>
      <c r="K25" s="592"/>
      <c r="L25" s="592"/>
      <c r="O25" s="618"/>
    </row>
    <row r="26" spans="1:15" x14ac:dyDescent="0.25">
      <c r="A26" s="573" t="s">
        <v>338</v>
      </c>
      <c r="B26" s="594"/>
      <c r="C26" s="592"/>
      <c r="D26" s="592"/>
      <c r="E26" s="592"/>
      <c r="F26" s="592"/>
      <c r="G26" s="592"/>
      <c r="H26" s="592"/>
      <c r="I26" s="592"/>
      <c r="J26" s="592"/>
      <c r="K26" s="592"/>
      <c r="L26" s="592"/>
      <c r="O26" s="618"/>
    </row>
    <row r="27" spans="1:15" x14ac:dyDescent="0.25">
      <c r="A27" s="573" t="s">
        <v>557</v>
      </c>
      <c r="B27" s="594"/>
      <c r="C27" s="592"/>
      <c r="D27" s="592"/>
      <c r="E27" s="592"/>
      <c r="F27" s="592"/>
      <c r="G27" s="592"/>
      <c r="H27" s="592"/>
      <c r="I27" s="592"/>
      <c r="J27" s="592"/>
      <c r="K27" s="592"/>
      <c r="L27" s="592"/>
      <c r="O27" s="618"/>
    </row>
    <row r="28" spans="1:15" x14ac:dyDescent="0.25">
      <c r="A28" s="573" t="s">
        <v>336</v>
      </c>
      <c r="B28" s="594" t="s">
        <v>995</v>
      </c>
      <c r="C28" s="592"/>
      <c r="D28" s="592"/>
      <c r="E28" s="592"/>
      <c r="F28" s="592"/>
      <c r="G28" s="592"/>
      <c r="H28" s="592"/>
      <c r="I28" s="592"/>
      <c r="J28" s="592"/>
      <c r="K28" s="592"/>
      <c r="L28" s="592"/>
      <c r="O28" s="618"/>
    </row>
    <row r="29" spans="1:15" x14ac:dyDescent="0.25">
      <c r="A29" s="573" t="s">
        <v>338</v>
      </c>
      <c r="B29" s="594" t="s">
        <v>996</v>
      </c>
      <c r="C29" s="592"/>
      <c r="D29" s="592"/>
      <c r="E29" s="592"/>
      <c r="F29" s="592"/>
      <c r="G29" s="592"/>
      <c r="H29" s="592"/>
      <c r="I29" s="592"/>
      <c r="J29" s="592"/>
      <c r="K29" s="592"/>
      <c r="L29" s="592"/>
      <c r="O29" s="618"/>
    </row>
    <row r="30" spans="1:15" ht="28.5" x14ac:dyDescent="0.25">
      <c r="A30" s="573" t="s">
        <v>557</v>
      </c>
      <c r="B30" s="594" t="s">
        <v>997</v>
      </c>
      <c r="C30" s="592"/>
      <c r="D30" s="592"/>
      <c r="E30" s="592"/>
      <c r="F30" s="592"/>
      <c r="G30" s="592"/>
      <c r="H30" s="592"/>
      <c r="I30" s="592"/>
      <c r="J30" s="592"/>
      <c r="K30" s="592"/>
      <c r="L30" s="592"/>
      <c r="O30" s="618"/>
    </row>
    <row r="31" spans="1:15" x14ac:dyDescent="0.25">
      <c r="A31" s="573" t="s">
        <v>559</v>
      </c>
      <c r="B31" s="594" t="s">
        <v>998</v>
      </c>
      <c r="C31" s="592"/>
      <c r="D31" s="592"/>
      <c r="E31" s="592"/>
      <c r="F31" s="592"/>
      <c r="G31" s="592"/>
      <c r="H31" s="592"/>
      <c r="I31" s="592"/>
      <c r="J31" s="592"/>
      <c r="K31" s="592"/>
      <c r="L31" s="592"/>
      <c r="O31" s="618"/>
    </row>
    <row r="32" spans="1:15" x14ac:dyDescent="0.25">
      <c r="A32" s="573" t="s">
        <v>561</v>
      </c>
      <c r="B32" s="594" t="s">
        <v>999</v>
      </c>
      <c r="C32" s="592"/>
      <c r="D32" s="592"/>
      <c r="E32" s="592"/>
      <c r="F32" s="592"/>
      <c r="G32" s="592"/>
      <c r="H32" s="592"/>
      <c r="I32" s="592"/>
      <c r="J32" s="592"/>
      <c r="K32" s="592"/>
      <c r="L32" s="592"/>
      <c r="O32" s="618"/>
    </row>
    <row r="33" spans="1:15" x14ac:dyDescent="0.25">
      <c r="A33" s="573" t="s">
        <v>562</v>
      </c>
      <c r="B33" s="594" t="s">
        <v>1000</v>
      </c>
      <c r="C33" s="592"/>
      <c r="D33" s="592"/>
      <c r="E33" s="592"/>
      <c r="F33" s="592"/>
      <c r="G33" s="592"/>
      <c r="H33" s="592"/>
      <c r="I33" s="592"/>
      <c r="J33" s="592"/>
      <c r="K33" s="592"/>
      <c r="L33" s="592"/>
      <c r="O33" s="618"/>
    </row>
    <row r="34" spans="1:15" x14ac:dyDescent="0.25">
      <c r="A34" s="573">
        <v>10</v>
      </c>
      <c r="B34" s="594" t="s">
        <v>1001</v>
      </c>
      <c r="C34" s="592"/>
      <c r="D34" s="592"/>
      <c r="E34" s="592"/>
      <c r="F34" s="592"/>
      <c r="G34" s="592"/>
      <c r="H34" s="592"/>
      <c r="I34" s="592"/>
      <c r="J34" s="592"/>
      <c r="K34" s="592"/>
      <c r="L34" s="592"/>
      <c r="O34" s="618"/>
    </row>
    <row r="35" spans="1:15" x14ac:dyDescent="0.25">
      <c r="A35" s="573"/>
      <c r="B35" s="594" t="s">
        <v>1318</v>
      </c>
      <c r="C35" s="592"/>
      <c r="D35" s="592"/>
      <c r="E35" s="592"/>
      <c r="F35" s="592"/>
      <c r="G35" s="592"/>
      <c r="H35" s="592"/>
      <c r="I35" s="592"/>
      <c r="J35" s="592"/>
      <c r="K35" s="592"/>
      <c r="L35" s="592"/>
      <c r="O35" s="618"/>
    </row>
    <row r="36" spans="1:15" x14ac:dyDescent="0.25">
      <c r="A36" s="573"/>
      <c r="B36" s="555" t="s">
        <v>1358</v>
      </c>
      <c r="C36" s="592"/>
      <c r="D36" s="592"/>
      <c r="E36" s="592"/>
      <c r="F36" s="592"/>
      <c r="G36" s="592"/>
      <c r="H36" s="592"/>
      <c r="I36" s="592"/>
      <c r="J36" s="592"/>
      <c r="K36" s="592"/>
      <c r="L36" s="592"/>
      <c r="O36" s="618"/>
    </row>
    <row r="37" spans="1:15" x14ac:dyDescent="0.25">
      <c r="A37" s="573"/>
      <c r="B37" s="555" t="s">
        <v>1366</v>
      </c>
      <c r="C37" s="592"/>
      <c r="D37" s="592"/>
      <c r="E37" s="592"/>
      <c r="F37" s="592"/>
      <c r="G37" s="592"/>
      <c r="H37" s="592"/>
      <c r="I37" s="592"/>
      <c r="J37" s="592"/>
      <c r="K37" s="592"/>
      <c r="L37" s="592"/>
      <c r="M37" s="166" t="s">
        <v>1388</v>
      </c>
      <c r="O37" s="618"/>
    </row>
    <row r="38" spans="1:15" x14ac:dyDescent="0.25">
      <c r="A38" s="573"/>
      <c r="B38" s="572" t="s">
        <v>1452</v>
      </c>
      <c r="C38" s="592">
        <v>0</v>
      </c>
      <c r="D38" s="592">
        <v>3091</v>
      </c>
      <c r="E38" s="592">
        <v>3091</v>
      </c>
      <c r="F38" s="592"/>
      <c r="G38" s="592">
        <v>0</v>
      </c>
      <c r="H38" s="592">
        <v>0</v>
      </c>
      <c r="I38" s="592">
        <v>0</v>
      </c>
      <c r="J38" s="592"/>
      <c r="K38" s="592"/>
      <c r="L38" s="592"/>
      <c r="O38" s="618"/>
    </row>
    <row r="39" spans="1:15" x14ac:dyDescent="0.25">
      <c r="A39" s="573" t="s">
        <v>338</v>
      </c>
      <c r="B39" s="570" t="s">
        <v>1325</v>
      </c>
      <c r="C39" s="590">
        <f>SUM(C40:C42)</f>
        <v>93742</v>
      </c>
      <c r="D39" s="590">
        <f>SUM(D40:D42)</f>
        <v>54222</v>
      </c>
      <c r="E39" s="590">
        <f>SUM(E40:E42)</f>
        <v>54222</v>
      </c>
      <c r="F39" s="590">
        <f>SUM(F40:F41)</f>
        <v>0</v>
      </c>
      <c r="G39" s="590">
        <f>SUM(G40:G42)</f>
        <v>0</v>
      </c>
      <c r="H39" s="590">
        <f>SUM(H40:H42)</f>
        <v>0</v>
      </c>
      <c r="I39" s="590">
        <f>SUM(I40:I42)</f>
        <v>0</v>
      </c>
      <c r="J39" s="590">
        <f>SUM(J40:J42)</f>
        <v>0</v>
      </c>
      <c r="K39" s="590">
        <f>SUM(K40:K42)</f>
        <v>0</v>
      </c>
      <c r="L39" s="590">
        <f>+L40+L41+L42</f>
        <v>0</v>
      </c>
      <c r="O39" s="618"/>
    </row>
    <row r="40" spans="1:15" x14ac:dyDescent="0.25">
      <c r="A40" s="591"/>
      <c r="B40" s="572" t="s">
        <v>1414</v>
      </c>
      <c r="C40" s="592">
        <f>15854</f>
        <v>15854</v>
      </c>
      <c r="D40" s="592">
        <f>15854-7920</f>
        <v>7934</v>
      </c>
      <c r="E40" s="592">
        <f>15854-7920</f>
        <v>7934</v>
      </c>
      <c r="F40" s="592"/>
      <c r="G40" s="592"/>
      <c r="H40" s="592"/>
      <c r="I40" s="592"/>
      <c r="J40" s="592"/>
      <c r="K40" s="592"/>
      <c r="L40" s="592"/>
      <c r="M40" s="166">
        <v>121011712</v>
      </c>
      <c r="O40" s="618"/>
    </row>
    <row r="41" spans="1:15" x14ac:dyDescent="0.25">
      <c r="A41" s="670">
        <v>1902</v>
      </c>
      <c r="B41" s="572" t="s">
        <v>1415</v>
      </c>
      <c r="C41" s="592">
        <f>22888+35000</f>
        <v>57888</v>
      </c>
      <c r="D41" s="592">
        <f>52888-25000-3248</f>
        <v>24640</v>
      </c>
      <c r="E41" s="592">
        <f>52888-25000-3248</f>
        <v>24640</v>
      </c>
      <c r="F41" s="592"/>
      <c r="G41" s="592"/>
      <c r="H41" s="592"/>
      <c r="I41" s="592"/>
      <c r="J41" s="592"/>
      <c r="K41" s="592"/>
      <c r="L41" s="592"/>
      <c r="M41" s="166">
        <v>121011713</v>
      </c>
      <c r="O41" s="618"/>
    </row>
    <row r="42" spans="1:15" x14ac:dyDescent="0.25">
      <c r="A42" s="591"/>
      <c r="B42" s="572" t="s">
        <v>1416</v>
      </c>
      <c r="C42" s="592">
        <v>20000</v>
      </c>
      <c r="D42" s="592">
        <f>20000+1648</f>
        <v>21648</v>
      </c>
      <c r="E42" s="592">
        <f>20000+1648</f>
        <v>21648</v>
      </c>
      <c r="F42" s="592"/>
      <c r="G42" s="592"/>
      <c r="H42" s="592"/>
      <c r="I42" s="592"/>
      <c r="J42" s="592"/>
      <c r="K42" s="592"/>
      <c r="L42" s="592"/>
      <c r="O42" s="618"/>
    </row>
    <row r="43" spans="1:15" x14ac:dyDescent="0.25">
      <c r="A43" s="573" t="s">
        <v>559</v>
      </c>
      <c r="B43" s="570" t="s">
        <v>1323</v>
      </c>
      <c r="C43" s="590"/>
      <c r="D43" s="590"/>
      <c r="E43" s="590"/>
      <c r="F43" s="590"/>
      <c r="G43" s="590"/>
      <c r="H43" s="590"/>
      <c r="I43" s="590"/>
      <c r="J43" s="590"/>
      <c r="K43" s="590"/>
      <c r="L43" s="590"/>
      <c r="M43" s="166">
        <v>122717</v>
      </c>
      <c r="O43" s="618"/>
    </row>
    <row r="44" spans="1:15" x14ac:dyDescent="0.25">
      <c r="A44" s="573" t="s">
        <v>561</v>
      </c>
      <c r="B44" s="570" t="s">
        <v>1357</v>
      </c>
      <c r="C44" s="590"/>
      <c r="D44" s="590"/>
      <c r="E44" s="590"/>
      <c r="F44" s="590"/>
      <c r="G44" s="590"/>
      <c r="H44" s="590"/>
      <c r="I44" s="590"/>
      <c r="J44" s="590"/>
      <c r="K44" s="590"/>
      <c r="L44" s="590"/>
      <c r="O44" s="618"/>
    </row>
    <row r="45" spans="1:15" x14ac:dyDescent="0.25">
      <c r="A45" s="548" t="s">
        <v>318</v>
      </c>
      <c r="B45" s="549" t="s">
        <v>1002</v>
      </c>
      <c r="C45" s="595">
        <v>0</v>
      </c>
      <c r="D45" s="595">
        <v>0</v>
      </c>
      <c r="E45" s="595">
        <v>0</v>
      </c>
      <c r="F45" s="595">
        <v>0</v>
      </c>
      <c r="G45" s="595">
        <v>0</v>
      </c>
      <c r="H45" s="595"/>
      <c r="I45" s="595"/>
      <c r="J45" s="595"/>
      <c r="K45" s="595"/>
      <c r="L45" s="595"/>
      <c r="O45" s="618"/>
    </row>
    <row r="46" spans="1:15" x14ac:dyDescent="0.25">
      <c r="A46" s="573" t="s">
        <v>311</v>
      </c>
      <c r="B46" s="570" t="s">
        <v>1003</v>
      </c>
      <c r="C46" s="590"/>
      <c r="D46" s="590"/>
      <c r="E46" s="590"/>
      <c r="F46" s="590"/>
      <c r="G46" s="590"/>
      <c r="H46" s="590"/>
      <c r="I46" s="590"/>
      <c r="J46" s="590"/>
      <c r="K46" s="590"/>
      <c r="L46" s="590"/>
      <c r="O46" s="618"/>
    </row>
    <row r="47" spans="1:15" x14ac:dyDescent="0.25">
      <c r="A47" s="573" t="s">
        <v>322</v>
      </c>
      <c r="B47" s="570" t="s">
        <v>1000</v>
      </c>
      <c r="C47" s="590"/>
      <c r="D47" s="590"/>
      <c r="E47" s="590"/>
      <c r="F47" s="590"/>
      <c r="G47" s="590"/>
      <c r="H47" s="590"/>
      <c r="I47" s="590"/>
      <c r="J47" s="590"/>
      <c r="K47" s="590"/>
      <c r="L47" s="590"/>
      <c r="O47" s="618"/>
    </row>
    <row r="48" spans="1:15" x14ac:dyDescent="0.25">
      <c r="A48" s="573" t="s">
        <v>315</v>
      </c>
      <c r="B48" s="570" t="s">
        <v>984</v>
      </c>
      <c r="C48" s="590"/>
      <c r="D48" s="590"/>
      <c r="E48" s="590"/>
      <c r="F48" s="590"/>
      <c r="G48" s="590"/>
      <c r="H48" s="590"/>
      <c r="I48" s="590"/>
      <c r="J48" s="590"/>
      <c r="K48" s="590"/>
      <c r="L48" s="590"/>
      <c r="O48" s="618"/>
    </row>
    <row r="49" spans="1:15" s="172" customFormat="1" x14ac:dyDescent="0.25">
      <c r="A49" s="596"/>
      <c r="B49" s="597" t="s">
        <v>550</v>
      </c>
      <c r="C49" s="598">
        <f t="shared" ref="C49:L49" si="1">C5+C45</f>
        <v>294748</v>
      </c>
      <c r="D49" s="598">
        <f t="shared" si="1"/>
        <v>247922</v>
      </c>
      <c r="E49" s="598">
        <f t="shared" si="1"/>
        <v>247922</v>
      </c>
      <c r="F49" s="598">
        <f t="shared" si="1"/>
        <v>0</v>
      </c>
      <c r="G49" s="598">
        <f t="shared" si="1"/>
        <v>0</v>
      </c>
      <c r="H49" s="598">
        <f t="shared" si="1"/>
        <v>0</v>
      </c>
      <c r="I49" s="598">
        <f t="shared" si="1"/>
        <v>0</v>
      </c>
      <c r="J49" s="598">
        <f t="shared" si="1"/>
        <v>0</v>
      </c>
      <c r="K49" s="598">
        <f>K5+K45</f>
        <v>0</v>
      </c>
      <c r="L49" s="598">
        <f t="shared" si="1"/>
        <v>0</v>
      </c>
      <c r="O49" s="619"/>
    </row>
    <row r="50" spans="1:15" x14ac:dyDescent="0.25">
      <c r="C50" s="360"/>
      <c r="D50" s="360"/>
    </row>
    <row r="51" spans="1:15" x14ac:dyDescent="0.25">
      <c r="C51" s="360"/>
      <c r="D51" s="360"/>
    </row>
    <row r="52" spans="1:15" x14ac:dyDescent="0.25">
      <c r="C52" s="361"/>
      <c r="D52" s="361"/>
    </row>
    <row r="56" spans="1:15" x14ac:dyDescent="0.25">
      <c r="N56" s="173"/>
    </row>
  </sheetData>
  <mergeCells count="1">
    <mergeCell ref="A2:C2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1" fitToHeight="0" orientation="portrait" r:id="rId1"/>
  <headerFooter>
    <oddHeader>&amp;L 8.  melléklet a ...../2019. (.......) önkormányzati rendelethez</oddHeader>
    <oddFooter>&amp;C&amp;10&amp;P&amp;R&amp;10&amp;D  &amp;T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Y65"/>
  <sheetViews>
    <sheetView view="pageBreakPreview" zoomScale="96" zoomScaleNormal="100" zoomScaleSheetLayoutView="96" workbookViewId="0"/>
  </sheetViews>
  <sheetFormatPr defaultColWidth="9.140625" defaultRowHeight="15" x14ac:dyDescent="0.25"/>
  <cols>
    <col min="1" max="1" width="5.7109375" style="211" customWidth="1"/>
    <col min="2" max="2" width="42.28515625" style="245" customWidth="1"/>
    <col min="3" max="3" width="12.42578125" style="245" hidden="1" customWidth="1"/>
    <col min="4" max="4" width="10.28515625" style="245" hidden="1" customWidth="1"/>
    <col min="5" max="5" width="9.7109375" style="245" hidden="1" customWidth="1"/>
    <col min="6" max="6" width="14.42578125" style="245" hidden="1" customWidth="1"/>
    <col min="7" max="7" width="12.42578125" style="245" hidden="1" customWidth="1"/>
    <col min="8" max="8" width="12.85546875" style="245" hidden="1" customWidth="1"/>
    <col min="9" max="9" width="9.7109375" style="245" hidden="1" customWidth="1"/>
    <col min="10" max="10" width="14.42578125" style="245" hidden="1" customWidth="1"/>
    <col min="11" max="11" width="12.42578125" style="245" customWidth="1"/>
    <col min="12" max="12" width="12.85546875" style="245" customWidth="1"/>
    <col min="13" max="13" width="8" style="245" customWidth="1"/>
    <col min="14" max="14" width="14.42578125" style="245" customWidth="1"/>
    <col min="15" max="15" width="12.42578125" style="245" customWidth="1"/>
    <col min="16" max="16" width="12.85546875" style="245" customWidth="1"/>
    <col min="17" max="17" width="8" style="245" customWidth="1"/>
    <col min="18" max="18" width="14.42578125" style="245" customWidth="1"/>
    <col min="19" max="19" width="12.42578125" style="245" hidden="1" customWidth="1"/>
    <col min="20" max="20" width="12.85546875" style="245" hidden="1" customWidth="1"/>
    <col min="21" max="21" width="8" style="245" hidden="1" customWidth="1"/>
    <col min="22" max="22" width="14.42578125" style="245" hidden="1" customWidth="1"/>
    <col min="23" max="23" width="11.28515625" style="245" bestFit="1" customWidth="1"/>
    <col min="24" max="24" width="9.140625" style="245"/>
    <col min="25" max="25" width="13.42578125" style="245" bestFit="1" customWidth="1"/>
    <col min="26" max="16384" width="9.140625" style="245"/>
  </cols>
  <sheetData>
    <row r="1" spans="1:23" x14ac:dyDescent="0.25">
      <c r="F1" s="369"/>
      <c r="J1" s="727"/>
      <c r="N1" s="727"/>
      <c r="R1" s="727" t="s">
        <v>1662</v>
      </c>
      <c r="V1" s="727" t="s">
        <v>1662</v>
      </c>
    </row>
    <row r="2" spans="1:23" ht="30.4" customHeight="1" x14ac:dyDescent="0.25">
      <c r="A2" s="938" t="s">
        <v>305</v>
      </c>
      <c r="B2" s="938" t="s">
        <v>470</v>
      </c>
      <c r="C2" s="939" t="s">
        <v>1654</v>
      </c>
      <c r="D2" s="936"/>
      <c r="E2" s="936"/>
      <c r="F2" s="940"/>
      <c r="G2" s="939" t="s">
        <v>1760</v>
      </c>
      <c r="H2" s="936"/>
      <c r="I2" s="936"/>
      <c r="J2" s="940"/>
      <c r="K2" s="939" t="s">
        <v>1795</v>
      </c>
      <c r="L2" s="936"/>
      <c r="M2" s="936"/>
      <c r="N2" s="940"/>
      <c r="O2" s="939" t="s">
        <v>1803</v>
      </c>
      <c r="P2" s="936"/>
      <c r="Q2" s="936"/>
      <c r="R2" s="940"/>
      <c r="S2" s="935" t="s">
        <v>1808</v>
      </c>
      <c r="T2" s="936"/>
      <c r="U2" s="936"/>
      <c r="V2" s="937"/>
    </row>
    <row r="3" spans="1:23" ht="75" x14ac:dyDescent="0.25">
      <c r="A3" s="938"/>
      <c r="B3" s="938"/>
      <c r="C3" s="519" t="s">
        <v>1300</v>
      </c>
      <c r="D3" s="453" t="s">
        <v>1301</v>
      </c>
      <c r="E3" s="453" t="s">
        <v>1302</v>
      </c>
      <c r="F3" s="453" t="s">
        <v>550</v>
      </c>
      <c r="G3" s="690" t="s">
        <v>1300</v>
      </c>
      <c r="H3" s="453" t="s">
        <v>1301</v>
      </c>
      <c r="I3" s="453" t="s">
        <v>1302</v>
      </c>
      <c r="J3" s="453" t="s">
        <v>550</v>
      </c>
      <c r="K3" s="690" t="s">
        <v>1300</v>
      </c>
      <c r="L3" s="453" t="s">
        <v>1301</v>
      </c>
      <c r="M3" s="453" t="s">
        <v>1302</v>
      </c>
      <c r="N3" s="453" t="s">
        <v>550</v>
      </c>
      <c r="O3" s="690" t="s">
        <v>1300</v>
      </c>
      <c r="P3" s="453" t="s">
        <v>1301</v>
      </c>
      <c r="Q3" s="453" t="s">
        <v>1302</v>
      </c>
      <c r="R3" s="453" t="s">
        <v>550</v>
      </c>
      <c r="S3" s="690" t="s">
        <v>1300</v>
      </c>
      <c r="T3" s="453" t="s">
        <v>1301</v>
      </c>
      <c r="U3" s="453" t="s">
        <v>1302</v>
      </c>
      <c r="V3" s="453" t="s">
        <v>550</v>
      </c>
    </row>
    <row r="4" spans="1:23" x14ac:dyDescent="0.25">
      <c r="A4" s="479" t="s">
        <v>309</v>
      </c>
      <c r="B4" s="480" t="s">
        <v>310</v>
      </c>
      <c r="C4" s="481">
        <f>C5+C10+C18+C27</f>
        <v>4530056291</v>
      </c>
      <c r="D4" s="492">
        <f>D5+D10+D18+D27</f>
        <v>49236960</v>
      </c>
      <c r="E4" s="492">
        <f>E5+E10+E18+E27</f>
        <v>0</v>
      </c>
      <c r="F4" s="492">
        <f>SUM(C4:E4)</f>
        <v>4579293251</v>
      </c>
      <c r="G4" s="481">
        <f>G5+G10+G18+G27</f>
        <v>4386487064</v>
      </c>
      <c r="H4" s="492">
        <f>H5+H10+H18+H27</f>
        <v>227886960</v>
      </c>
      <c r="I4" s="492">
        <f>I5+I10+I18+I27</f>
        <v>0</v>
      </c>
      <c r="J4" s="492">
        <f>SUM(G4:I4)</f>
        <v>4614374024</v>
      </c>
      <c r="K4" s="481">
        <f>K5+K10+K18+K27</f>
        <v>4548553678</v>
      </c>
      <c r="L4" s="492">
        <f>L5+L10+L18+L27</f>
        <v>49236960</v>
      </c>
      <c r="M4" s="492">
        <f>M5+M10+M18+M27</f>
        <v>0</v>
      </c>
      <c r="N4" s="492">
        <f>SUM(K4:M4)</f>
        <v>4597790638</v>
      </c>
      <c r="O4" s="481">
        <f>O5+O10+O18+O27</f>
        <v>4427334437</v>
      </c>
      <c r="P4" s="492">
        <f>P5+P10+P18+P27</f>
        <v>228886960</v>
      </c>
      <c r="Q4" s="492">
        <f>Q5+Q10+Q18+Q27</f>
        <v>0</v>
      </c>
      <c r="R4" s="492">
        <f>SUM(O4:Q4)</f>
        <v>4656221397</v>
      </c>
      <c r="S4" s="481">
        <f>S5+S10+S18+S27</f>
        <v>4594539661</v>
      </c>
      <c r="T4" s="492">
        <f>T5+T10+T18+T27</f>
        <v>47007114</v>
      </c>
      <c r="U4" s="492">
        <f>U5+U10+U18+U27</f>
        <v>0</v>
      </c>
      <c r="V4" s="492">
        <f>SUM(S4:U4)</f>
        <v>4641546775</v>
      </c>
      <c r="W4" s="768">
        <f>+R4-N4</f>
        <v>58430759</v>
      </c>
    </row>
    <row r="5" spans="1:23" ht="30" x14ac:dyDescent="0.25">
      <c r="A5" s="482" t="s">
        <v>311</v>
      </c>
      <c r="B5" s="483" t="s">
        <v>312</v>
      </c>
      <c r="C5" s="484">
        <f>SUM(C6:C9)</f>
        <v>662169291</v>
      </c>
      <c r="D5" s="493">
        <f>SUM(D6:D9)</f>
        <v>12600000</v>
      </c>
      <c r="E5" s="493">
        <f>SUM(E6:E9)</f>
        <v>0</v>
      </c>
      <c r="F5" s="493">
        <f t="shared" ref="F5:F61" si="0">SUM(C5:E5)</f>
        <v>674769291</v>
      </c>
      <c r="G5" s="484">
        <f>SUM(G6:G9)</f>
        <v>774800064</v>
      </c>
      <c r="H5" s="493">
        <f>SUM(H6:H9)</f>
        <v>12600000</v>
      </c>
      <c r="I5" s="493">
        <f>SUM(I6:I9)</f>
        <v>0</v>
      </c>
      <c r="J5" s="493">
        <f t="shared" ref="J5:J44" si="1">SUM(G5:I5)</f>
        <v>787400064</v>
      </c>
      <c r="K5" s="484">
        <f>SUM(K6:K9)</f>
        <v>758216678</v>
      </c>
      <c r="L5" s="493">
        <f>SUM(L6:L9)</f>
        <v>12600000</v>
      </c>
      <c r="M5" s="493">
        <f>SUM(M6:M9)</f>
        <v>0</v>
      </c>
      <c r="N5" s="493">
        <f t="shared" ref="N5:N10" si="2">SUM(K5:M5)</f>
        <v>770816678</v>
      </c>
      <c r="O5" s="484">
        <f>SUM(O6:O9)</f>
        <v>815647437</v>
      </c>
      <c r="P5" s="493">
        <f>SUM(P6:P9)</f>
        <v>13600000</v>
      </c>
      <c r="Q5" s="493">
        <f>SUM(Q6:Q9)</f>
        <v>0</v>
      </c>
      <c r="R5" s="493">
        <f t="shared" ref="R5:R10" si="3">SUM(O5:Q5)</f>
        <v>829247437</v>
      </c>
      <c r="S5" s="484">
        <f>SUM(S6:S9)</f>
        <v>816783782</v>
      </c>
      <c r="T5" s="493">
        <f>SUM(T6:T9)</f>
        <v>13600000</v>
      </c>
      <c r="U5" s="493">
        <f>SUM(U6:U9)</f>
        <v>0</v>
      </c>
      <c r="V5" s="493">
        <f t="shared" ref="V5:V10" si="4">SUM(S5:U5)</f>
        <v>830383782</v>
      </c>
      <c r="W5" s="768">
        <f>+R5-N5</f>
        <v>58430759</v>
      </c>
    </row>
    <row r="6" spans="1:23" s="94" customFormat="1" x14ac:dyDescent="0.25">
      <c r="A6" s="451"/>
      <c r="B6" s="314" t="s">
        <v>471</v>
      </c>
      <c r="C6" s="427">
        <f>'2A Önk bev'!C7</f>
        <v>622169291</v>
      </c>
      <c r="D6" s="427">
        <f>'2A Önk bev'!D7</f>
        <v>12600000</v>
      </c>
      <c r="E6" s="427">
        <f>'2A Önk bev'!E7</f>
        <v>0</v>
      </c>
      <c r="F6" s="427">
        <f t="shared" si="0"/>
        <v>634769291</v>
      </c>
      <c r="G6" s="427">
        <f>'2A Önk bev'!G7</f>
        <v>633894289</v>
      </c>
      <c r="H6" s="427">
        <f>'2A Önk bev'!H7</f>
        <v>12600000</v>
      </c>
      <c r="I6" s="427">
        <f>'2A Önk bev'!I7</f>
        <v>0</v>
      </c>
      <c r="J6" s="427">
        <f t="shared" si="1"/>
        <v>646494289</v>
      </c>
      <c r="K6" s="427">
        <f>'2A Önk bev'!K7</f>
        <v>617406103</v>
      </c>
      <c r="L6" s="427">
        <f>'2A Önk bev'!L7</f>
        <v>12600000</v>
      </c>
      <c r="M6" s="427">
        <f>'2A Önk bev'!M7</f>
        <v>0</v>
      </c>
      <c r="N6" s="427">
        <f t="shared" si="2"/>
        <v>630006103</v>
      </c>
      <c r="O6" s="427">
        <f>'2A Önk bev'!O7</f>
        <v>650838362</v>
      </c>
      <c r="P6" s="427">
        <f>'2A Önk bev'!P7</f>
        <v>12600000</v>
      </c>
      <c r="Q6" s="427">
        <f>'2A Önk bev'!Q7</f>
        <v>0</v>
      </c>
      <c r="R6" s="427">
        <f t="shared" si="3"/>
        <v>663438362</v>
      </c>
      <c r="S6" s="427">
        <f>'2A Önk bev'!S7</f>
        <v>650838362</v>
      </c>
      <c r="T6" s="427">
        <f>'2A Önk bev'!T7</f>
        <v>12600000</v>
      </c>
      <c r="U6" s="427">
        <f>'2A Önk bev'!U7</f>
        <v>0</v>
      </c>
      <c r="V6" s="427">
        <f t="shared" si="4"/>
        <v>663438362</v>
      </c>
      <c r="W6" s="768">
        <f t="shared" ref="W6:W9" si="5">+R6-N6</f>
        <v>33432259</v>
      </c>
    </row>
    <row r="7" spans="1:23" x14ac:dyDescent="0.25">
      <c r="A7" s="451"/>
      <c r="B7" s="314" t="s">
        <v>479</v>
      </c>
      <c r="C7" s="315">
        <f>'2A Önk bev'!C16</f>
        <v>0</v>
      </c>
      <c r="D7" s="427">
        <f>'2A Önk bev'!D16</f>
        <v>0</v>
      </c>
      <c r="E7" s="427">
        <f>'2A Önk bev'!E16</f>
        <v>0</v>
      </c>
      <c r="F7" s="427">
        <f t="shared" si="0"/>
        <v>0</v>
      </c>
      <c r="G7" s="315">
        <f>'2A Önk bev'!G16</f>
        <v>100905775</v>
      </c>
      <c r="H7" s="427">
        <f>'2A Önk bev'!H16</f>
        <v>0</v>
      </c>
      <c r="I7" s="427">
        <f>'2A Önk bev'!I16</f>
        <v>0</v>
      </c>
      <c r="J7" s="427">
        <f t="shared" si="1"/>
        <v>100905775</v>
      </c>
      <c r="K7" s="315">
        <f>'2A Önk bev'!K16</f>
        <v>100810575</v>
      </c>
      <c r="L7" s="427">
        <f>'2A Önk bev'!L16</f>
        <v>0</v>
      </c>
      <c r="M7" s="427">
        <f>'2A Önk bev'!M16</f>
        <v>0</v>
      </c>
      <c r="N7" s="427">
        <f t="shared" si="2"/>
        <v>100810575</v>
      </c>
      <c r="O7" s="315">
        <f>'2A Önk bev'!O16</f>
        <v>100810575</v>
      </c>
      <c r="P7" s="427">
        <f>'2A Önk bev'!P16</f>
        <v>0</v>
      </c>
      <c r="Q7" s="427">
        <f>'2A Önk bev'!Q16</f>
        <v>0</v>
      </c>
      <c r="R7" s="427">
        <f t="shared" si="3"/>
        <v>100810575</v>
      </c>
      <c r="S7" s="315">
        <f>'2A Önk bev'!S16</f>
        <v>100810575</v>
      </c>
      <c r="T7" s="427">
        <f>'2A Önk bev'!T16</f>
        <v>0</v>
      </c>
      <c r="U7" s="427">
        <f>'2A Önk bev'!U16</f>
        <v>0</v>
      </c>
      <c r="V7" s="427">
        <f t="shared" si="4"/>
        <v>100810575</v>
      </c>
      <c r="W7" s="768">
        <f t="shared" si="5"/>
        <v>0</v>
      </c>
    </row>
    <row r="8" spans="1:23" ht="30" x14ac:dyDescent="0.25">
      <c r="A8" s="451"/>
      <c r="B8" s="314" t="s">
        <v>480</v>
      </c>
      <c r="C8" s="315">
        <f>'2A Önk bev'!C17</f>
        <v>0</v>
      </c>
      <c r="D8" s="427">
        <f>'2A Önk bev'!D17</f>
        <v>0</v>
      </c>
      <c r="E8" s="427">
        <f>'2A Önk bev'!E17</f>
        <v>0</v>
      </c>
      <c r="F8" s="427">
        <f t="shared" si="0"/>
        <v>0</v>
      </c>
      <c r="G8" s="315">
        <f>'2A Önk bev'!G17</f>
        <v>0</v>
      </c>
      <c r="H8" s="427">
        <f>'2A Önk bev'!H17</f>
        <v>0</v>
      </c>
      <c r="I8" s="427">
        <f>'2A Önk bev'!I17</f>
        <v>0</v>
      </c>
      <c r="J8" s="427">
        <f t="shared" si="1"/>
        <v>0</v>
      </c>
      <c r="K8" s="315">
        <f>'2A Önk bev'!K17</f>
        <v>0</v>
      </c>
      <c r="L8" s="427">
        <f>'2A Önk bev'!L17</f>
        <v>0</v>
      </c>
      <c r="M8" s="427">
        <f>'2A Önk bev'!M17</f>
        <v>0</v>
      </c>
      <c r="N8" s="427">
        <f t="shared" si="2"/>
        <v>0</v>
      </c>
      <c r="O8" s="315">
        <f>'2A Önk bev'!O17</f>
        <v>0</v>
      </c>
      <c r="P8" s="427">
        <f>'2A Önk bev'!P17</f>
        <v>0</v>
      </c>
      <c r="Q8" s="427">
        <f>'2A Önk bev'!Q17</f>
        <v>0</v>
      </c>
      <c r="R8" s="427">
        <f t="shared" si="3"/>
        <v>0</v>
      </c>
      <c r="S8" s="315">
        <f>'2A Önk bev'!S17</f>
        <v>0</v>
      </c>
      <c r="T8" s="427">
        <f>'2A Önk bev'!T17</f>
        <v>0</v>
      </c>
      <c r="U8" s="427">
        <f>'2A Önk bev'!U17</f>
        <v>0</v>
      </c>
      <c r="V8" s="427">
        <f t="shared" si="4"/>
        <v>0</v>
      </c>
      <c r="W8" s="768">
        <f t="shared" si="5"/>
        <v>0</v>
      </c>
    </row>
    <row r="9" spans="1:23" ht="30" x14ac:dyDescent="0.25">
      <c r="A9" s="451"/>
      <c r="B9" s="314" t="s">
        <v>481</v>
      </c>
      <c r="C9" s="315">
        <f>'2A Önk bev'!C18</f>
        <v>40000000</v>
      </c>
      <c r="D9" s="427">
        <f>'2A Önk bev'!D18</f>
        <v>0</v>
      </c>
      <c r="E9" s="427">
        <f>'2A Önk bev'!E18</f>
        <v>0</v>
      </c>
      <c r="F9" s="427">
        <f t="shared" si="0"/>
        <v>40000000</v>
      </c>
      <c r="G9" s="315">
        <f>'2A Önk bev'!G18</f>
        <v>40000000</v>
      </c>
      <c r="H9" s="427">
        <f>'2A Önk bev'!H18</f>
        <v>0</v>
      </c>
      <c r="I9" s="427">
        <f>'2A Önk bev'!I18</f>
        <v>0</v>
      </c>
      <c r="J9" s="427">
        <f t="shared" si="1"/>
        <v>40000000</v>
      </c>
      <c r="K9" s="315">
        <f>'2A Önk bev'!K18</f>
        <v>40000000</v>
      </c>
      <c r="L9" s="427">
        <f>'2A Önk bev'!L18</f>
        <v>0</v>
      </c>
      <c r="M9" s="427">
        <f>'2A Önk bev'!M18</f>
        <v>0</v>
      </c>
      <c r="N9" s="427">
        <f t="shared" si="2"/>
        <v>40000000</v>
      </c>
      <c r="O9" s="315">
        <f>'2A Önk bev'!O18+'4D MMMH'!L10</f>
        <v>63998500</v>
      </c>
      <c r="P9" s="427">
        <f>'2A Önk bev'!P18</f>
        <v>1000000</v>
      </c>
      <c r="Q9" s="427">
        <f>'2A Önk bev'!Q18</f>
        <v>0</v>
      </c>
      <c r="R9" s="427">
        <f t="shared" si="3"/>
        <v>64998500</v>
      </c>
      <c r="S9" s="315">
        <f>'2A Önk bev'!S18</f>
        <v>65134845</v>
      </c>
      <c r="T9" s="427">
        <f>'2A Önk bev'!T18</f>
        <v>1000000</v>
      </c>
      <c r="U9" s="427">
        <f>'2A Önk bev'!U18</f>
        <v>0</v>
      </c>
      <c r="V9" s="427">
        <f t="shared" si="4"/>
        <v>66134845</v>
      </c>
      <c r="W9" s="768">
        <f t="shared" si="5"/>
        <v>24998500</v>
      </c>
    </row>
    <row r="10" spans="1:23" x14ac:dyDescent="0.25">
      <c r="A10" s="482" t="s">
        <v>322</v>
      </c>
      <c r="B10" s="483" t="s">
        <v>485</v>
      </c>
      <c r="C10" s="484">
        <f>SUM(C12:C15)</f>
        <v>3647000000</v>
      </c>
      <c r="D10" s="493">
        <f>SUM(D12:D15)</f>
        <v>0</v>
      </c>
      <c r="E10" s="493">
        <f>SUM(E12:E15)</f>
        <v>0</v>
      </c>
      <c r="F10" s="493">
        <f t="shared" si="0"/>
        <v>3647000000</v>
      </c>
      <c r="G10" s="484">
        <f>SUM(G12:G15)</f>
        <v>3569450000</v>
      </c>
      <c r="H10" s="493">
        <f>SUM(H12:H15)</f>
        <v>0</v>
      </c>
      <c r="I10" s="493">
        <f>SUM(I12:I15)</f>
        <v>0</v>
      </c>
      <c r="J10" s="493">
        <f t="shared" si="1"/>
        <v>3569450000</v>
      </c>
      <c r="K10" s="484">
        <f>SUM(K12:K15)</f>
        <v>3569450000</v>
      </c>
      <c r="L10" s="493">
        <f>SUM(L12:L15)</f>
        <v>0</v>
      </c>
      <c r="M10" s="493">
        <f>SUM(M12:M15)</f>
        <v>0</v>
      </c>
      <c r="N10" s="493">
        <f t="shared" si="2"/>
        <v>3569450000</v>
      </c>
      <c r="O10" s="484">
        <f>SUM(O12:O15)</f>
        <v>3569450000</v>
      </c>
      <c r="P10" s="493">
        <f>SUM(P12:P15)</f>
        <v>0</v>
      </c>
      <c r="Q10" s="493">
        <f>SUM(Q12:Q15)</f>
        <v>0</v>
      </c>
      <c r="R10" s="493">
        <f t="shared" si="3"/>
        <v>3569450000</v>
      </c>
      <c r="S10" s="484">
        <f>SUM(S12:S15)</f>
        <v>3587028129</v>
      </c>
      <c r="T10" s="493">
        <f>SUM(T12:T15)</f>
        <v>0</v>
      </c>
      <c r="U10" s="493">
        <f>SUM(U12:U15)</f>
        <v>0</v>
      </c>
      <c r="V10" s="493">
        <f t="shared" si="4"/>
        <v>3587028129</v>
      </c>
      <c r="W10" s="768">
        <f>+R10-N10</f>
        <v>0</v>
      </c>
    </row>
    <row r="11" spans="1:23" x14ac:dyDescent="0.25">
      <c r="A11" s="765"/>
      <c r="B11" s="766" t="s">
        <v>1780</v>
      </c>
      <c r="C11" s="507"/>
      <c r="D11" s="507"/>
      <c r="E11" s="507"/>
      <c r="F11" s="507"/>
      <c r="G11" s="507"/>
      <c r="H11" s="507"/>
      <c r="I11" s="507"/>
      <c r="J11" s="507"/>
      <c r="K11" s="507"/>
      <c r="L11" s="507"/>
      <c r="M11" s="507"/>
      <c r="N11" s="507"/>
      <c r="O11" s="507"/>
      <c r="P11" s="507"/>
      <c r="Q11" s="507"/>
      <c r="R11" s="507"/>
      <c r="S11" s="507"/>
      <c r="T11" s="507"/>
      <c r="U11" s="507"/>
      <c r="V11" s="507"/>
    </row>
    <row r="12" spans="1:23" x14ac:dyDescent="0.25">
      <c r="A12" s="451"/>
      <c r="B12" s="314" t="s">
        <v>486</v>
      </c>
      <c r="C12" s="315">
        <f>'2A Önk bev'!C28</f>
        <v>1157000000</v>
      </c>
      <c r="D12" s="427">
        <f>'2A Önk bev'!D28</f>
        <v>0</v>
      </c>
      <c r="E12" s="427">
        <f>'2A Önk bev'!E28</f>
        <v>0</v>
      </c>
      <c r="F12" s="427">
        <f t="shared" si="0"/>
        <v>1157000000</v>
      </c>
      <c r="G12" s="315">
        <f>'2A Önk bev'!G28</f>
        <v>1157000000</v>
      </c>
      <c r="H12" s="427">
        <f>'2A Önk bev'!H28</f>
        <v>0</v>
      </c>
      <c r="I12" s="427">
        <f>'2A Önk bev'!I28</f>
        <v>0</v>
      </c>
      <c r="J12" s="427">
        <f t="shared" si="1"/>
        <v>1157000000</v>
      </c>
      <c r="K12" s="315">
        <f>'2A Önk bev'!K28</f>
        <v>1157000000</v>
      </c>
      <c r="L12" s="427">
        <f>'2A Önk bev'!L28</f>
        <v>0</v>
      </c>
      <c r="M12" s="427">
        <f>'2A Önk bev'!M28</f>
        <v>0</v>
      </c>
      <c r="N12" s="427">
        <f t="shared" ref="N12:N44" si="6">SUM(K12:M12)</f>
        <v>1157000000</v>
      </c>
      <c r="O12" s="315">
        <f>'2A Önk bev'!O28</f>
        <v>1157000000</v>
      </c>
      <c r="P12" s="427">
        <f>'2A Önk bev'!P28</f>
        <v>0</v>
      </c>
      <c r="Q12" s="427">
        <f>'2A Önk bev'!Q28</f>
        <v>0</v>
      </c>
      <c r="R12" s="427">
        <f t="shared" ref="R12:R44" si="7">SUM(O12:Q12)</f>
        <v>1157000000</v>
      </c>
      <c r="S12" s="315">
        <f>'2A Önk bev'!S28</f>
        <v>1201312524</v>
      </c>
      <c r="T12" s="427">
        <f>'2A Önk bev'!T28</f>
        <v>0</v>
      </c>
      <c r="U12" s="427">
        <f>'2A Önk bev'!U28</f>
        <v>0</v>
      </c>
      <c r="V12" s="427">
        <f t="shared" ref="V12:V44" si="8">SUM(S12:U12)</f>
        <v>1201312524</v>
      </c>
    </row>
    <row r="13" spans="1:23" x14ac:dyDescent="0.25">
      <c r="A13" s="451"/>
      <c r="B13" s="314" t="s">
        <v>489</v>
      </c>
      <c r="C13" s="315">
        <f>'2A Önk bev'!C31</f>
        <v>2480000000</v>
      </c>
      <c r="D13" s="427">
        <f>'2A Önk bev'!D31</f>
        <v>0</v>
      </c>
      <c r="E13" s="427">
        <f>'2A Önk bev'!E31</f>
        <v>0</v>
      </c>
      <c r="F13" s="427">
        <f t="shared" si="0"/>
        <v>2480000000</v>
      </c>
      <c r="G13" s="315">
        <f>'2A Önk bev'!G31</f>
        <v>2410000000</v>
      </c>
      <c r="H13" s="427">
        <f>'2A Önk bev'!H31</f>
        <v>0</v>
      </c>
      <c r="I13" s="427">
        <f>'2A Önk bev'!I31</f>
        <v>0</v>
      </c>
      <c r="J13" s="427">
        <f t="shared" si="1"/>
        <v>2410000000</v>
      </c>
      <c r="K13" s="315">
        <f>'2A Önk bev'!K31</f>
        <v>2410000000</v>
      </c>
      <c r="L13" s="427">
        <f>'2A Önk bev'!L31</f>
        <v>0</v>
      </c>
      <c r="M13" s="427">
        <f>'2A Önk bev'!M31</f>
        <v>0</v>
      </c>
      <c r="N13" s="427">
        <f t="shared" si="6"/>
        <v>2410000000</v>
      </c>
      <c r="O13" s="315">
        <f>'2A Önk bev'!O31</f>
        <v>2410000000</v>
      </c>
      <c r="P13" s="427">
        <f>'2A Önk bev'!P31</f>
        <v>0</v>
      </c>
      <c r="Q13" s="427">
        <f>'2A Önk bev'!Q31</f>
        <v>0</v>
      </c>
      <c r="R13" s="427">
        <f t="shared" si="7"/>
        <v>2410000000</v>
      </c>
      <c r="S13" s="315">
        <f>'2A Önk bev'!S31</f>
        <v>2363057895</v>
      </c>
      <c r="T13" s="427">
        <f>'2A Önk bev'!T31</f>
        <v>0</v>
      </c>
      <c r="U13" s="427">
        <f>'2A Önk bev'!U31</f>
        <v>0</v>
      </c>
      <c r="V13" s="427">
        <f t="shared" si="8"/>
        <v>2363057895</v>
      </c>
    </row>
    <row r="14" spans="1:23" x14ac:dyDescent="0.25">
      <c r="A14" s="451"/>
      <c r="B14" s="314" t="s">
        <v>492</v>
      </c>
      <c r="C14" s="315">
        <f>'2A Önk bev'!C34</f>
        <v>9000000</v>
      </c>
      <c r="D14" s="427">
        <f>'2A Önk bev'!D34</f>
        <v>0</v>
      </c>
      <c r="E14" s="427">
        <f>'2A Önk bev'!E34</f>
        <v>0</v>
      </c>
      <c r="F14" s="427">
        <f t="shared" si="0"/>
        <v>9000000</v>
      </c>
      <c r="G14" s="315">
        <f>'2A Önk bev'!G34</f>
        <v>1450000</v>
      </c>
      <c r="H14" s="427">
        <f>'2A Önk bev'!H34</f>
        <v>0</v>
      </c>
      <c r="I14" s="427">
        <f>'2A Önk bev'!I34</f>
        <v>0</v>
      </c>
      <c r="J14" s="427">
        <f t="shared" si="1"/>
        <v>1450000</v>
      </c>
      <c r="K14" s="315">
        <f>'2A Önk bev'!K34</f>
        <v>1450000</v>
      </c>
      <c r="L14" s="427">
        <f>'2A Önk bev'!L34</f>
        <v>0</v>
      </c>
      <c r="M14" s="427">
        <f>'2A Önk bev'!M34</f>
        <v>0</v>
      </c>
      <c r="N14" s="427">
        <f t="shared" si="6"/>
        <v>1450000</v>
      </c>
      <c r="O14" s="315">
        <f>'2A Önk bev'!O34</f>
        <v>1450000</v>
      </c>
      <c r="P14" s="427">
        <f>'2A Önk bev'!P34</f>
        <v>0</v>
      </c>
      <c r="Q14" s="427">
        <f>'2A Önk bev'!Q34</f>
        <v>0</v>
      </c>
      <c r="R14" s="427">
        <f t="shared" si="7"/>
        <v>1450000</v>
      </c>
      <c r="S14" s="315">
        <f>'2A Önk bev'!S34</f>
        <v>2432144</v>
      </c>
      <c r="T14" s="427">
        <f>'2A Önk bev'!T34</f>
        <v>0</v>
      </c>
      <c r="U14" s="427">
        <f>'2A Önk bev'!U34</f>
        <v>0</v>
      </c>
      <c r="V14" s="427">
        <f t="shared" si="8"/>
        <v>2432144</v>
      </c>
    </row>
    <row r="15" spans="1:23" x14ac:dyDescent="0.25">
      <c r="A15" s="451"/>
      <c r="B15" s="314" t="s">
        <v>496</v>
      </c>
      <c r="C15" s="315">
        <f>C16+C17</f>
        <v>1000000</v>
      </c>
      <c r="D15" s="427">
        <f>D16+D17</f>
        <v>0</v>
      </c>
      <c r="E15" s="427">
        <f>E16+E17</f>
        <v>0</v>
      </c>
      <c r="F15" s="427">
        <f t="shared" si="0"/>
        <v>1000000</v>
      </c>
      <c r="G15" s="315">
        <f>G16+G17</f>
        <v>1000000</v>
      </c>
      <c r="H15" s="427">
        <f>H16+H17</f>
        <v>0</v>
      </c>
      <c r="I15" s="427">
        <f>I16+I17</f>
        <v>0</v>
      </c>
      <c r="J15" s="427">
        <f t="shared" si="1"/>
        <v>1000000</v>
      </c>
      <c r="K15" s="315">
        <f>K16+K17</f>
        <v>1000000</v>
      </c>
      <c r="L15" s="427">
        <f>L16+L17</f>
        <v>0</v>
      </c>
      <c r="M15" s="427">
        <f>M16+M17</f>
        <v>0</v>
      </c>
      <c r="N15" s="427">
        <f t="shared" si="6"/>
        <v>1000000</v>
      </c>
      <c r="O15" s="315">
        <f>O16+O17</f>
        <v>1000000</v>
      </c>
      <c r="P15" s="427">
        <f>P16+P17</f>
        <v>0</v>
      </c>
      <c r="Q15" s="427">
        <f>Q16+Q17</f>
        <v>0</v>
      </c>
      <c r="R15" s="427">
        <f t="shared" si="7"/>
        <v>1000000</v>
      </c>
      <c r="S15" s="315">
        <f>S16+S17</f>
        <v>20225566</v>
      </c>
      <c r="T15" s="427">
        <f>T16+T17</f>
        <v>0</v>
      </c>
      <c r="U15" s="427">
        <f>U16+U17</f>
        <v>0</v>
      </c>
      <c r="V15" s="427">
        <f t="shared" si="8"/>
        <v>20225566</v>
      </c>
    </row>
    <row r="16" spans="1:23" x14ac:dyDescent="0.25">
      <c r="A16" s="451"/>
      <c r="B16" s="314" t="s">
        <v>497</v>
      </c>
      <c r="C16" s="315">
        <f>'2A Önk bev'!C39+'3A PH'!C12</f>
        <v>1000000</v>
      </c>
      <c r="D16" s="427">
        <f>'2A Önk bev'!D39+'3A PH'!D12</f>
        <v>0</v>
      </c>
      <c r="E16" s="427">
        <f>'2A Önk bev'!E39+'3A PH'!E12</f>
        <v>0</v>
      </c>
      <c r="F16" s="427">
        <f t="shared" si="0"/>
        <v>1000000</v>
      </c>
      <c r="G16" s="315">
        <f>'2A Önk bev'!G39+'3A PH'!G12</f>
        <v>1000000</v>
      </c>
      <c r="H16" s="427">
        <f>'2A Önk bev'!H39+'3A PH'!H12</f>
        <v>0</v>
      </c>
      <c r="I16" s="427">
        <f>'2A Önk bev'!I39+'3A PH'!I12</f>
        <v>0</v>
      </c>
      <c r="J16" s="427">
        <f t="shared" si="1"/>
        <v>1000000</v>
      </c>
      <c r="K16" s="315">
        <f>'2A Önk bev'!K39+'3A PH'!K12</f>
        <v>1000000</v>
      </c>
      <c r="L16" s="427">
        <f>'2A Önk bev'!L39+'3A PH'!L12</f>
        <v>0</v>
      </c>
      <c r="M16" s="427">
        <f>'2A Önk bev'!M39+'3A PH'!M12</f>
        <v>0</v>
      </c>
      <c r="N16" s="427">
        <f t="shared" si="6"/>
        <v>1000000</v>
      </c>
      <c r="O16" s="315">
        <f>'2A Önk bev'!O39+'3A PH'!O12</f>
        <v>1000000</v>
      </c>
      <c r="P16" s="427">
        <f>'2A Önk bev'!P39+'3A PH'!P12</f>
        <v>0</v>
      </c>
      <c r="Q16" s="427">
        <f>'2A Önk bev'!Q39+'3A PH'!Q12</f>
        <v>0</v>
      </c>
      <c r="R16" s="427">
        <f t="shared" si="7"/>
        <v>1000000</v>
      </c>
      <c r="S16" s="315">
        <f>'2A Önk bev'!S39+'3A PH'!S12</f>
        <v>8944400</v>
      </c>
      <c r="T16" s="427">
        <f>'2A Önk bev'!T39+'3A PH'!T12</f>
        <v>0</v>
      </c>
      <c r="U16" s="427">
        <f>'2A Önk bev'!U39+'3A PH'!U12</f>
        <v>0</v>
      </c>
      <c r="V16" s="427">
        <f t="shared" si="8"/>
        <v>8944400</v>
      </c>
    </row>
    <row r="17" spans="1:25" x14ac:dyDescent="0.25">
      <c r="A17" s="451"/>
      <c r="B17" s="314" t="s">
        <v>665</v>
      </c>
      <c r="C17" s="315">
        <f>'2A Önk bev'!C40+'2A Önk bev'!C41+'2A Önk bev'!C42</f>
        <v>0</v>
      </c>
      <c r="D17" s="427">
        <f>'2A Önk bev'!D40+'2A Önk bev'!D41+'2A Önk bev'!D42</f>
        <v>0</v>
      </c>
      <c r="E17" s="427">
        <f>'2A Önk bev'!E40+'2A Önk bev'!E41+'2A Önk bev'!E42</f>
        <v>0</v>
      </c>
      <c r="F17" s="427">
        <f t="shared" si="0"/>
        <v>0</v>
      </c>
      <c r="G17" s="315">
        <f>'2A Önk bev'!G40+'2A Önk bev'!G41+'2A Önk bev'!G42</f>
        <v>0</v>
      </c>
      <c r="H17" s="427">
        <f>'2A Önk bev'!H40+'2A Önk bev'!H41+'2A Önk bev'!H42</f>
        <v>0</v>
      </c>
      <c r="I17" s="427">
        <f>'2A Önk bev'!I40+'2A Önk bev'!I41+'2A Önk bev'!I42</f>
        <v>0</v>
      </c>
      <c r="J17" s="427">
        <f t="shared" si="1"/>
        <v>0</v>
      </c>
      <c r="K17" s="315">
        <f>'2A Önk bev'!K40+'2A Önk bev'!K41+'2A Önk bev'!K42</f>
        <v>0</v>
      </c>
      <c r="L17" s="427">
        <f>'2A Önk bev'!L40+'2A Önk bev'!L41+'2A Önk bev'!L42</f>
        <v>0</v>
      </c>
      <c r="M17" s="427">
        <f>'2A Önk bev'!M40+'2A Önk bev'!M41+'2A Önk bev'!M42</f>
        <v>0</v>
      </c>
      <c r="N17" s="427">
        <f t="shared" si="6"/>
        <v>0</v>
      </c>
      <c r="O17" s="315">
        <f>'2A Önk bev'!O40+'2A Önk bev'!O41+'2A Önk bev'!O42</f>
        <v>0</v>
      </c>
      <c r="P17" s="427">
        <f>'2A Önk bev'!P40+'2A Önk bev'!P41+'2A Önk bev'!P42</f>
        <v>0</v>
      </c>
      <c r="Q17" s="427">
        <f>'2A Önk bev'!Q40+'2A Önk bev'!Q41+'2A Önk bev'!Q42</f>
        <v>0</v>
      </c>
      <c r="R17" s="427">
        <f t="shared" si="7"/>
        <v>0</v>
      </c>
      <c r="S17" s="315">
        <f>'2A Önk bev'!S40+'2A Önk bev'!S41+'2A Önk bev'!S42</f>
        <v>11281166</v>
      </c>
      <c r="T17" s="427">
        <f>'2A Önk bev'!T40+'2A Önk bev'!T41+'2A Önk bev'!T42</f>
        <v>0</v>
      </c>
      <c r="U17" s="427">
        <f>'2A Önk bev'!U40+'2A Önk bev'!U41+'2A Önk bev'!U42</f>
        <v>0</v>
      </c>
      <c r="V17" s="427">
        <f t="shared" si="8"/>
        <v>11281166</v>
      </c>
    </row>
    <row r="18" spans="1:25" x14ac:dyDescent="0.25">
      <c r="A18" s="482" t="s">
        <v>315</v>
      </c>
      <c r="B18" s="483" t="s">
        <v>314</v>
      </c>
      <c r="C18" s="484">
        <f>SUM(C19:C26)</f>
        <v>220887000</v>
      </c>
      <c r="D18" s="493">
        <f>SUM(D19:D26)</f>
        <v>36636960</v>
      </c>
      <c r="E18" s="493">
        <f>SUM(E19:E26)</f>
        <v>0</v>
      </c>
      <c r="F18" s="493">
        <f t="shared" si="0"/>
        <v>257523960</v>
      </c>
      <c r="G18" s="484">
        <f>SUM(G19:G26)</f>
        <v>42237000</v>
      </c>
      <c r="H18" s="493">
        <f>SUM(H19:H26)</f>
        <v>215286960</v>
      </c>
      <c r="I18" s="493">
        <f>SUM(I19:I26)</f>
        <v>0</v>
      </c>
      <c r="J18" s="493">
        <f t="shared" si="1"/>
        <v>257523960</v>
      </c>
      <c r="K18" s="484">
        <f>SUM(K19:K26)</f>
        <v>220887000</v>
      </c>
      <c r="L18" s="493">
        <f>SUM(L19:L26)</f>
        <v>36636960</v>
      </c>
      <c r="M18" s="493">
        <f>SUM(M19:M26)</f>
        <v>0</v>
      </c>
      <c r="N18" s="493">
        <f t="shared" si="6"/>
        <v>257523960</v>
      </c>
      <c r="O18" s="484">
        <f>SUM(O19:O26)</f>
        <v>42237000</v>
      </c>
      <c r="P18" s="493">
        <f>SUM(P19:P26)</f>
        <v>215286960</v>
      </c>
      <c r="Q18" s="493">
        <f>SUM(Q19:Q26)</f>
        <v>0</v>
      </c>
      <c r="R18" s="493">
        <f t="shared" si="7"/>
        <v>257523960</v>
      </c>
      <c r="S18" s="484">
        <f>SUM(S19:S26)</f>
        <v>186934714</v>
      </c>
      <c r="T18" s="493">
        <f>SUM(T19:T26)</f>
        <v>33407114</v>
      </c>
      <c r="U18" s="493">
        <f>SUM(U19:U26)</f>
        <v>0</v>
      </c>
      <c r="V18" s="493">
        <f t="shared" si="8"/>
        <v>220341828</v>
      </c>
      <c r="W18" s="768">
        <f>+R18-N18</f>
        <v>0</v>
      </c>
    </row>
    <row r="19" spans="1:25" x14ac:dyDescent="0.25">
      <c r="A19" s="451"/>
      <c r="B19" s="314" t="s">
        <v>501</v>
      </c>
      <c r="C19" s="315">
        <f>'2A Önk bev'!C44+'3A PH'!C15+'4H VG bev kiad'!C12+'4A Walla'!C12+'4B Nyitnikék'!C12+'4C Bóbita'!C12+'4D MMMH'!C12+'4E Könyvtár'!C12+'4F Segítő Kéz'!C12</f>
        <v>0</v>
      </c>
      <c r="D19" s="427">
        <f>'2A Önk bev'!D44+'3A PH'!D15+'4H VG bev kiad'!D12+'4A Walla'!D12+'4B Nyitnikék'!D12+'4C Bóbita'!D12+'4D MMMH'!D12+'4E Könyvtár'!D12+'4F Segítő Kéz'!D12</f>
        <v>0</v>
      </c>
      <c r="E19" s="427">
        <f>'2A Önk bev'!E44+'3A PH'!E15</f>
        <v>0</v>
      </c>
      <c r="F19" s="427">
        <f t="shared" si="0"/>
        <v>0</v>
      </c>
      <c r="G19" s="315">
        <f>'2A Önk bev'!G44+'3A PH'!G15+'4H VG bev kiad'!G12+'4A Walla'!G12+'4B Nyitnikék'!G12+'4C Bóbita'!G12+'4D MMMH'!G12+'4E Könyvtár'!G12+'4F Segítő Kéz'!G12</f>
        <v>0</v>
      </c>
      <c r="H19" s="427">
        <f>'2A Önk bev'!H44+'3A PH'!H15+'4H VG bev kiad'!H12+'4A Walla'!H12+'4B Nyitnikék'!H12+'4C Bóbita'!H12+'4D MMMH'!H12+'4E Könyvtár'!H12+'4F Segítő Kéz'!H12</f>
        <v>0</v>
      </c>
      <c r="I19" s="427">
        <f>'2A Önk bev'!I44+'3A PH'!I15</f>
        <v>0</v>
      </c>
      <c r="J19" s="427">
        <f t="shared" si="1"/>
        <v>0</v>
      </c>
      <c r="K19" s="315">
        <f>'2A Önk bev'!K44+'3A PH'!K15+'4H VG bev kiad'!I12+'4A Walla'!I12+'4B Nyitnikék'!I12+'4C Bóbita'!I12+'4D MMMH'!I12+'4E Könyvtár'!I12+'4F Segítő Kéz'!I12</f>
        <v>0</v>
      </c>
      <c r="L19" s="427">
        <f>'2A Önk bev'!L44+'3A PH'!L15+'4H VG bev kiad'!J12+'4A Walla'!J12+'4B Nyitnikék'!J12+'4C Bóbita'!J12+'4D MMMH'!J12+'4E Könyvtár'!J12+'4F Segítő Kéz'!J12</f>
        <v>0</v>
      </c>
      <c r="M19" s="427">
        <f>'2A Önk bev'!M44+'3A PH'!M15</f>
        <v>0</v>
      </c>
      <c r="N19" s="427">
        <f t="shared" si="6"/>
        <v>0</v>
      </c>
      <c r="O19" s="315">
        <f>'2A Önk bev'!O44+'3A PH'!O15+'4H VG bev kiad'!M12+'4A Walla'!M12+'4B Nyitnikék'!M12+'4C Bóbita'!M12+'4D MMMH'!M12+'4E Könyvtár'!M12+'4F Segítő Kéz'!M12</f>
        <v>0</v>
      </c>
      <c r="P19" s="427">
        <f>'2A Önk bev'!P44+'3A PH'!P15+'4H VG bev kiad'!N12+'4A Walla'!N12+'4B Nyitnikék'!N12+'4C Bóbita'!N12+'4D MMMH'!N12+'4E Könyvtár'!N12+'4F Segítő Kéz'!N12</f>
        <v>0</v>
      </c>
      <c r="Q19" s="427">
        <f>'2A Önk bev'!Q44+'3A PH'!Q15</f>
        <v>0</v>
      </c>
      <c r="R19" s="427">
        <f t="shared" si="7"/>
        <v>0</v>
      </c>
      <c r="S19" s="315">
        <f>'2A Önk bev'!S44+'3A PH'!S15+'4H VG bev kiad'!Q12+'4A Walla'!Q12+'4B Nyitnikék'!Q12+'4C Bóbita'!Q12+'4D MMMH'!Q12+'4E Könyvtár'!Q12+'4F Segítő Kéz'!Q12</f>
        <v>551180</v>
      </c>
      <c r="T19" s="427">
        <f>'2A Önk bev'!T44+'3A PH'!T15+'4H VG bev kiad'!R12+'4A Walla'!R12+'4B Nyitnikék'!R12+'4C Bóbita'!R12+'4D MMMH'!R12+'4E Könyvtár'!R12+'4F Segítő Kéz'!R12</f>
        <v>0</v>
      </c>
      <c r="U19" s="427">
        <f>'2A Önk bev'!U44+'3A PH'!U15</f>
        <v>0</v>
      </c>
      <c r="V19" s="427">
        <f t="shared" si="8"/>
        <v>551180</v>
      </c>
    </row>
    <row r="20" spans="1:25" x14ac:dyDescent="0.25">
      <c r="A20" s="451"/>
      <c r="B20" s="314" t="s">
        <v>502</v>
      </c>
      <c r="C20" s="315">
        <f>'2A Önk bev'!C45+'3A PH'!C16+'4H VG bev kiad'!C13+'4A Walla'!C13+'4B Nyitnikék'!C13+'4C Bóbita'!C13+'4D MMMH'!C13+'4E Könyvtár'!C13+'4F Segítő Kéz'!C13</f>
        <v>72490000</v>
      </c>
      <c r="D20" s="427">
        <f>'2A Önk bev'!D45+'3A PH'!D16+'4H VG bev kiad'!D13+'4A Walla'!D13+'4B Nyitnikék'!D13+'4C Bóbita'!D13+'4D MMMH'!D13+'4E Könyvtár'!D13+'4F Segítő Kéz'!D13</f>
        <v>0</v>
      </c>
      <c r="E20" s="427">
        <f>'2A Önk bev'!E45+'3A PH'!E16</f>
        <v>0</v>
      </c>
      <c r="F20" s="427">
        <f t="shared" si="0"/>
        <v>72490000</v>
      </c>
      <c r="G20" s="315">
        <f>'2A Önk bev'!G45+'3A PH'!G16+'4H VG bev kiad'!G13+'4A Walla'!G13+'4B Nyitnikék'!G13+'4C Bóbita'!G13+'4D MMMH'!G13+'4E Könyvtár'!G13+'4F Segítő Kéz'!G13</f>
        <v>26490000</v>
      </c>
      <c r="H20" s="427">
        <f>'2A Önk bev'!H45+'3A PH'!H16+'4H VG bev kiad'!H13+'4A Walla'!H13+'4B Nyitnikék'!H13+'4C Bóbita'!H13+'4D MMMH'!H13+'4E Könyvtár'!H13+'4F Segítő Kéz'!H13</f>
        <v>46000000</v>
      </c>
      <c r="I20" s="427">
        <f>'2A Önk bev'!I45+'3A PH'!I16</f>
        <v>0</v>
      </c>
      <c r="J20" s="427">
        <f t="shared" si="1"/>
        <v>72490000</v>
      </c>
      <c r="K20" s="315">
        <f>'2A Önk bev'!K45+'3A PH'!K16+'4H VG bev kiad'!I13+'4A Walla'!I13+'4B Nyitnikék'!I13+'4C Bóbita'!I13+'4D MMMH'!I13+'4E Könyvtár'!I13+'4F Segítő Kéz'!I13</f>
        <v>72490000</v>
      </c>
      <c r="L20" s="427">
        <f>'2A Önk bev'!L45+'3A PH'!L16+'4H VG bev kiad'!J13+'4A Walla'!J13+'4B Nyitnikék'!J13+'4C Bóbita'!J13+'4D MMMH'!J13+'4E Könyvtár'!J13+'4F Segítő Kéz'!J13</f>
        <v>0</v>
      </c>
      <c r="M20" s="427">
        <f>'2A Önk bev'!M45+'3A PH'!M16</f>
        <v>0</v>
      </c>
      <c r="N20" s="427">
        <f t="shared" si="6"/>
        <v>72490000</v>
      </c>
      <c r="O20" s="315">
        <f>'2A Önk bev'!O45+'3A PH'!O16+'4H VG bev kiad'!M13+'4A Walla'!M13+'4B Nyitnikék'!M13+'4C Bóbita'!M13+'4D MMMH'!M13+'4E Könyvtár'!M13+'4F Segítő Kéz'!M13</f>
        <v>26490000</v>
      </c>
      <c r="P20" s="427">
        <f>'2A Önk bev'!P45+'3A PH'!P16+'4H VG bev kiad'!N13+'4A Walla'!N13+'4B Nyitnikék'!N13+'4C Bóbita'!N13+'4D MMMH'!N13+'4E Könyvtár'!N13+'4F Segítő Kéz'!N13</f>
        <v>46000000</v>
      </c>
      <c r="Q20" s="427">
        <f>'2A Önk bev'!Q45+'3A PH'!Q16</f>
        <v>0</v>
      </c>
      <c r="R20" s="427">
        <f t="shared" si="7"/>
        <v>72490000</v>
      </c>
      <c r="S20" s="315">
        <f>'2A Önk bev'!S45+'3A PH'!S16+'4H VG bev kiad'!Q13+'4A Walla'!Q13+'4B Nyitnikék'!Q13+'4C Bóbita'!Q13+'4D MMMH'!Q13+'4E Könyvtár'!Q13+'4F Segítő Kéz'!Q13</f>
        <v>62587077</v>
      </c>
      <c r="T20" s="427">
        <f>'2A Önk bev'!T45+'3A PH'!T16+'4H VG bev kiad'!R13+'4A Walla'!R13+'4B Nyitnikék'!R13+'4C Bóbita'!R13+'4D MMMH'!R13+'4E Könyvtár'!R13+'4F Segítő Kéz'!R13</f>
        <v>0</v>
      </c>
      <c r="U20" s="427">
        <f>'2A Önk bev'!U45+'3A PH'!U16</f>
        <v>0</v>
      </c>
      <c r="V20" s="427">
        <f t="shared" si="8"/>
        <v>62587077</v>
      </c>
    </row>
    <row r="21" spans="1:25" x14ac:dyDescent="0.25">
      <c r="A21" s="451"/>
      <c r="B21" s="314" t="s">
        <v>505</v>
      </c>
      <c r="C21" s="315">
        <f>'2A Önk bev'!C48+'3A PH'!C17+'4H VG bev kiad'!C14+'4A Walla'!C14+'4B Nyitnikék'!C14+'4C Bóbita'!C14+'4D MMMH'!C14+'4E Könyvtár'!C14+'4F Segítő Kéz'!C14</f>
        <v>5397000</v>
      </c>
      <c r="D21" s="427">
        <f>'2A Önk bev'!D48+'3A PH'!D17+'4H VG bev kiad'!D14+'4A Walla'!D14+'4B Nyitnikék'!D14+'4C Bóbita'!D14+'4D MMMH'!D14+'4E Könyvtár'!D14+'4F Segítő Kéz'!D14</f>
        <v>28848000</v>
      </c>
      <c r="E21" s="427">
        <f>'2A Önk bev'!E48+'3A PH'!E17</f>
        <v>0</v>
      </c>
      <c r="F21" s="427">
        <f t="shared" si="0"/>
        <v>34245000</v>
      </c>
      <c r="G21" s="315">
        <f>'2A Önk bev'!G48+'3A PH'!G17+'4H VG bev kiad'!G14+'4A Walla'!G14+'4B Nyitnikék'!G14+'4C Bóbita'!G14+'4D MMMH'!G14+'4E Könyvtár'!G14+'4F Segítő Kéz'!G14</f>
        <v>5397000</v>
      </c>
      <c r="H21" s="427">
        <f>'2A Önk bev'!H48+'3A PH'!H17+'4H VG bev kiad'!H14+'4A Walla'!H14+'4B Nyitnikék'!H14+'4C Bóbita'!H14+'4D MMMH'!H14+'4E Könyvtár'!H14+'4F Segítő Kéz'!H14</f>
        <v>28848000</v>
      </c>
      <c r="I21" s="427">
        <f>'2A Önk bev'!I48+'3A PH'!I17</f>
        <v>0</v>
      </c>
      <c r="J21" s="427">
        <f t="shared" si="1"/>
        <v>34245000</v>
      </c>
      <c r="K21" s="315">
        <f>'2A Önk bev'!K48+'3A PH'!K17+'4H VG bev kiad'!I14+'4A Walla'!I14+'4B Nyitnikék'!I14+'4C Bóbita'!I14+'4D MMMH'!I14+'4E Könyvtár'!I14+'4F Segítő Kéz'!I14</f>
        <v>5397000</v>
      </c>
      <c r="L21" s="427">
        <f>'2A Önk bev'!L48+'3A PH'!L17+'4H VG bev kiad'!J14+'4A Walla'!J14+'4B Nyitnikék'!J14+'4C Bóbita'!J14+'4D MMMH'!J14+'4E Könyvtár'!J14+'4F Segítő Kéz'!J14</f>
        <v>28848000</v>
      </c>
      <c r="M21" s="427">
        <f>'2A Önk bev'!M48+'3A PH'!M17</f>
        <v>0</v>
      </c>
      <c r="N21" s="427">
        <f t="shared" si="6"/>
        <v>34245000</v>
      </c>
      <c r="O21" s="315">
        <f>'2A Önk bev'!O48+'3A PH'!O17+'4H VG bev kiad'!M14+'4A Walla'!M14+'4B Nyitnikék'!M14+'4C Bóbita'!M14+'4D MMMH'!M14+'4E Könyvtár'!M14+'4F Segítő Kéz'!M14</f>
        <v>5397000</v>
      </c>
      <c r="P21" s="427">
        <f>'2A Önk bev'!P48+'3A PH'!P17+'4H VG bev kiad'!N14+'4A Walla'!N14+'4B Nyitnikék'!N14+'4C Bóbita'!N14+'4D MMMH'!N14+'4E Könyvtár'!N14+'4F Segítő Kéz'!N14</f>
        <v>28848000</v>
      </c>
      <c r="Q21" s="427">
        <f>'2A Önk bev'!Q48+'3A PH'!Q17</f>
        <v>0</v>
      </c>
      <c r="R21" s="427">
        <f t="shared" si="7"/>
        <v>34245000</v>
      </c>
      <c r="S21" s="315">
        <f>'2A Önk bev'!S48+'3A PH'!S17+'4H VG bev kiad'!Q14+'4A Walla'!Q14+'4B Nyitnikék'!Q14+'4C Bóbita'!Q14+'4D MMMH'!Q14+'4E Könyvtár'!Q14+'4F Segítő Kéz'!Q14</f>
        <v>267700</v>
      </c>
      <c r="T21" s="427">
        <f>'2A Önk bev'!T48+'3A PH'!T17+'4H VG bev kiad'!R14+'4A Walla'!R14+'4B Nyitnikék'!R14+'4C Bóbita'!R14+'4D MMMH'!R14+'4E Könyvtár'!R14+'4F Segítő Kéz'!R14</f>
        <v>21635661</v>
      </c>
      <c r="U21" s="427">
        <f>'2A Önk bev'!U48+'3A PH'!U17</f>
        <v>0</v>
      </c>
      <c r="V21" s="427">
        <f t="shared" si="8"/>
        <v>21903361</v>
      </c>
    </row>
    <row r="22" spans="1:25" x14ac:dyDescent="0.25">
      <c r="A22" s="451"/>
      <c r="B22" s="314" t="s">
        <v>508</v>
      </c>
      <c r="C22" s="315">
        <f>'2A Önk bev'!C52+'3A PH'!C18+'4H VG bev kiad'!C15+'4A Walla'!C15+'4B Nyitnikék'!C15+'4C Bóbita'!C15+'4D MMMH'!C15+'4E Könyvtár'!C15+'4F Segítő Kéz'!C15+'4G Szérüskert'!C15</f>
        <v>88900000</v>
      </c>
      <c r="D22" s="427">
        <f>'2A Önk bev'!D52+'3A PH'!D18+'4H VG bev kiad'!D15+'4A Walla'!D15+'4B Nyitnikék'!D15+'4C Bóbita'!D15+'4D MMMH'!D15+'4E Könyvtár'!D15+'4F Segítő Kéz'!D15+'4G Szérüskert'!D15</f>
        <v>0</v>
      </c>
      <c r="E22" s="427">
        <f>'2A Önk bev'!E52+'3A PH'!E18</f>
        <v>0</v>
      </c>
      <c r="F22" s="427">
        <f t="shared" si="0"/>
        <v>88900000</v>
      </c>
      <c r="G22" s="315">
        <f>'2A Önk bev'!G52+'3A PH'!G18+'4H VG bev kiad'!G15+'4A Walla'!G15+'4B Nyitnikék'!G15+'4C Bóbita'!G15+'4D MMMH'!G15+'4E Könyvtár'!G15+'4F Segítő Kéz'!G15+'4G Szérüskert'!G15</f>
        <v>0</v>
      </c>
      <c r="H22" s="427">
        <f>'2A Önk bev'!H52+'3A PH'!H18+'4H VG bev kiad'!H15+'4A Walla'!H15+'4B Nyitnikék'!H15+'4C Bóbita'!H15+'4D MMMH'!H15+'4E Könyvtár'!H15+'4F Segítő Kéz'!H15+'4G Szérüskert'!H15</f>
        <v>88900000</v>
      </c>
      <c r="I22" s="427">
        <f>'2A Önk bev'!I52+'3A PH'!I18</f>
        <v>0</v>
      </c>
      <c r="J22" s="427">
        <f t="shared" si="1"/>
        <v>88900000</v>
      </c>
      <c r="K22" s="315">
        <f>'2A Önk bev'!K52+'3A PH'!K18+'4H VG bev kiad'!I15+'4A Walla'!I15+'4B Nyitnikék'!I15+'4C Bóbita'!I15+'4D MMMH'!I15+'4E Könyvtár'!I15+'4F Segítő Kéz'!I15+'4G Szérüskert'!I15</f>
        <v>88900000</v>
      </c>
      <c r="L22" s="427">
        <f>'2A Önk bev'!L52+'3A PH'!L18+'4H VG bev kiad'!J15+'4A Walla'!J15+'4B Nyitnikék'!J15+'4C Bóbita'!J15+'4D MMMH'!J15+'4E Könyvtár'!J15+'4F Segítő Kéz'!J15+'4G Szérüskert'!J15</f>
        <v>0</v>
      </c>
      <c r="M22" s="427">
        <f>'2A Önk bev'!M52+'3A PH'!M18</f>
        <v>0</v>
      </c>
      <c r="N22" s="427">
        <f t="shared" si="6"/>
        <v>88900000</v>
      </c>
      <c r="O22" s="315">
        <f>'2A Önk bev'!O52+'3A PH'!O18+'4H VG bev kiad'!M15+'4A Walla'!M15+'4B Nyitnikék'!M15+'4C Bóbita'!M15+'4D MMMH'!M15+'4E Könyvtár'!M15+'4F Segítő Kéz'!M15+'4G Szérüskert'!M15</f>
        <v>0</v>
      </c>
      <c r="P22" s="427">
        <f>'2A Önk bev'!P52+'3A PH'!P18+'4H VG bev kiad'!N15+'4A Walla'!N15+'4B Nyitnikék'!N15+'4C Bóbita'!N15+'4D MMMH'!N15+'4E Könyvtár'!N15+'4F Segítő Kéz'!N15+'4G Szérüskert'!N15</f>
        <v>88900000</v>
      </c>
      <c r="Q22" s="427">
        <f>'2A Önk bev'!Q52+'3A PH'!Q18</f>
        <v>0</v>
      </c>
      <c r="R22" s="427">
        <f t="shared" si="7"/>
        <v>88900000</v>
      </c>
      <c r="S22" s="315">
        <f>'2A Önk bev'!S52+'3A PH'!S18+'4H VG bev kiad'!Q15+'4A Walla'!Q15+'4B Nyitnikék'!Q15+'4C Bóbita'!Q15+'4D MMMH'!Q15+'4E Könyvtár'!Q15+'4F Segítő Kéz'!Q15+'4G Szérüskert'!Q15</f>
        <v>67543168</v>
      </c>
      <c r="T22" s="427">
        <f>'2A Önk bev'!T52+'3A PH'!T18+'4H VG bev kiad'!R15+'4A Walla'!R15+'4B Nyitnikék'!R15+'4C Bóbita'!R15+'4D MMMH'!R15+'4E Könyvtár'!R15+'4F Segítő Kéz'!R15+'4G Szérüskert'!R15</f>
        <v>0</v>
      </c>
      <c r="U22" s="427">
        <f>'2A Önk bev'!U52+'3A PH'!U18</f>
        <v>0</v>
      </c>
      <c r="V22" s="427">
        <f t="shared" si="8"/>
        <v>67543168</v>
      </c>
    </row>
    <row r="23" spans="1:25" x14ac:dyDescent="0.25">
      <c r="A23" s="451"/>
      <c r="B23" s="314" t="s">
        <v>509</v>
      </c>
      <c r="C23" s="315">
        <f>'2A Önk bev'!C53+'3A PH'!C19+'4H VG bev kiad'!C16+'4A Walla'!C16+'4B Nyitnikék'!C16+'4C Bóbita'!C16+'4D MMMH'!C16+'4E Könyvtár'!C16+'4F Segítő Kéz'!C16+'4G Szérüskert'!C16</f>
        <v>31300000</v>
      </c>
      <c r="D23" s="427">
        <f>'2A Önk bev'!D53+'3A PH'!D19+'4H VG bev kiad'!D16+'4A Walla'!D16+'4B Nyitnikék'!D16+'4C Bóbita'!D16+'4D MMMH'!D16+'4E Könyvtár'!D16+'4F Segítő Kéz'!D16+'4G Szérüskert'!D16</f>
        <v>7788960</v>
      </c>
      <c r="E23" s="427">
        <f>'2A Önk bev'!E53+'3A PH'!E19</f>
        <v>0</v>
      </c>
      <c r="F23" s="427">
        <f t="shared" si="0"/>
        <v>39088960</v>
      </c>
      <c r="G23" s="315">
        <f>'2A Önk bev'!G53+'3A PH'!G19+'4H VG bev kiad'!G16+'4A Walla'!G16+'4B Nyitnikék'!G16+'4C Bóbita'!G16+'4D MMMH'!G16+'4E Könyvtár'!G16+'4F Segítő Kéz'!G16+'4G Szérüskert'!G16</f>
        <v>350000</v>
      </c>
      <c r="H23" s="427">
        <f>'2A Önk bev'!H53+'3A PH'!H19+'4H VG bev kiad'!H16+'4A Walla'!H16+'4B Nyitnikék'!H16+'4C Bóbita'!H16+'4D MMMH'!H16+'4E Könyvtár'!H16+'4F Segítő Kéz'!H16+'4G Szérüskert'!H16</f>
        <v>38738960</v>
      </c>
      <c r="I23" s="427">
        <f>'2A Önk bev'!I53+'3A PH'!I19</f>
        <v>0</v>
      </c>
      <c r="J23" s="427">
        <f t="shared" si="1"/>
        <v>39088960</v>
      </c>
      <c r="K23" s="315">
        <f>'2A Önk bev'!K53+'3A PH'!K19+'4H VG bev kiad'!I16+'4A Walla'!I16+'4B Nyitnikék'!I16+'4C Bóbita'!I16+'4D MMMH'!I16+'4E Könyvtár'!I16+'4F Segítő Kéz'!I16+'4G Szérüskert'!I16</f>
        <v>31300000</v>
      </c>
      <c r="L23" s="427">
        <f>'2A Önk bev'!L53+'3A PH'!L19+'4H VG bev kiad'!J16+'4A Walla'!J16+'4B Nyitnikék'!J16+'4C Bóbita'!J16+'4D MMMH'!J16+'4E Könyvtár'!J16+'4F Segítő Kéz'!J16+'4G Szérüskert'!J16</f>
        <v>7788960</v>
      </c>
      <c r="M23" s="427">
        <f>'2A Önk bev'!M53+'3A PH'!M19</f>
        <v>0</v>
      </c>
      <c r="N23" s="427">
        <f t="shared" si="6"/>
        <v>39088960</v>
      </c>
      <c r="O23" s="315">
        <f>'2A Önk bev'!O53+'3A PH'!O19+'4H VG bev kiad'!M16+'4A Walla'!M16+'4B Nyitnikék'!M16+'4C Bóbita'!M16+'4D MMMH'!M16+'4E Könyvtár'!M16+'4F Segítő Kéz'!M16+'4G Szérüskert'!M16</f>
        <v>350000</v>
      </c>
      <c r="P23" s="427">
        <f>'2A Önk bev'!P53+'3A PH'!P19+'4H VG bev kiad'!N16+'4A Walla'!N16+'4B Nyitnikék'!N16+'4C Bóbita'!N16+'4D MMMH'!N16+'4E Könyvtár'!N16+'4F Segítő Kéz'!N16+'4G Szérüskert'!N16</f>
        <v>38738960</v>
      </c>
      <c r="Q23" s="427">
        <f>'2A Önk bev'!Q53+'3A PH'!Q19</f>
        <v>0</v>
      </c>
      <c r="R23" s="427">
        <f t="shared" si="7"/>
        <v>39088960</v>
      </c>
      <c r="S23" s="315">
        <f>'2A Önk bev'!S53+'3A PH'!S19+'4H VG bev kiad'!Q16+'4A Walla'!Q16+'4B Nyitnikék'!Q16+'4C Bóbita'!Q16+'4D MMMH'!Q16+'4E Könyvtár'!Q16+'4F Segítő Kéz'!Q16+'4G Szérüskert'!Q16</f>
        <v>22004004</v>
      </c>
      <c r="T23" s="427">
        <f>'2A Önk bev'!T53+'3A PH'!T19+'4H VG bev kiad'!R16+'4A Walla'!R16+'4B Nyitnikék'!R16+'4C Bóbita'!R16+'4D MMMH'!R16+'4E Könyvtár'!R16+'4F Segítő Kéz'!R16+'4G Szérüskert'!R16</f>
        <v>11771453</v>
      </c>
      <c r="U23" s="427">
        <f>'2A Önk bev'!U53+'3A PH'!U19</f>
        <v>0</v>
      </c>
      <c r="V23" s="427">
        <f t="shared" si="8"/>
        <v>33775457</v>
      </c>
    </row>
    <row r="24" spans="1:25" x14ac:dyDescent="0.25">
      <c r="A24" s="451"/>
      <c r="B24" s="314" t="s">
        <v>510</v>
      </c>
      <c r="C24" s="315">
        <f>'2A Önk bev'!C54+'3A PH'!C20+'4H VG bev kiad'!C17+'4A Walla'!C17+'4B Nyitnikék'!C17+'4C Bóbita'!C17+'4D MMMH'!C17+'4E Könyvtár'!C17+'4F Segítő Kéz'!C17</f>
        <v>11800000</v>
      </c>
      <c r="D24" s="427">
        <f>'2A Önk bev'!D54+'3A PH'!D20+'4H VG bev kiad'!D17+'4A Walla'!D17+'4B Nyitnikék'!D17+'4C Bóbita'!D17+'4D MMMH'!D17+'4E Könyvtár'!D17+'4F Segítő Kéz'!D17</f>
        <v>0</v>
      </c>
      <c r="E24" s="427">
        <f>'2A Önk bev'!E54+'3A PH'!E20</f>
        <v>0</v>
      </c>
      <c r="F24" s="427">
        <f t="shared" si="0"/>
        <v>11800000</v>
      </c>
      <c r="G24" s="315">
        <f>'2A Önk bev'!G54+'3A PH'!G20+'4H VG bev kiad'!G17+'4A Walla'!G17+'4B Nyitnikék'!G17+'4C Bóbita'!G17+'4D MMMH'!G17+'4E Könyvtár'!G17+'4F Segítő Kéz'!G17</f>
        <v>0</v>
      </c>
      <c r="H24" s="427">
        <f>'2A Önk bev'!H54+'3A PH'!H20+'4H VG bev kiad'!H17+'4A Walla'!H17+'4B Nyitnikék'!H17+'4C Bóbita'!H17+'4D MMMH'!H17+'4E Könyvtár'!H17+'4F Segítő Kéz'!H17</f>
        <v>11800000</v>
      </c>
      <c r="I24" s="427">
        <f>'2A Önk bev'!I54+'3A PH'!I20</f>
        <v>0</v>
      </c>
      <c r="J24" s="427">
        <f t="shared" si="1"/>
        <v>11800000</v>
      </c>
      <c r="K24" s="315">
        <f>'2A Önk bev'!K54+'3A PH'!K20+'4H VG bev kiad'!I17+'4A Walla'!I17+'4B Nyitnikék'!I17+'4C Bóbita'!I17+'4D MMMH'!I17+'4E Könyvtár'!I17+'4F Segítő Kéz'!I17</f>
        <v>11800000</v>
      </c>
      <c r="L24" s="427">
        <f>'2A Önk bev'!L54+'3A PH'!L20+'4H VG bev kiad'!J17+'4A Walla'!J17+'4B Nyitnikék'!J17+'4C Bóbita'!J17+'4D MMMH'!J17+'4E Könyvtár'!J17+'4F Segítő Kéz'!J17</f>
        <v>0</v>
      </c>
      <c r="M24" s="427">
        <f>'2A Önk bev'!M54+'3A PH'!M20</f>
        <v>0</v>
      </c>
      <c r="N24" s="427">
        <f t="shared" si="6"/>
        <v>11800000</v>
      </c>
      <c r="O24" s="315">
        <f>'2A Önk bev'!O54+'3A PH'!O20+'4H VG bev kiad'!M17+'4A Walla'!M17+'4B Nyitnikék'!M17+'4C Bóbita'!M17+'4D MMMH'!M17+'4E Könyvtár'!M17+'4F Segítő Kéz'!M17</f>
        <v>0</v>
      </c>
      <c r="P24" s="427">
        <f>'2A Önk bev'!P54+'3A PH'!P20+'4H VG bev kiad'!N17+'4A Walla'!N17+'4B Nyitnikék'!N17+'4C Bóbita'!N17+'4D MMMH'!N17+'4E Könyvtár'!N17+'4F Segítő Kéz'!N17</f>
        <v>11800000</v>
      </c>
      <c r="Q24" s="427">
        <f>'2A Önk bev'!Q54+'3A PH'!Q20</f>
        <v>0</v>
      </c>
      <c r="R24" s="427">
        <f t="shared" si="7"/>
        <v>11800000</v>
      </c>
      <c r="S24" s="315">
        <f>'2A Önk bev'!S54+'3A PH'!S20+'4H VG bev kiad'!Q17+'4A Walla'!Q17+'4B Nyitnikék'!Q17+'4C Bóbita'!Q17+'4D MMMH'!Q17+'4E Könyvtár'!Q17+'4F Segítő Kéz'!Q17</f>
        <v>9785000</v>
      </c>
      <c r="T24" s="427">
        <f>'2A Önk bev'!T54+'3A PH'!T20+'4H VG bev kiad'!R17+'4A Walla'!R17+'4B Nyitnikék'!R17+'4C Bóbita'!R17+'4D MMMH'!R17+'4E Könyvtár'!R17+'4F Segítő Kéz'!R17</f>
        <v>0</v>
      </c>
      <c r="U24" s="427">
        <f>'2A Önk bev'!U54+'3A PH'!U20</f>
        <v>0</v>
      </c>
      <c r="V24" s="427">
        <f t="shared" si="8"/>
        <v>9785000</v>
      </c>
    </row>
    <row r="25" spans="1:25" x14ac:dyDescent="0.25">
      <c r="A25" s="451"/>
      <c r="B25" s="314" t="s">
        <v>511</v>
      </c>
      <c r="C25" s="315">
        <f>'2A Önk bev'!C55+'3A PH'!C21+'4H VG bev kiad'!C18+'4A Walla'!C18+'4B Nyitnikék'!C18+'4C Bóbita'!C18+'4D MMMH'!C18+'4E Könyvtár'!C18+'4F Segítő Kéz'!C18</f>
        <v>0</v>
      </c>
      <c r="D25" s="427">
        <f>'2A Önk bev'!D55+'3A PH'!D21+'4H VG bev kiad'!D18+'4A Walla'!D18+'4B Nyitnikék'!D18+'4C Bóbita'!D18+'4D MMMH'!D18+'4E Könyvtár'!D18+'4F Segítő Kéz'!D18</f>
        <v>0</v>
      </c>
      <c r="E25" s="427">
        <f>'2A Önk bev'!E55+'3A PH'!E21</f>
        <v>0</v>
      </c>
      <c r="F25" s="427">
        <f t="shared" si="0"/>
        <v>0</v>
      </c>
      <c r="G25" s="315">
        <f>'2A Önk bev'!G55+'3A PH'!G21+'4H VG bev kiad'!G18+'4A Walla'!G18+'4B Nyitnikék'!G18+'4C Bóbita'!G18+'4D MMMH'!G18+'4E Könyvtár'!G18+'4F Segítő Kéz'!G18</f>
        <v>0</v>
      </c>
      <c r="H25" s="427">
        <f>'2A Önk bev'!H55+'3A PH'!H21+'4H VG bev kiad'!H18+'4A Walla'!H18+'4B Nyitnikék'!H18+'4C Bóbita'!H18+'4D MMMH'!H18+'4E Könyvtár'!H18+'4F Segítő Kéz'!H18</f>
        <v>0</v>
      </c>
      <c r="I25" s="427">
        <f>'2A Önk bev'!I55+'3A PH'!I21</f>
        <v>0</v>
      </c>
      <c r="J25" s="427">
        <f t="shared" si="1"/>
        <v>0</v>
      </c>
      <c r="K25" s="315">
        <f>'2A Önk bev'!K55+'3A PH'!K21+'4H VG bev kiad'!I18+'4A Walla'!I18+'4B Nyitnikék'!I18+'4C Bóbita'!I18+'4D MMMH'!I18+'4E Könyvtár'!I18+'4F Segítő Kéz'!I18</f>
        <v>0</v>
      </c>
      <c r="L25" s="427">
        <f>'2A Önk bev'!L55+'3A PH'!L21+'4H VG bev kiad'!J18+'4A Walla'!J18+'4B Nyitnikék'!J18+'4C Bóbita'!J18+'4D MMMH'!J18+'4E Könyvtár'!J18+'4F Segítő Kéz'!J18</f>
        <v>0</v>
      </c>
      <c r="M25" s="427">
        <f>'2A Önk bev'!M55+'3A PH'!M21</f>
        <v>0</v>
      </c>
      <c r="N25" s="427">
        <f t="shared" si="6"/>
        <v>0</v>
      </c>
      <c r="O25" s="315">
        <f>'2A Önk bev'!O55+'3A PH'!O21+'4H VG bev kiad'!M18+'4A Walla'!M18+'4B Nyitnikék'!M18+'4C Bóbita'!M18+'4D MMMH'!M18+'4E Könyvtár'!M18+'4F Segítő Kéz'!M18</f>
        <v>0</v>
      </c>
      <c r="P25" s="427">
        <f>'2A Önk bev'!P55+'3A PH'!P21+'4H VG bev kiad'!N18+'4A Walla'!N18+'4B Nyitnikék'!N18+'4C Bóbita'!N18+'4D MMMH'!N18+'4E Könyvtár'!N18+'4F Segítő Kéz'!N18</f>
        <v>0</v>
      </c>
      <c r="Q25" s="427">
        <f>'2A Önk bev'!Q55+'3A PH'!Q21</f>
        <v>0</v>
      </c>
      <c r="R25" s="427">
        <f t="shared" si="7"/>
        <v>0</v>
      </c>
      <c r="S25" s="315">
        <f>'2A Önk bev'!S55+'3A PH'!S21+'4H VG bev kiad'!Q18+'4A Walla'!Q18+'4B Nyitnikék'!Q18+'4C Bóbita'!Q18+'4D MMMH'!Q18+'4E Könyvtár'!Q18+'4F Segítő Kéz'!Q18+'4G Szérüskert'!O18</f>
        <v>198789</v>
      </c>
      <c r="T25" s="427">
        <f>'2A Önk bev'!T55+'3A PH'!T21+'4H VG bev kiad'!R18+'4A Walla'!R18+'4B Nyitnikék'!R18+'4C Bóbita'!R18+'4D MMMH'!R18+'4E Könyvtár'!R18+'4F Segítő Kéz'!R18</f>
        <v>0</v>
      </c>
      <c r="U25" s="427">
        <f>'2A Önk bev'!U55+'3A PH'!U21</f>
        <v>0</v>
      </c>
      <c r="V25" s="427">
        <f t="shared" si="8"/>
        <v>198789</v>
      </c>
    </row>
    <row r="26" spans="1:25" x14ac:dyDescent="0.25">
      <c r="A26" s="451"/>
      <c r="B26" s="314" t="s">
        <v>512</v>
      </c>
      <c r="C26" s="315">
        <f>'2A Önk bev'!C56+'3A PH'!C22+'4H VG bev kiad'!C19+'4A Walla'!C19+'4B Nyitnikék'!C19+'4C Bóbita'!C19+'4D MMMH'!C19+'4E Könyvtár'!C19+'4F Segítő Kéz'!C19</f>
        <v>11000000</v>
      </c>
      <c r="D26" s="427">
        <f>'2A Önk bev'!D56+'3A PH'!D22+'4H VG bev kiad'!D19+'4A Walla'!D19+'4B Nyitnikék'!D19+'4C Bóbita'!D19+'4D MMMH'!D19+'4E Könyvtár'!D19+'4F Segítő Kéz'!D19</f>
        <v>0</v>
      </c>
      <c r="E26" s="427">
        <f>'2A Önk bev'!E56+'3A PH'!E22</f>
        <v>0</v>
      </c>
      <c r="F26" s="427">
        <f t="shared" si="0"/>
        <v>11000000</v>
      </c>
      <c r="G26" s="315">
        <f>'2A Önk bev'!G56+'3A PH'!G22+'4H VG bev kiad'!G19+'4A Walla'!G19+'4B Nyitnikék'!G19+'4C Bóbita'!G19+'4D MMMH'!G19+'4E Könyvtár'!G19+'4F Segítő Kéz'!G19</f>
        <v>10000000</v>
      </c>
      <c r="H26" s="427">
        <f>'2A Önk bev'!H56+'3A PH'!H22+'4H VG bev kiad'!H19+'4A Walla'!H19+'4B Nyitnikék'!H19+'4C Bóbita'!H19+'4D MMMH'!H19+'4E Könyvtár'!H19+'4F Segítő Kéz'!H19</f>
        <v>1000000</v>
      </c>
      <c r="I26" s="427">
        <f>'2A Önk bev'!I56+'3A PH'!I22</f>
        <v>0</v>
      </c>
      <c r="J26" s="427">
        <f t="shared" si="1"/>
        <v>11000000</v>
      </c>
      <c r="K26" s="315">
        <f>'2A Önk bev'!K56+'3A PH'!K22+'4H VG bev kiad'!I19+'4A Walla'!I19+'4B Nyitnikék'!I19+'4C Bóbita'!I19+'4D MMMH'!I19+'4E Könyvtár'!I19+'4F Segítő Kéz'!I19</f>
        <v>11000000</v>
      </c>
      <c r="L26" s="427">
        <f>'2A Önk bev'!L56+'3A PH'!L22+'4H VG bev kiad'!J19+'4A Walla'!J19+'4B Nyitnikék'!J19+'4C Bóbita'!J19+'4D MMMH'!J19+'4E Könyvtár'!J19+'4F Segítő Kéz'!J19</f>
        <v>0</v>
      </c>
      <c r="M26" s="427">
        <f>'2A Önk bev'!M56+'3A PH'!M22</f>
        <v>0</v>
      </c>
      <c r="N26" s="427">
        <f t="shared" si="6"/>
        <v>11000000</v>
      </c>
      <c r="O26" s="315">
        <f>'2A Önk bev'!O56+'3A PH'!O22+'4H VG bev kiad'!M19+'4A Walla'!M19+'4B Nyitnikék'!M19+'4C Bóbita'!M19+'4D MMMH'!M19+'4E Könyvtár'!M19+'4F Segítő Kéz'!M19</f>
        <v>10000000</v>
      </c>
      <c r="P26" s="427">
        <f>'2A Önk bev'!P56+'3A PH'!P22+'4H VG bev kiad'!N19+'4A Walla'!N19+'4B Nyitnikék'!N19+'4C Bóbita'!N19+'4D MMMH'!N19+'4E Könyvtár'!N19+'4F Segítő Kéz'!N19</f>
        <v>1000000</v>
      </c>
      <c r="Q26" s="427">
        <f>'2A Önk bev'!Q56+'3A PH'!Q22</f>
        <v>0</v>
      </c>
      <c r="R26" s="427">
        <f t="shared" si="7"/>
        <v>11000000</v>
      </c>
      <c r="S26" s="315">
        <f>'2A Önk bev'!S56+'3A PH'!S22+'4H VG bev kiad'!Q19+'4A Walla'!Q19+'4B Nyitnikék'!Q19+'4C Bóbita'!Q19+'4D MMMH'!Q19+'4E Könyvtár'!Q19+'4F Segítő Kéz'!Q19+'4G Szérüskert'!O19</f>
        <v>23997796</v>
      </c>
      <c r="T26" s="427">
        <f>'2A Önk bev'!T56+'3A PH'!T22+'4H VG bev kiad'!R19+'4A Walla'!R19+'4B Nyitnikék'!R19+'4C Bóbita'!R19+'4D MMMH'!R19+'4E Könyvtár'!R19+'4F Segítő Kéz'!R19</f>
        <v>0</v>
      </c>
      <c r="U26" s="427">
        <f>'2A Önk bev'!U56+'3A PH'!U22</f>
        <v>0</v>
      </c>
      <c r="V26" s="427">
        <f t="shared" si="8"/>
        <v>23997796</v>
      </c>
    </row>
    <row r="27" spans="1:25" x14ac:dyDescent="0.25">
      <c r="A27" s="482" t="s">
        <v>336</v>
      </c>
      <c r="B27" s="483" t="s">
        <v>316</v>
      </c>
      <c r="C27" s="484">
        <f>SUM(C28:C29)</f>
        <v>0</v>
      </c>
      <c r="D27" s="493">
        <f>SUM(D28:D29)</f>
        <v>0</v>
      </c>
      <c r="E27" s="493">
        <f>SUM(E28:E29)</f>
        <v>0</v>
      </c>
      <c r="F27" s="493">
        <f t="shared" si="0"/>
        <v>0</v>
      </c>
      <c r="G27" s="484">
        <f>SUM(G28:G29)</f>
        <v>0</v>
      </c>
      <c r="H27" s="493">
        <f>SUM(H28:H29)</f>
        <v>0</v>
      </c>
      <c r="I27" s="493">
        <f>SUM(I28:I29)</f>
        <v>0</v>
      </c>
      <c r="J27" s="493">
        <f t="shared" si="1"/>
        <v>0</v>
      </c>
      <c r="K27" s="484">
        <f>SUM(K28:K29)</f>
        <v>0</v>
      </c>
      <c r="L27" s="493">
        <f>SUM(L28:L29)</f>
        <v>0</v>
      </c>
      <c r="M27" s="493">
        <f>SUM(M28:M29)</f>
        <v>0</v>
      </c>
      <c r="N27" s="493">
        <f t="shared" si="6"/>
        <v>0</v>
      </c>
      <c r="O27" s="484">
        <f>SUM(O28:O29)</f>
        <v>0</v>
      </c>
      <c r="P27" s="493">
        <f>SUM(P28:P29)</f>
        <v>0</v>
      </c>
      <c r="Q27" s="493">
        <f>SUM(Q28:Q29)</f>
        <v>0</v>
      </c>
      <c r="R27" s="493">
        <f t="shared" si="7"/>
        <v>0</v>
      </c>
      <c r="S27" s="484">
        <f>SUM(S28:S29)</f>
        <v>3793036</v>
      </c>
      <c r="T27" s="493">
        <f>SUM(T28:T29)</f>
        <v>0</v>
      </c>
      <c r="U27" s="493">
        <f>SUM(U28:U29)</f>
        <v>0</v>
      </c>
      <c r="V27" s="493">
        <f t="shared" si="8"/>
        <v>3793036</v>
      </c>
      <c r="W27" s="768">
        <f>+R27-N27</f>
        <v>0</v>
      </c>
    </row>
    <row r="28" spans="1:25" ht="30" hidden="1" customHeight="1" x14ac:dyDescent="0.25">
      <c r="A28" s="451"/>
      <c r="B28" s="314" t="s">
        <v>513</v>
      </c>
      <c r="C28" s="315">
        <f>'2A Önk bev'!C58</f>
        <v>0</v>
      </c>
      <c r="D28" s="427">
        <f>'2A Önk bev'!D58</f>
        <v>0</v>
      </c>
      <c r="E28" s="427">
        <f>'2A Önk bev'!E58</f>
        <v>0</v>
      </c>
      <c r="F28" s="427">
        <f t="shared" si="0"/>
        <v>0</v>
      </c>
      <c r="G28" s="315">
        <f>'2A Önk bev'!G58</f>
        <v>0</v>
      </c>
      <c r="H28" s="427">
        <f>'2A Önk bev'!H58</f>
        <v>0</v>
      </c>
      <c r="I28" s="427">
        <f>'2A Önk bev'!I58</f>
        <v>0</v>
      </c>
      <c r="J28" s="427">
        <f t="shared" si="1"/>
        <v>0</v>
      </c>
      <c r="K28" s="315">
        <f>'2A Önk bev'!K58</f>
        <v>0</v>
      </c>
      <c r="L28" s="427">
        <f>'2A Önk bev'!L58</f>
        <v>0</v>
      </c>
      <c r="M28" s="427">
        <f>'2A Önk bev'!M58</f>
        <v>0</v>
      </c>
      <c r="N28" s="427">
        <f t="shared" si="6"/>
        <v>0</v>
      </c>
      <c r="O28" s="315">
        <f>'2A Önk bev'!O58</f>
        <v>0</v>
      </c>
      <c r="P28" s="427">
        <f>'2A Önk bev'!P58</f>
        <v>0</v>
      </c>
      <c r="Q28" s="427">
        <f>'2A Önk bev'!Q58</f>
        <v>0</v>
      </c>
      <c r="R28" s="427">
        <f t="shared" si="7"/>
        <v>0</v>
      </c>
      <c r="S28" s="315">
        <f>'2A Önk bev'!S58</f>
        <v>0</v>
      </c>
      <c r="T28" s="427">
        <f>'2A Önk bev'!T58</f>
        <v>0</v>
      </c>
      <c r="U28" s="427">
        <f>'2A Önk bev'!U58</f>
        <v>0</v>
      </c>
      <c r="V28" s="427">
        <f t="shared" si="8"/>
        <v>0</v>
      </c>
    </row>
    <row r="29" spans="1:25" ht="30" hidden="1" customHeight="1" x14ac:dyDescent="0.25">
      <c r="A29" s="451"/>
      <c r="B29" s="314" t="s">
        <v>514</v>
      </c>
      <c r="C29" s="315">
        <f>'2A Önk bev'!C59+'3A PH'!C24+'4H VG bev kiad'!C21+'4A Walla'!C21+'4B Nyitnikék'!C21+'4C Bóbita'!C21+'4D MMMH'!C21+'4E Könyvtár'!C21+'4F Segítő Kéz'!C21</f>
        <v>0</v>
      </c>
      <c r="D29" s="427">
        <f>'2A Önk bev'!D59+'3A PH'!D24+'4H VG bev kiad'!D21+'4A Walla'!D21+'4B Nyitnikék'!D21+'4C Bóbita'!D21+'4D MMMH'!D21+'4E Könyvtár'!D21+'4F Segítő Kéz'!D21</f>
        <v>0</v>
      </c>
      <c r="E29" s="427">
        <f>'2A Önk bev'!E59+'3A PH'!E24</f>
        <v>0</v>
      </c>
      <c r="F29" s="427">
        <f t="shared" si="0"/>
        <v>0</v>
      </c>
      <c r="G29" s="315">
        <f>'2A Önk bev'!G59+'3A PH'!G24+'4H VG bev kiad'!G21+'4A Walla'!G21+'4B Nyitnikék'!G21+'4C Bóbita'!G21+'4D MMMH'!G21+'4E Könyvtár'!G21+'4F Segítő Kéz'!G21</f>
        <v>0</v>
      </c>
      <c r="H29" s="427">
        <f>'2A Önk bev'!H59+'3A PH'!H24+'4H VG bev kiad'!H21+'4A Walla'!H21+'4B Nyitnikék'!H21+'4C Bóbita'!H21+'4D MMMH'!H21+'4E Könyvtár'!H21+'4F Segítő Kéz'!H21</f>
        <v>0</v>
      </c>
      <c r="I29" s="427">
        <f>'2A Önk bev'!I59+'3A PH'!I24</f>
        <v>0</v>
      </c>
      <c r="J29" s="427">
        <f t="shared" si="1"/>
        <v>0</v>
      </c>
      <c r="K29" s="315">
        <f>'2A Önk bev'!K59+'3A PH'!K24+'4H VG bev kiad'!K21+'4A Walla'!K21+'4B Nyitnikék'!K21+'4C Bóbita'!K21+'4D MMMH'!K21+'4E Könyvtár'!K21+'4F Segítő Kéz'!K21</f>
        <v>0</v>
      </c>
      <c r="L29" s="427">
        <f>'2A Önk bev'!L59+'3A PH'!L24+'4H VG bev kiad'!L21+'4A Walla'!L21+'4B Nyitnikék'!L21+'4C Bóbita'!L21+'4D MMMH'!L21+'4E Könyvtár'!L21+'4F Segítő Kéz'!L21</f>
        <v>0</v>
      </c>
      <c r="M29" s="427">
        <f>'2A Önk bev'!M59+'3A PH'!M24</f>
        <v>0</v>
      </c>
      <c r="N29" s="427">
        <f t="shared" si="6"/>
        <v>0</v>
      </c>
      <c r="O29" s="315">
        <f>'2A Önk bev'!O59+'3A PH'!O24+'4H VG bev kiad'!O21+'4A Walla'!O21+'4B Nyitnikék'!O21+'4C Bóbita'!O21+'4D MMMH'!O21+'4E Könyvtár'!O21+'4F Segítő Kéz'!O21</f>
        <v>0</v>
      </c>
      <c r="P29" s="427">
        <f>'2A Önk bev'!P59+'3A PH'!P24+'4H VG bev kiad'!P21+'4A Walla'!P21+'4B Nyitnikék'!P21+'4C Bóbita'!P21+'4D MMMH'!P21+'4E Könyvtár'!P21+'4F Segítő Kéz'!P21</f>
        <v>0</v>
      </c>
      <c r="Q29" s="427">
        <f>'2A Önk bev'!Q59+'3A PH'!Q24</f>
        <v>0</v>
      </c>
      <c r="R29" s="427">
        <f t="shared" si="7"/>
        <v>0</v>
      </c>
      <c r="S29" s="315">
        <f>'2A Önk bev'!S59+'3A PH'!S24+'4H VG bev kiad'!S21+'4A Walla'!S21+'4B Nyitnikék'!S21+'4C Bóbita'!S21+'4D MMMH'!S21+'4E Könyvtár'!S21+'4F Segítő Kéz'!S21</f>
        <v>3793036</v>
      </c>
      <c r="T29" s="427">
        <f>'2A Önk bev'!T59+'3A PH'!T24+'4H VG bev kiad'!T21+'4A Walla'!T21+'4B Nyitnikék'!T21+'4C Bóbita'!T21+'4D MMMH'!T21+'4E Könyvtár'!T21+'4F Segítő Kéz'!T21</f>
        <v>0</v>
      </c>
      <c r="U29" s="427">
        <f>'2A Önk bev'!U59+'3A PH'!U24</f>
        <v>0</v>
      </c>
      <c r="V29" s="427">
        <f t="shared" si="8"/>
        <v>3793036</v>
      </c>
    </row>
    <row r="30" spans="1:25" x14ac:dyDescent="0.25">
      <c r="A30" s="479" t="s">
        <v>318</v>
      </c>
      <c r="B30" s="480" t="s">
        <v>319</v>
      </c>
      <c r="C30" s="481">
        <f>C31+C35+C40</f>
        <v>549116000</v>
      </c>
      <c r="D30" s="492">
        <f>D31+D35+D40</f>
        <v>901655</v>
      </c>
      <c r="E30" s="492">
        <f>E31+E35+E40</f>
        <v>0</v>
      </c>
      <c r="F30" s="492">
        <f t="shared" si="0"/>
        <v>550017655</v>
      </c>
      <c r="G30" s="481">
        <f>G31+G35+G40</f>
        <v>557524022</v>
      </c>
      <c r="H30" s="492">
        <f>H31+H35+H40</f>
        <v>901655</v>
      </c>
      <c r="I30" s="492">
        <f>I31+I35+I40</f>
        <v>0</v>
      </c>
      <c r="J30" s="492">
        <f t="shared" si="1"/>
        <v>558425677</v>
      </c>
      <c r="K30" s="481">
        <f>K31+K35+K40</f>
        <v>557524022</v>
      </c>
      <c r="L30" s="492">
        <f>L31+L35+L40</f>
        <v>901655</v>
      </c>
      <c r="M30" s="492">
        <f>M31+M35+M40</f>
        <v>0</v>
      </c>
      <c r="N30" s="492">
        <f t="shared" si="6"/>
        <v>558425677</v>
      </c>
      <c r="O30" s="481">
        <f>O31+O35+O40</f>
        <v>557524022</v>
      </c>
      <c r="P30" s="492">
        <f>P31+P35+P40</f>
        <v>901655</v>
      </c>
      <c r="Q30" s="492">
        <f>Q31+Q35+Q40</f>
        <v>0</v>
      </c>
      <c r="R30" s="492">
        <f t="shared" si="7"/>
        <v>558425677</v>
      </c>
      <c r="S30" s="481">
        <f>S31+S35+S40</f>
        <v>414722020</v>
      </c>
      <c r="T30" s="492">
        <f>T31+T35+T40</f>
        <v>8109369</v>
      </c>
      <c r="U30" s="492">
        <f>U31+U35+U40</f>
        <v>0</v>
      </c>
      <c r="V30" s="492">
        <f t="shared" si="8"/>
        <v>422831389</v>
      </c>
      <c r="W30" s="768">
        <f>+R30-N30</f>
        <v>0</v>
      </c>
      <c r="Y30" s="768">
        <f>+R30-'1B. Fő kiad'!R15</f>
        <v>-1134720221</v>
      </c>
    </row>
    <row r="31" spans="1:25" ht="30" x14ac:dyDescent="0.25">
      <c r="A31" s="482" t="s">
        <v>311</v>
      </c>
      <c r="B31" s="483" t="s">
        <v>320</v>
      </c>
      <c r="C31" s="484">
        <f>SUM(C32:C34)</f>
        <v>439116000</v>
      </c>
      <c r="D31" s="493">
        <f>SUM(D32:D34)</f>
        <v>0</v>
      </c>
      <c r="E31" s="493">
        <f>SUM(E32:E34)</f>
        <v>0</v>
      </c>
      <c r="F31" s="493">
        <f t="shared" si="0"/>
        <v>439116000</v>
      </c>
      <c r="G31" s="484">
        <f>SUM(G32:G34)</f>
        <v>447524022</v>
      </c>
      <c r="H31" s="493">
        <f>SUM(H32:H34)</f>
        <v>0</v>
      </c>
      <c r="I31" s="493">
        <f>SUM(I32:I34)</f>
        <v>0</v>
      </c>
      <c r="J31" s="493">
        <f t="shared" si="1"/>
        <v>447524022</v>
      </c>
      <c r="K31" s="484">
        <f>SUM(K32:K34)</f>
        <v>447524022</v>
      </c>
      <c r="L31" s="493">
        <f>SUM(L32:L34)</f>
        <v>0</v>
      </c>
      <c r="M31" s="493">
        <f>SUM(M32:M34)</f>
        <v>0</v>
      </c>
      <c r="N31" s="493">
        <f t="shared" si="6"/>
        <v>447524022</v>
      </c>
      <c r="O31" s="484">
        <f>SUM(O32:O34)</f>
        <v>447524022</v>
      </c>
      <c r="P31" s="493">
        <f>SUM(P32:P34)</f>
        <v>0</v>
      </c>
      <c r="Q31" s="493">
        <f>SUM(Q32:Q34)</f>
        <v>0</v>
      </c>
      <c r="R31" s="493">
        <f t="shared" si="7"/>
        <v>447524022</v>
      </c>
      <c r="S31" s="484">
        <f>SUM(S32:S34)</f>
        <v>408408022</v>
      </c>
      <c r="T31" s="493">
        <f>SUM(T32:T34)</f>
        <v>0</v>
      </c>
      <c r="U31" s="493">
        <f>SUM(U32:U34)</f>
        <v>0</v>
      </c>
      <c r="V31" s="493">
        <f t="shared" si="8"/>
        <v>408408022</v>
      </c>
      <c r="W31" s="768">
        <f>+R31-N31</f>
        <v>0</v>
      </c>
    </row>
    <row r="32" spans="1:25" ht="30" x14ac:dyDescent="0.25">
      <c r="A32" s="451"/>
      <c r="B32" s="234" t="s">
        <v>515</v>
      </c>
      <c r="C32" s="469">
        <f>'2A Önk bev'!C66</f>
        <v>400000000</v>
      </c>
      <c r="D32" s="443">
        <f>'2A Önk bev'!D66</f>
        <v>0</v>
      </c>
      <c r="E32" s="443">
        <f>'2A Önk bev'!E66</f>
        <v>0</v>
      </c>
      <c r="F32" s="443">
        <f t="shared" si="0"/>
        <v>400000000</v>
      </c>
      <c r="G32" s="469">
        <f>'2A Önk bev'!G66</f>
        <v>400000000</v>
      </c>
      <c r="H32" s="443">
        <f>'2A Önk bev'!H66</f>
        <v>0</v>
      </c>
      <c r="I32" s="443">
        <f>'2A Önk bev'!I66</f>
        <v>0</v>
      </c>
      <c r="J32" s="443">
        <f t="shared" si="1"/>
        <v>400000000</v>
      </c>
      <c r="K32" s="469">
        <f>'2A Önk bev'!K66</f>
        <v>400000000</v>
      </c>
      <c r="L32" s="443">
        <f>'2A Önk bev'!L66</f>
        <v>0</v>
      </c>
      <c r="M32" s="443">
        <f>'2A Önk bev'!M66</f>
        <v>0</v>
      </c>
      <c r="N32" s="443">
        <f t="shared" si="6"/>
        <v>400000000</v>
      </c>
      <c r="O32" s="469">
        <f>'2A Önk bev'!O66</f>
        <v>400000000</v>
      </c>
      <c r="P32" s="443">
        <f>'2A Önk bev'!P66</f>
        <v>0</v>
      </c>
      <c r="Q32" s="443">
        <f>'2A Önk bev'!Q66</f>
        <v>0</v>
      </c>
      <c r="R32" s="443">
        <f t="shared" si="7"/>
        <v>400000000</v>
      </c>
      <c r="S32" s="469">
        <f>'2A Önk bev'!S66</f>
        <v>400000000</v>
      </c>
      <c r="T32" s="443">
        <f>'2A Önk bev'!T66</f>
        <v>0</v>
      </c>
      <c r="U32" s="443">
        <f>'2A Önk bev'!U66</f>
        <v>0</v>
      </c>
      <c r="V32" s="443">
        <f t="shared" si="8"/>
        <v>400000000</v>
      </c>
    </row>
    <row r="33" spans="1:25" ht="30" x14ac:dyDescent="0.25">
      <c r="A33" s="451"/>
      <c r="B33" s="234" t="s">
        <v>516</v>
      </c>
      <c r="C33" s="469">
        <f>'2A Önk bev'!C67</f>
        <v>0</v>
      </c>
      <c r="D33" s="443">
        <f>'2A Önk bev'!D67</f>
        <v>0</v>
      </c>
      <c r="E33" s="443">
        <f>'2A Önk bev'!E67</f>
        <v>0</v>
      </c>
      <c r="F33" s="443">
        <f t="shared" si="0"/>
        <v>0</v>
      </c>
      <c r="G33" s="469">
        <f>'2A Önk bev'!G67</f>
        <v>0</v>
      </c>
      <c r="H33" s="443">
        <f>'2A Önk bev'!H67</f>
        <v>0</v>
      </c>
      <c r="I33" s="443">
        <f>'2A Önk bev'!I67</f>
        <v>0</v>
      </c>
      <c r="J33" s="443">
        <f t="shared" si="1"/>
        <v>0</v>
      </c>
      <c r="K33" s="469">
        <f>'2A Önk bev'!K67</f>
        <v>0</v>
      </c>
      <c r="L33" s="443">
        <f>'2A Önk bev'!L67</f>
        <v>0</v>
      </c>
      <c r="M33" s="443">
        <f>'2A Önk bev'!M67</f>
        <v>0</v>
      </c>
      <c r="N33" s="443">
        <f t="shared" si="6"/>
        <v>0</v>
      </c>
      <c r="O33" s="469">
        <f>'2A Önk bev'!O67</f>
        <v>0</v>
      </c>
      <c r="P33" s="443">
        <f>'2A Önk bev'!P67</f>
        <v>0</v>
      </c>
      <c r="Q33" s="443">
        <f>'2A Önk bev'!Q67</f>
        <v>0</v>
      </c>
      <c r="R33" s="443">
        <f t="shared" si="7"/>
        <v>0</v>
      </c>
      <c r="S33" s="469">
        <f>'2A Önk bev'!S67</f>
        <v>0</v>
      </c>
      <c r="T33" s="443">
        <f>'2A Önk bev'!T67</f>
        <v>0</v>
      </c>
      <c r="U33" s="443">
        <f>'2A Önk bev'!U67</f>
        <v>0</v>
      </c>
      <c r="V33" s="443">
        <f t="shared" si="8"/>
        <v>0</v>
      </c>
    </row>
    <row r="34" spans="1:25" ht="30" x14ac:dyDescent="0.25">
      <c r="A34" s="451"/>
      <c r="B34" s="234" t="s">
        <v>517</v>
      </c>
      <c r="C34" s="469">
        <f>'2A Önk bev'!C68</f>
        <v>39116000</v>
      </c>
      <c r="D34" s="443">
        <f>'2A Önk bev'!D68</f>
        <v>0</v>
      </c>
      <c r="E34" s="443">
        <f>'2A Önk bev'!E68</f>
        <v>0</v>
      </c>
      <c r="F34" s="443">
        <f t="shared" si="0"/>
        <v>39116000</v>
      </c>
      <c r="G34" s="469">
        <f>'2A Önk bev'!G68</f>
        <v>47524022</v>
      </c>
      <c r="H34" s="443">
        <f>'2A Önk bev'!H68</f>
        <v>0</v>
      </c>
      <c r="I34" s="443">
        <f>'2A Önk bev'!I68</f>
        <v>0</v>
      </c>
      <c r="J34" s="443">
        <f t="shared" si="1"/>
        <v>47524022</v>
      </c>
      <c r="K34" s="469">
        <f>'2A Önk bev'!K68</f>
        <v>47524022</v>
      </c>
      <c r="L34" s="443">
        <f>'2A Önk bev'!L68</f>
        <v>0</v>
      </c>
      <c r="M34" s="443">
        <f>'2A Önk bev'!M68</f>
        <v>0</v>
      </c>
      <c r="N34" s="443">
        <f t="shared" si="6"/>
        <v>47524022</v>
      </c>
      <c r="O34" s="469">
        <f>'2A Önk bev'!O68</f>
        <v>47524022</v>
      </c>
      <c r="P34" s="443">
        <f>'2A Önk bev'!P68</f>
        <v>0</v>
      </c>
      <c r="Q34" s="443">
        <f>'2A Önk bev'!Q68</f>
        <v>0</v>
      </c>
      <c r="R34" s="443">
        <f t="shared" si="7"/>
        <v>47524022</v>
      </c>
      <c r="S34" s="469">
        <f>'2A Önk bev'!S68</f>
        <v>8408022</v>
      </c>
      <c r="T34" s="443">
        <f>'2A Önk bev'!T68</f>
        <v>0</v>
      </c>
      <c r="U34" s="443">
        <f>'2A Önk bev'!U68</f>
        <v>0</v>
      </c>
      <c r="V34" s="443">
        <f t="shared" si="8"/>
        <v>8408022</v>
      </c>
    </row>
    <row r="35" spans="1:25" x14ac:dyDescent="0.25">
      <c r="A35" s="482" t="s">
        <v>322</v>
      </c>
      <c r="B35" s="483" t="s">
        <v>257</v>
      </c>
      <c r="C35" s="484">
        <f>SUM(C36:C39)</f>
        <v>110000000</v>
      </c>
      <c r="D35" s="493">
        <f>SUM(D36:D39)</f>
        <v>0</v>
      </c>
      <c r="E35" s="493">
        <f>SUM(E36:E39)</f>
        <v>0</v>
      </c>
      <c r="F35" s="493">
        <f t="shared" si="0"/>
        <v>110000000</v>
      </c>
      <c r="G35" s="484">
        <f>SUM(G36:G39)</f>
        <v>110000000</v>
      </c>
      <c r="H35" s="493">
        <f>SUM(H36:H39)</f>
        <v>0</v>
      </c>
      <c r="I35" s="493">
        <f>SUM(I36:I39)</f>
        <v>0</v>
      </c>
      <c r="J35" s="493">
        <f t="shared" si="1"/>
        <v>110000000</v>
      </c>
      <c r="K35" s="484">
        <f>SUM(K36:K39)</f>
        <v>110000000</v>
      </c>
      <c r="L35" s="493">
        <f>SUM(L36:L39)</f>
        <v>0</v>
      </c>
      <c r="M35" s="493">
        <f>SUM(M36:M39)</f>
        <v>0</v>
      </c>
      <c r="N35" s="493">
        <f t="shared" si="6"/>
        <v>110000000</v>
      </c>
      <c r="O35" s="484">
        <f>SUM(O36:O39)</f>
        <v>110000000</v>
      </c>
      <c r="P35" s="493">
        <f>SUM(P36:P39)</f>
        <v>0</v>
      </c>
      <c r="Q35" s="493">
        <f>SUM(Q36:Q39)</f>
        <v>0</v>
      </c>
      <c r="R35" s="493">
        <f t="shared" si="7"/>
        <v>110000000</v>
      </c>
      <c r="S35" s="484">
        <f>SUM(S36:S39)</f>
        <v>6313998</v>
      </c>
      <c r="T35" s="493">
        <f>SUM(T36:T39)</f>
        <v>0</v>
      </c>
      <c r="U35" s="493">
        <f>SUM(U36:U39)</f>
        <v>0</v>
      </c>
      <c r="V35" s="493">
        <f t="shared" si="8"/>
        <v>6313998</v>
      </c>
      <c r="W35" s="768">
        <f>+R35-N35</f>
        <v>0</v>
      </c>
    </row>
    <row r="36" spans="1:25" x14ac:dyDescent="0.25">
      <c r="A36" s="451"/>
      <c r="B36" s="234" t="s">
        <v>323</v>
      </c>
      <c r="C36" s="469">
        <f>'2A Önk bev'!C70</f>
        <v>0</v>
      </c>
      <c r="D36" s="443">
        <f>'2A Önk bev'!D70</f>
        <v>0</v>
      </c>
      <c r="E36" s="443">
        <f>'2A Önk bev'!E70</f>
        <v>0</v>
      </c>
      <c r="F36" s="443">
        <f t="shared" si="0"/>
        <v>0</v>
      </c>
      <c r="G36" s="469">
        <f>'2A Önk bev'!G70</f>
        <v>0</v>
      </c>
      <c r="H36" s="443">
        <f>'2A Önk bev'!H70</f>
        <v>0</v>
      </c>
      <c r="I36" s="443">
        <f>'2A Önk bev'!I70</f>
        <v>0</v>
      </c>
      <c r="J36" s="443">
        <f t="shared" si="1"/>
        <v>0</v>
      </c>
      <c r="K36" s="469">
        <f>'2A Önk bev'!K70</f>
        <v>0</v>
      </c>
      <c r="L36" s="443">
        <f>'2A Önk bev'!L70</f>
        <v>0</v>
      </c>
      <c r="M36" s="443">
        <f>'2A Önk bev'!M70</f>
        <v>0</v>
      </c>
      <c r="N36" s="443">
        <f t="shared" si="6"/>
        <v>0</v>
      </c>
      <c r="O36" s="469">
        <f>'2A Önk bev'!O70</f>
        <v>0</v>
      </c>
      <c r="P36" s="443">
        <f>'2A Önk bev'!P70</f>
        <v>0</v>
      </c>
      <c r="Q36" s="443">
        <f>'2A Önk bev'!Q70</f>
        <v>0</v>
      </c>
      <c r="R36" s="443">
        <f t="shared" si="7"/>
        <v>0</v>
      </c>
      <c r="S36" s="469">
        <f>'2A Önk bev'!S70</f>
        <v>0</v>
      </c>
      <c r="T36" s="443">
        <f>'2A Önk bev'!T70</f>
        <v>0</v>
      </c>
      <c r="U36" s="443">
        <f>'2A Önk bev'!U70</f>
        <v>0</v>
      </c>
      <c r="V36" s="443">
        <f t="shared" si="8"/>
        <v>0</v>
      </c>
    </row>
    <row r="37" spans="1:25" x14ac:dyDescent="0.25">
      <c r="A37" s="451"/>
      <c r="B37" s="234" t="s">
        <v>518</v>
      </c>
      <c r="C37" s="469">
        <f>'2A Önk bev'!C71</f>
        <v>110000000</v>
      </c>
      <c r="D37" s="443">
        <f>'2A Önk bev'!D71</f>
        <v>0</v>
      </c>
      <c r="E37" s="443">
        <f>'2A Önk bev'!E71</f>
        <v>0</v>
      </c>
      <c r="F37" s="443">
        <f t="shared" si="0"/>
        <v>110000000</v>
      </c>
      <c r="G37" s="469">
        <f>'2A Önk bev'!G71</f>
        <v>110000000</v>
      </c>
      <c r="H37" s="443">
        <f>'2A Önk bev'!H71</f>
        <v>0</v>
      </c>
      <c r="I37" s="443">
        <f>'2A Önk bev'!I71</f>
        <v>0</v>
      </c>
      <c r="J37" s="443">
        <f t="shared" si="1"/>
        <v>110000000</v>
      </c>
      <c r="K37" s="469">
        <f>'2A Önk bev'!K71</f>
        <v>110000000</v>
      </c>
      <c r="L37" s="443">
        <f>'2A Önk bev'!L71</f>
        <v>0</v>
      </c>
      <c r="M37" s="443">
        <f>'2A Önk bev'!M71</f>
        <v>0</v>
      </c>
      <c r="N37" s="443">
        <f t="shared" si="6"/>
        <v>110000000</v>
      </c>
      <c r="O37" s="469">
        <f>'2A Önk bev'!O71</f>
        <v>110000000</v>
      </c>
      <c r="P37" s="443">
        <f>'2A Önk bev'!P71</f>
        <v>0</v>
      </c>
      <c r="Q37" s="443">
        <f>'2A Önk bev'!Q71</f>
        <v>0</v>
      </c>
      <c r="R37" s="443">
        <f t="shared" si="7"/>
        <v>110000000</v>
      </c>
      <c r="S37" s="469">
        <f>'2A Önk bev'!S71</f>
        <v>4434574</v>
      </c>
      <c r="T37" s="443">
        <f>'2A Önk bev'!T71</f>
        <v>0</v>
      </c>
      <c r="U37" s="443">
        <f>'2A Önk bev'!U71</f>
        <v>0</v>
      </c>
      <c r="V37" s="443">
        <f t="shared" si="8"/>
        <v>4434574</v>
      </c>
    </row>
    <row r="38" spans="1:25" x14ac:dyDescent="0.25">
      <c r="A38" s="451"/>
      <c r="B38" s="234" t="s">
        <v>522</v>
      </c>
      <c r="C38" s="469">
        <f>'2A Önk bev'!C75</f>
        <v>0</v>
      </c>
      <c r="D38" s="443">
        <f>'2A Önk bev'!D75</f>
        <v>0</v>
      </c>
      <c r="E38" s="443">
        <f>'2A Önk bev'!E75</f>
        <v>0</v>
      </c>
      <c r="F38" s="443">
        <f t="shared" si="0"/>
        <v>0</v>
      </c>
      <c r="G38" s="469">
        <f>'2A Önk bev'!G75</f>
        <v>0</v>
      </c>
      <c r="H38" s="443">
        <f>'2A Önk bev'!H75</f>
        <v>0</v>
      </c>
      <c r="I38" s="443">
        <f>'2A Önk bev'!I75</f>
        <v>0</v>
      </c>
      <c r="J38" s="443">
        <f t="shared" si="1"/>
        <v>0</v>
      </c>
      <c r="K38" s="469">
        <f>'2A Önk bev'!K75</f>
        <v>0</v>
      </c>
      <c r="L38" s="443">
        <f>'2A Önk bev'!L75</f>
        <v>0</v>
      </c>
      <c r="M38" s="443">
        <f>'2A Önk bev'!M75</f>
        <v>0</v>
      </c>
      <c r="N38" s="443">
        <f t="shared" si="6"/>
        <v>0</v>
      </c>
      <c r="O38" s="469">
        <f>'2A Önk bev'!O75</f>
        <v>0</v>
      </c>
      <c r="P38" s="443">
        <f>'2A Önk bev'!P75</f>
        <v>0</v>
      </c>
      <c r="Q38" s="443">
        <f>'2A Önk bev'!Q75</f>
        <v>0</v>
      </c>
      <c r="R38" s="443">
        <f t="shared" si="7"/>
        <v>0</v>
      </c>
      <c r="S38" s="469">
        <f>'2A Önk bev'!S75</f>
        <v>366070</v>
      </c>
      <c r="T38" s="443">
        <f>'2A Önk bev'!T75</f>
        <v>0</v>
      </c>
      <c r="U38" s="443">
        <f>'2A Önk bev'!U75</f>
        <v>0</v>
      </c>
      <c r="V38" s="443">
        <f t="shared" si="8"/>
        <v>366070</v>
      </c>
    </row>
    <row r="39" spans="1:25" x14ac:dyDescent="0.25">
      <c r="A39" s="451"/>
      <c r="B39" s="234" t="s">
        <v>523</v>
      </c>
      <c r="C39" s="469">
        <f>'2A Önk bev'!C76</f>
        <v>0</v>
      </c>
      <c r="D39" s="443">
        <f>'2A Önk bev'!D76</f>
        <v>0</v>
      </c>
      <c r="E39" s="443">
        <f>'2A Önk bev'!E76</f>
        <v>0</v>
      </c>
      <c r="F39" s="443">
        <f t="shared" si="0"/>
        <v>0</v>
      </c>
      <c r="G39" s="469">
        <f>'2A Önk bev'!G76</f>
        <v>0</v>
      </c>
      <c r="H39" s="443">
        <f>'2A Önk bev'!H76</f>
        <v>0</v>
      </c>
      <c r="I39" s="443">
        <f>'2A Önk bev'!I76</f>
        <v>0</v>
      </c>
      <c r="J39" s="443">
        <f t="shared" si="1"/>
        <v>0</v>
      </c>
      <c r="K39" s="469">
        <f>'2A Önk bev'!K76</f>
        <v>0</v>
      </c>
      <c r="L39" s="443">
        <f>'2A Önk bev'!L76</f>
        <v>0</v>
      </c>
      <c r="M39" s="443">
        <f>'2A Önk bev'!M76</f>
        <v>0</v>
      </c>
      <c r="N39" s="443">
        <f t="shared" si="6"/>
        <v>0</v>
      </c>
      <c r="O39" s="469">
        <f>'2A Önk bev'!O76</f>
        <v>0</v>
      </c>
      <c r="P39" s="443">
        <f>'2A Önk bev'!P76</f>
        <v>0</v>
      </c>
      <c r="Q39" s="443">
        <f>'2A Önk bev'!Q76</f>
        <v>0</v>
      </c>
      <c r="R39" s="443">
        <f t="shared" si="7"/>
        <v>0</v>
      </c>
      <c r="S39" s="469">
        <f>'2A Önk bev'!S76</f>
        <v>1513354</v>
      </c>
      <c r="T39" s="443">
        <f>'2A Önk bev'!T76</f>
        <v>0</v>
      </c>
      <c r="U39" s="443">
        <f>'2A Önk bev'!U76</f>
        <v>0</v>
      </c>
      <c r="V39" s="443">
        <f t="shared" si="8"/>
        <v>1513354</v>
      </c>
    </row>
    <row r="40" spans="1:25" x14ac:dyDescent="0.25">
      <c r="A40" s="482" t="s">
        <v>315</v>
      </c>
      <c r="B40" s="483" t="s">
        <v>325</v>
      </c>
      <c r="C40" s="484">
        <f>SUM(C41:C44)</f>
        <v>0</v>
      </c>
      <c r="D40" s="493">
        <f>SUM(D41:D44)</f>
        <v>901655</v>
      </c>
      <c r="E40" s="493">
        <f>SUM(E41:E44)</f>
        <v>0</v>
      </c>
      <c r="F40" s="493">
        <f t="shared" si="0"/>
        <v>901655</v>
      </c>
      <c r="G40" s="484">
        <f>SUM(G41:G44)</f>
        <v>0</v>
      </c>
      <c r="H40" s="493">
        <f>SUM(H41:H44)</f>
        <v>901655</v>
      </c>
      <c r="I40" s="493">
        <f>SUM(I41:I44)</f>
        <v>0</v>
      </c>
      <c r="J40" s="493">
        <f t="shared" si="1"/>
        <v>901655</v>
      </c>
      <c r="K40" s="484">
        <f>SUM(K41:K44)</f>
        <v>0</v>
      </c>
      <c r="L40" s="493">
        <f>SUM(L41:L44)</f>
        <v>901655</v>
      </c>
      <c r="M40" s="493">
        <f>SUM(M41:M44)</f>
        <v>0</v>
      </c>
      <c r="N40" s="493">
        <f t="shared" si="6"/>
        <v>901655</v>
      </c>
      <c r="O40" s="484">
        <f>SUM(O41:O44)</f>
        <v>0</v>
      </c>
      <c r="P40" s="493">
        <f>SUM(P41:P44)</f>
        <v>901655</v>
      </c>
      <c r="Q40" s="493">
        <f>SUM(Q41:Q44)</f>
        <v>0</v>
      </c>
      <c r="R40" s="493">
        <f t="shared" si="7"/>
        <v>901655</v>
      </c>
      <c r="S40" s="484">
        <f>SUM(S41:S44)</f>
        <v>0</v>
      </c>
      <c r="T40" s="493">
        <f>SUM(T41:T44)</f>
        <v>8109369</v>
      </c>
      <c r="U40" s="493">
        <f>SUM(U41:U44)</f>
        <v>0</v>
      </c>
      <c r="V40" s="493">
        <f t="shared" si="8"/>
        <v>8109369</v>
      </c>
      <c r="W40" s="768">
        <f>+R40-N40</f>
        <v>0</v>
      </c>
    </row>
    <row r="41" spans="1:25" ht="30" x14ac:dyDescent="0.25">
      <c r="A41" s="451"/>
      <c r="B41" s="234" t="s">
        <v>524</v>
      </c>
      <c r="C41" s="469">
        <f>'2A Önk bev'!C78</f>
        <v>0</v>
      </c>
      <c r="D41" s="443">
        <f>'2A Önk bev'!D78</f>
        <v>0</v>
      </c>
      <c r="E41" s="443">
        <f>'2A Önk bev'!E78</f>
        <v>0</v>
      </c>
      <c r="F41" s="443">
        <f t="shared" si="0"/>
        <v>0</v>
      </c>
      <c r="G41" s="469">
        <f>'2A Önk bev'!G78</f>
        <v>0</v>
      </c>
      <c r="H41" s="443">
        <f>'2A Önk bev'!H78</f>
        <v>0</v>
      </c>
      <c r="I41" s="443">
        <f>'2A Önk bev'!I78</f>
        <v>0</v>
      </c>
      <c r="J41" s="443">
        <f t="shared" si="1"/>
        <v>0</v>
      </c>
      <c r="K41" s="469">
        <f>'2A Önk bev'!K78</f>
        <v>0</v>
      </c>
      <c r="L41" s="443">
        <f>'2A Önk bev'!L78</f>
        <v>0</v>
      </c>
      <c r="M41" s="443">
        <f>'2A Önk bev'!M78</f>
        <v>0</v>
      </c>
      <c r="N41" s="443">
        <f t="shared" si="6"/>
        <v>0</v>
      </c>
      <c r="O41" s="469">
        <f>'2A Önk bev'!O78</f>
        <v>0</v>
      </c>
      <c r="P41" s="443">
        <f>'2A Önk bev'!P78</f>
        <v>0</v>
      </c>
      <c r="Q41" s="443">
        <f>'2A Önk bev'!Q78</f>
        <v>0</v>
      </c>
      <c r="R41" s="443">
        <f t="shared" si="7"/>
        <v>0</v>
      </c>
      <c r="S41" s="469">
        <f>'2A Önk bev'!S78</f>
        <v>0</v>
      </c>
      <c r="T41" s="443">
        <f>'2A Önk bev'!T78</f>
        <v>0</v>
      </c>
      <c r="U41" s="443">
        <f>'2A Önk bev'!U78</f>
        <v>0</v>
      </c>
      <c r="V41" s="443">
        <f t="shared" si="8"/>
        <v>0</v>
      </c>
    </row>
    <row r="42" spans="1:25" s="94" customFormat="1" ht="45" x14ac:dyDescent="0.25">
      <c r="A42" s="451"/>
      <c r="B42" s="337" t="s">
        <v>548</v>
      </c>
      <c r="C42" s="338">
        <f>'2A Önk bev'!C79</f>
        <v>0</v>
      </c>
      <c r="D42" s="445">
        <f>'2A Önk bev'!D79</f>
        <v>0</v>
      </c>
      <c r="E42" s="445">
        <f>'2A Önk bev'!E79</f>
        <v>0</v>
      </c>
      <c r="F42" s="445">
        <f t="shared" si="0"/>
        <v>0</v>
      </c>
      <c r="G42" s="338">
        <f>'2A Önk bev'!G79</f>
        <v>0</v>
      </c>
      <c r="H42" s="445">
        <f>'2A Önk bev'!H79</f>
        <v>0</v>
      </c>
      <c r="I42" s="445">
        <f>'2A Önk bev'!I79</f>
        <v>0</v>
      </c>
      <c r="J42" s="445">
        <f t="shared" si="1"/>
        <v>0</v>
      </c>
      <c r="K42" s="338">
        <f>'2A Önk bev'!K79</f>
        <v>0</v>
      </c>
      <c r="L42" s="445">
        <f>'2A Önk bev'!L79</f>
        <v>0</v>
      </c>
      <c r="M42" s="445">
        <f>'2A Önk bev'!M79</f>
        <v>0</v>
      </c>
      <c r="N42" s="445">
        <f t="shared" si="6"/>
        <v>0</v>
      </c>
      <c r="O42" s="338">
        <f>'2A Önk bev'!O79</f>
        <v>0</v>
      </c>
      <c r="P42" s="445">
        <f>'2A Önk bev'!P79</f>
        <v>0</v>
      </c>
      <c r="Q42" s="445">
        <f>'2A Önk bev'!Q79</f>
        <v>0</v>
      </c>
      <c r="R42" s="445">
        <f t="shared" si="7"/>
        <v>0</v>
      </c>
      <c r="S42" s="338">
        <f>'2A Önk bev'!S79</f>
        <v>0</v>
      </c>
      <c r="T42" s="445">
        <f>'2A Önk bev'!T79</f>
        <v>0</v>
      </c>
      <c r="U42" s="445">
        <f>'2A Önk bev'!U79</f>
        <v>0</v>
      </c>
      <c r="V42" s="445">
        <f t="shared" si="8"/>
        <v>0</v>
      </c>
    </row>
    <row r="43" spans="1:25" ht="30" x14ac:dyDescent="0.25">
      <c r="A43" s="451"/>
      <c r="B43" s="234" t="s">
        <v>526</v>
      </c>
      <c r="C43" s="469">
        <f>'2A Önk bev'!C80</f>
        <v>0</v>
      </c>
      <c r="D43" s="443">
        <f>'2A Önk bev'!D80</f>
        <v>901655</v>
      </c>
      <c r="E43" s="443">
        <f>'2A Önk bev'!E80</f>
        <v>0</v>
      </c>
      <c r="F43" s="443">
        <f t="shared" si="0"/>
        <v>901655</v>
      </c>
      <c r="G43" s="469">
        <f>'2A Önk bev'!G80</f>
        <v>0</v>
      </c>
      <c r="H43" s="443">
        <f>'2A Önk bev'!H80</f>
        <v>901655</v>
      </c>
      <c r="I43" s="443">
        <f>'2A Önk bev'!I80</f>
        <v>0</v>
      </c>
      <c r="J43" s="443">
        <f t="shared" si="1"/>
        <v>901655</v>
      </c>
      <c r="K43" s="469">
        <f>'2A Önk bev'!K80</f>
        <v>0</v>
      </c>
      <c r="L43" s="443">
        <f>'2A Önk bev'!L80</f>
        <v>901655</v>
      </c>
      <c r="M43" s="443">
        <f>'2A Önk bev'!M80</f>
        <v>0</v>
      </c>
      <c r="N43" s="443">
        <f t="shared" si="6"/>
        <v>901655</v>
      </c>
      <c r="O43" s="469">
        <f>'2A Önk bev'!O80</f>
        <v>0</v>
      </c>
      <c r="P43" s="443">
        <f>'2A Önk bev'!P80</f>
        <v>901655</v>
      </c>
      <c r="Q43" s="443">
        <f>'2A Önk bev'!Q80</f>
        <v>0</v>
      </c>
      <c r="R43" s="443">
        <f t="shared" si="7"/>
        <v>901655</v>
      </c>
      <c r="S43" s="469">
        <f>'2A Önk bev'!S80</f>
        <v>0</v>
      </c>
      <c r="T43" s="443">
        <f>'2A Önk bev'!T80</f>
        <v>8109369</v>
      </c>
      <c r="U43" s="443">
        <f>'2A Önk bev'!U80</f>
        <v>0</v>
      </c>
      <c r="V43" s="443">
        <f t="shared" si="8"/>
        <v>8109369</v>
      </c>
    </row>
    <row r="44" spans="1:25" ht="30" x14ac:dyDescent="0.25">
      <c r="A44" s="451"/>
      <c r="B44" s="234" t="s">
        <v>530</v>
      </c>
      <c r="C44" s="469">
        <f>'2A Önk bev'!C84</f>
        <v>0</v>
      </c>
      <c r="D44" s="443">
        <f>'2A Önk bev'!D84</f>
        <v>0</v>
      </c>
      <c r="E44" s="443">
        <f>'2A Önk bev'!E84</f>
        <v>0</v>
      </c>
      <c r="F44" s="443">
        <f t="shared" si="0"/>
        <v>0</v>
      </c>
      <c r="G44" s="469">
        <f>'2A Önk bev'!G84</f>
        <v>0</v>
      </c>
      <c r="H44" s="443">
        <f>'2A Önk bev'!H84</f>
        <v>0</v>
      </c>
      <c r="I44" s="443">
        <f>'2A Önk bev'!I84</f>
        <v>0</v>
      </c>
      <c r="J44" s="443">
        <f t="shared" si="1"/>
        <v>0</v>
      </c>
      <c r="K44" s="469">
        <f>'2A Önk bev'!K84</f>
        <v>0</v>
      </c>
      <c r="L44" s="443">
        <f>'2A Önk bev'!L84</f>
        <v>0</v>
      </c>
      <c r="M44" s="443">
        <f>'2A Önk bev'!M84</f>
        <v>0</v>
      </c>
      <c r="N44" s="443">
        <f t="shared" si="6"/>
        <v>0</v>
      </c>
      <c r="O44" s="469">
        <f>'2A Önk bev'!O84</f>
        <v>0</v>
      </c>
      <c r="P44" s="443">
        <f>'2A Önk bev'!P84</f>
        <v>0</v>
      </c>
      <c r="Q44" s="443">
        <f>'2A Önk bev'!Q84</f>
        <v>0</v>
      </c>
      <c r="R44" s="443">
        <f t="shared" si="7"/>
        <v>0</v>
      </c>
      <c r="S44" s="469">
        <f>'2A Önk bev'!S84</f>
        <v>0</v>
      </c>
      <c r="T44" s="443">
        <f>'2A Önk bev'!T84</f>
        <v>0</v>
      </c>
      <c r="U44" s="443">
        <f>'2A Önk bev'!U84</f>
        <v>0</v>
      </c>
      <c r="V44" s="443">
        <f t="shared" si="8"/>
        <v>0</v>
      </c>
    </row>
    <row r="45" spans="1:25" ht="30" x14ac:dyDescent="0.25">
      <c r="A45" s="580"/>
      <c r="B45" s="583" t="s">
        <v>1440</v>
      </c>
      <c r="C45" s="469"/>
      <c r="D45" s="443"/>
      <c r="E45" s="443"/>
      <c r="F45" s="443"/>
      <c r="G45" s="469"/>
      <c r="H45" s="443"/>
      <c r="I45" s="443"/>
      <c r="J45" s="443"/>
      <c r="K45" s="469"/>
      <c r="L45" s="443"/>
      <c r="M45" s="443"/>
      <c r="N45" s="443"/>
      <c r="O45" s="469"/>
      <c r="P45" s="443"/>
      <c r="Q45" s="443"/>
      <c r="R45" s="443"/>
      <c r="S45" s="469"/>
      <c r="T45" s="443"/>
      <c r="U45" s="443"/>
      <c r="V45" s="443"/>
    </row>
    <row r="46" spans="1:25" x14ac:dyDescent="0.25">
      <c r="A46" s="450"/>
      <c r="B46" s="485" t="s">
        <v>327</v>
      </c>
      <c r="C46" s="318">
        <f>C4+C30</f>
        <v>5079172291</v>
      </c>
      <c r="D46" s="494">
        <f>D4+D30</f>
        <v>50138615</v>
      </c>
      <c r="E46" s="494">
        <f>E4+E30</f>
        <v>0</v>
      </c>
      <c r="F46" s="494">
        <f t="shared" si="0"/>
        <v>5129310906</v>
      </c>
      <c r="G46" s="511">
        <f>G4+G30</f>
        <v>4944011086</v>
      </c>
      <c r="H46" s="494">
        <f>H4+H30</f>
        <v>228788615</v>
      </c>
      <c r="I46" s="494">
        <f>I4+I30</f>
        <v>0</v>
      </c>
      <c r="J46" s="494">
        <f t="shared" ref="J46:J61" si="9">SUM(G46:I46)</f>
        <v>5172799701</v>
      </c>
      <c r="K46" s="511">
        <f>K4+K30</f>
        <v>5106077700</v>
      </c>
      <c r="L46" s="494">
        <f>L4+L30</f>
        <v>50138615</v>
      </c>
      <c r="M46" s="494">
        <f>M4+M30</f>
        <v>0</v>
      </c>
      <c r="N46" s="494">
        <f t="shared" ref="N46:N61" si="10">SUM(K46:M46)</f>
        <v>5156216315</v>
      </c>
      <c r="O46" s="511">
        <f>O4+O30</f>
        <v>4984858459</v>
      </c>
      <c r="P46" s="494">
        <f>P4+P30</f>
        <v>229788615</v>
      </c>
      <c r="Q46" s="494">
        <f>Q4+Q30</f>
        <v>0</v>
      </c>
      <c r="R46" s="494">
        <f t="shared" ref="R46:R61" si="11">SUM(O46:Q46)</f>
        <v>5214647074</v>
      </c>
      <c r="S46" s="511">
        <f>S4+S30</f>
        <v>5009261681</v>
      </c>
      <c r="T46" s="494">
        <f>T4+T30</f>
        <v>55116483</v>
      </c>
      <c r="U46" s="494">
        <f>U4+U30</f>
        <v>0</v>
      </c>
      <c r="V46" s="494">
        <f t="shared" ref="V46:V61" si="12">SUM(S46:U46)</f>
        <v>5064378164</v>
      </c>
      <c r="W46" s="768">
        <f>+R46-N46</f>
        <v>58430759</v>
      </c>
    </row>
    <row r="47" spans="1:25" x14ac:dyDescent="0.25">
      <c r="A47" s="479" t="s">
        <v>328</v>
      </c>
      <c r="B47" s="480" t="s">
        <v>329</v>
      </c>
      <c r="C47" s="481">
        <f>C48+C58</f>
        <v>1000000000</v>
      </c>
      <c r="D47" s="492">
        <f>D48+D58</f>
        <v>0</v>
      </c>
      <c r="E47" s="492">
        <f>E48+E58</f>
        <v>0</v>
      </c>
      <c r="F47" s="492">
        <f t="shared" si="0"/>
        <v>1000000000</v>
      </c>
      <c r="G47" s="481">
        <f>G48+G58</f>
        <v>1704904451</v>
      </c>
      <c r="H47" s="492">
        <f>H48+H58</f>
        <v>0</v>
      </c>
      <c r="I47" s="492">
        <f>I48+I58</f>
        <v>0</v>
      </c>
      <c r="J47" s="492">
        <f t="shared" si="9"/>
        <v>1704904451</v>
      </c>
      <c r="K47" s="481">
        <f>K48+K58</f>
        <v>1854964292</v>
      </c>
      <c r="L47" s="492">
        <f>L48+L58</f>
        <v>0</v>
      </c>
      <c r="M47" s="492">
        <f>M48+M58</f>
        <v>0</v>
      </c>
      <c r="N47" s="492">
        <f t="shared" si="10"/>
        <v>1854964292</v>
      </c>
      <c r="O47" s="481">
        <f>O48+O58</f>
        <v>2100277217</v>
      </c>
      <c r="P47" s="492">
        <f>P48+P58</f>
        <v>0</v>
      </c>
      <c r="Q47" s="492">
        <f>Q48+Q58</f>
        <v>0</v>
      </c>
      <c r="R47" s="492">
        <f t="shared" si="11"/>
        <v>2100277217</v>
      </c>
      <c r="S47" s="481">
        <f>S48+S58</f>
        <v>2112636915</v>
      </c>
      <c r="T47" s="492">
        <f>T48+T58</f>
        <v>0</v>
      </c>
      <c r="U47" s="492">
        <f>U48+U58</f>
        <v>0</v>
      </c>
      <c r="V47" s="492">
        <f t="shared" si="12"/>
        <v>2112636915</v>
      </c>
      <c r="W47" s="768">
        <f>+R47-N47</f>
        <v>245312925</v>
      </c>
      <c r="Y47" s="768">
        <f>+R47-'1B. Fő kiad'!R25</f>
        <v>1300629730</v>
      </c>
    </row>
    <row r="48" spans="1:25" x14ac:dyDescent="0.25">
      <c r="A48" s="482" t="s">
        <v>311</v>
      </c>
      <c r="B48" s="483" t="s">
        <v>330</v>
      </c>
      <c r="C48" s="484">
        <f>C49+C54+C55+C56+C57</f>
        <v>1000000000</v>
      </c>
      <c r="D48" s="493">
        <f>D49+D54+D55+D56+D57</f>
        <v>0</v>
      </c>
      <c r="E48" s="493">
        <f>E49+E54+E55+E56+E57</f>
        <v>0</v>
      </c>
      <c r="F48" s="493">
        <f t="shared" si="0"/>
        <v>1000000000</v>
      </c>
      <c r="G48" s="484">
        <f>G49+G54+G55+G56+G57</f>
        <v>1704904451</v>
      </c>
      <c r="H48" s="493">
        <f>H49+H54+H55+H56+H57</f>
        <v>0</v>
      </c>
      <c r="I48" s="493">
        <f>I49+I54+I55+I56+I57</f>
        <v>0</v>
      </c>
      <c r="J48" s="493">
        <f t="shared" si="9"/>
        <v>1704904451</v>
      </c>
      <c r="K48" s="484">
        <f>K49+K54+K55+K56+K57</f>
        <v>1854964292</v>
      </c>
      <c r="L48" s="493">
        <f>L49+L54+L55+L56+L57</f>
        <v>0</v>
      </c>
      <c r="M48" s="493">
        <f>M49+M54+M55+M56+M57</f>
        <v>0</v>
      </c>
      <c r="N48" s="493">
        <f t="shared" si="10"/>
        <v>1854964292</v>
      </c>
      <c r="O48" s="484">
        <f>O49+O54+O55+O56+O57</f>
        <v>2100277217</v>
      </c>
      <c r="P48" s="493">
        <f>P49+P54+P55+P56+P57</f>
        <v>0</v>
      </c>
      <c r="Q48" s="493">
        <f>Q49+Q54+Q55+Q56+Q57</f>
        <v>0</v>
      </c>
      <c r="R48" s="493">
        <f t="shared" si="11"/>
        <v>2100277217</v>
      </c>
      <c r="S48" s="484">
        <f>S49+S54+S55+S56+S57</f>
        <v>2112636915</v>
      </c>
      <c r="T48" s="493">
        <f>T49+T54+T55+T56+T57</f>
        <v>0</v>
      </c>
      <c r="U48" s="493">
        <f>U49+U54+U55+U56+U57</f>
        <v>0</v>
      </c>
      <c r="V48" s="493">
        <f t="shared" si="12"/>
        <v>2112636915</v>
      </c>
      <c r="W48" s="768">
        <f>+R48-N48</f>
        <v>245312925</v>
      </c>
    </row>
    <row r="49" spans="1:23" ht="30" x14ac:dyDescent="0.25">
      <c r="A49" s="451"/>
      <c r="B49" s="234" t="s">
        <v>535</v>
      </c>
      <c r="C49" s="469">
        <f>SUM(C50:C53)</f>
        <v>0</v>
      </c>
      <c r="D49" s="443">
        <f>SUM(D50:D53)</f>
        <v>0</v>
      </c>
      <c r="E49" s="443">
        <f>SUM(E50:E53)</f>
        <v>0</v>
      </c>
      <c r="F49" s="443">
        <f t="shared" si="0"/>
        <v>0</v>
      </c>
      <c r="G49" s="469">
        <f>SUM(G50:G53)</f>
        <v>0</v>
      </c>
      <c r="H49" s="443">
        <f>SUM(H50:H53)</f>
        <v>0</v>
      </c>
      <c r="I49" s="443">
        <f>SUM(I50:I53)</f>
        <v>0</v>
      </c>
      <c r="J49" s="443">
        <f t="shared" si="9"/>
        <v>0</v>
      </c>
      <c r="K49" s="469">
        <f>SUM(K50:K53)</f>
        <v>0</v>
      </c>
      <c r="L49" s="443">
        <f>SUM(L50:L53)</f>
        <v>0</v>
      </c>
      <c r="M49" s="443">
        <f>SUM(M50:M53)</f>
        <v>0</v>
      </c>
      <c r="N49" s="443">
        <f t="shared" si="10"/>
        <v>0</v>
      </c>
      <c r="O49" s="469">
        <f>SUM(O50:O53)</f>
        <v>0</v>
      </c>
      <c r="P49" s="443">
        <f>SUM(P50:P53)</f>
        <v>0</v>
      </c>
      <c r="Q49" s="443">
        <f>SUM(Q50:Q53)</f>
        <v>0</v>
      </c>
      <c r="R49" s="443">
        <f t="shared" si="11"/>
        <v>0</v>
      </c>
      <c r="S49" s="469">
        <f>SUM(S50:S53)</f>
        <v>0</v>
      </c>
      <c r="T49" s="443">
        <f>SUM(T50:T53)</f>
        <v>0</v>
      </c>
      <c r="U49" s="443">
        <f>SUM(U50:U53)</f>
        <v>0</v>
      </c>
      <c r="V49" s="443">
        <f t="shared" si="12"/>
        <v>0</v>
      </c>
    </row>
    <row r="50" spans="1:23" x14ac:dyDescent="0.25">
      <c r="A50" s="451"/>
      <c r="B50" s="336" t="s">
        <v>536</v>
      </c>
      <c r="C50" s="469">
        <f>'2A Önk bev'!C97</f>
        <v>0</v>
      </c>
      <c r="D50" s="443">
        <f>'2A Önk bev'!D97</f>
        <v>0</v>
      </c>
      <c r="E50" s="443">
        <f>'2A Önk bev'!E97</f>
        <v>0</v>
      </c>
      <c r="F50" s="443">
        <f t="shared" si="0"/>
        <v>0</v>
      </c>
      <c r="G50" s="469">
        <f>'2A Önk bev'!G97</f>
        <v>0</v>
      </c>
      <c r="H50" s="443">
        <f>'2A Önk bev'!H97</f>
        <v>0</v>
      </c>
      <c r="I50" s="443">
        <f>'2A Önk bev'!I97</f>
        <v>0</v>
      </c>
      <c r="J50" s="443">
        <f t="shared" si="9"/>
        <v>0</v>
      </c>
      <c r="K50" s="469">
        <f>'2A Önk bev'!K97</f>
        <v>0</v>
      </c>
      <c r="L50" s="443">
        <f>'2A Önk bev'!L97</f>
        <v>0</v>
      </c>
      <c r="M50" s="443">
        <f>'2A Önk bev'!M97</f>
        <v>0</v>
      </c>
      <c r="N50" s="443">
        <f t="shared" si="10"/>
        <v>0</v>
      </c>
      <c r="O50" s="469">
        <f>'2A Önk bev'!O97</f>
        <v>0</v>
      </c>
      <c r="P50" s="443">
        <f>'2A Önk bev'!P97</f>
        <v>0</v>
      </c>
      <c r="Q50" s="443">
        <f>'2A Önk bev'!Q97</f>
        <v>0</v>
      </c>
      <c r="R50" s="443">
        <f t="shared" si="11"/>
        <v>0</v>
      </c>
      <c r="S50" s="469">
        <f>'2A Önk bev'!S97</f>
        <v>0</v>
      </c>
      <c r="T50" s="443">
        <f>'2A Önk bev'!T97</f>
        <v>0</v>
      </c>
      <c r="U50" s="443">
        <f>'2A Önk bev'!U97</f>
        <v>0</v>
      </c>
      <c r="V50" s="443">
        <f t="shared" si="12"/>
        <v>0</v>
      </c>
    </row>
    <row r="51" spans="1:23" ht="30" x14ac:dyDescent="0.25">
      <c r="A51" s="521"/>
      <c r="B51" s="524" t="s">
        <v>1392</v>
      </c>
      <c r="C51" s="469"/>
      <c r="D51" s="443">
        <v>0</v>
      </c>
      <c r="E51" s="443"/>
      <c r="F51" s="443">
        <f t="shared" si="0"/>
        <v>0</v>
      </c>
      <c r="G51" s="469"/>
      <c r="H51" s="443">
        <v>0</v>
      </c>
      <c r="I51" s="443"/>
      <c r="J51" s="443">
        <f t="shared" si="9"/>
        <v>0</v>
      </c>
      <c r="K51" s="469"/>
      <c r="L51" s="443">
        <v>0</v>
      </c>
      <c r="M51" s="443"/>
      <c r="N51" s="443">
        <f t="shared" si="10"/>
        <v>0</v>
      </c>
      <c r="O51" s="469"/>
      <c r="P51" s="443">
        <v>0</v>
      </c>
      <c r="Q51" s="443"/>
      <c r="R51" s="443">
        <f t="shared" si="11"/>
        <v>0</v>
      </c>
      <c r="S51" s="469"/>
      <c r="T51" s="443">
        <v>0</v>
      </c>
      <c r="U51" s="443"/>
      <c r="V51" s="443">
        <f t="shared" si="12"/>
        <v>0</v>
      </c>
    </row>
    <row r="52" spans="1:23" x14ac:dyDescent="0.25">
      <c r="A52" s="451"/>
      <c r="B52" s="336" t="s">
        <v>537</v>
      </c>
      <c r="C52" s="469">
        <v>0</v>
      </c>
      <c r="D52" s="443">
        <v>0</v>
      </c>
      <c r="E52" s="443">
        <v>0</v>
      </c>
      <c r="F52" s="443">
        <f t="shared" si="0"/>
        <v>0</v>
      </c>
      <c r="G52" s="469">
        <v>0</v>
      </c>
      <c r="H52" s="443">
        <v>0</v>
      </c>
      <c r="I52" s="443">
        <v>0</v>
      </c>
      <c r="J52" s="443">
        <f t="shared" si="9"/>
        <v>0</v>
      </c>
      <c r="K52" s="469">
        <v>0</v>
      </c>
      <c r="L52" s="443">
        <v>0</v>
      </c>
      <c r="M52" s="443">
        <v>0</v>
      </c>
      <c r="N52" s="443">
        <f t="shared" si="10"/>
        <v>0</v>
      </c>
      <c r="O52" s="469">
        <v>0</v>
      </c>
      <c r="P52" s="443">
        <v>0</v>
      </c>
      <c r="Q52" s="443">
        <v>0</v>
      </c>
      <c r="R52" s="443">
        <f t="shared" si="11"/>
        <v>0</v>
      </c>
      <c r="S52" s="469">
        <v>0</v>
      </c>
      <c r="T52" s="443">
        <v>0</v>
      </c>
      <c r="U52" s="443">
        <v>0</v>
      </c>
      <c r="V52" s="443">
        <f t="shared" si="12"/>
        <v>0</v>
      </c>
    </row>
    <row r="53" spans="1:23" x14ac:dyDescent="0.25">
      <c r="A53" s="451"/>
      <c r="B53" s="336" t="s">
        <v>538</v>
      </c>
      <c r="C53" s="469">
        <v>0</v>
      </c>
      <c r="D53" s="443">
        <v>0</v>
      </c>
      <c r="E53" s="443">
        <v>0</v>
      </c>
      <c r="F53" s="443">
        <f t="shared" si="0"/>
        <v>0</v>
      </c>
      <c r="G53" s="469">
        <v>0</v>
      </c>
      <c r="H53" s="443">
        <v>0</v>
      </c>
      <c r="I53" s="443">
        <v>0</v>
      </c>
      <c r="J53" s="443">
        <f t="shared" si="9"/>
        <v>0</v>
      </c>
      <c r="K53" s="469">
        <v>0</v>
      </c>
      <c r="L53" s="443">
        <v>0</v>
      </c>
      <c r="M53" s="443">
        <v>0</v>
      </c>
      <c r="N53" s="443">
        <f t="shared" si="10"/>
        <v>0</v>
      </c>
      <c r="O53" s="469">
        <v>0</v>
      </c>
      <c r="P53" s="443">
        <v>0</v>
      </c>
      <c r="Q53" s="443">
        <v>0</v>
      </c>
      <c r="R53" s="443">
        <f t="shared" si="11"/>
        <v>0</v>
      </c>
      <c r="S53" s="469">
        <v>0</v>
      </c>
      <c r="T53" s="443">
        <v>0</v>
      </c>
      <c r="U53" s="443">
        <v>0</v>
      </c>
      <c r="V53" s="443">
        <f t="shared" si="12"/>
        <v>0</v>
      </c>
    </row>
    <row r="54" spans="1:23" x14ac:dyDescent="0.25">
      <c r="A54" s="451"/>
      <c r="B54" s="234" t="s">
        <v>1450</v>
      </c>
      <c r="C54" s="469">
        <v>0</v>
      </c>
      <c r="D54" s="443">
        <v>0</v>
      </c>
      <c r="E54" s="443">
        <v>0</v>
      </c>
      <c r="F54" s="443">
        <f t="shared" si="0"/>
        <v>0</v>
      </c>
      <c r="G54" s="469">
        <f>+'2A Önk bev'!G105</f>
        <v>186454375</v>
      </c>
      <c r="H54" s="443">
        <v>0</v>
      </c>
      <c r="I54" s="443">
        <v>0</v>
      </c>
      <c r="J54" s="443">
        <f t="shared" si="9"/>
        <v>186454375</v>
      </c>
      <c r="K54" s="469">
        <f>+'2A Önk bev'!K105</f>
        <v>336514216</v>
      </c>
      <c r="L54" s="443">
        <v>0</v>
      </c>
      <c r="M54" s="443">
        <v>0</v>
      </c>
      <c r="N54" s="443">
        <f t="shared" si="10"/>
        <v>336514216</v>
      </c>
      <c r="O54" s="469">
        <f>+'2A Önk bev'!O105</f>
        <v>594186839</v>
      </c>
      <c r="P54" s="443">
        <v>0</v>
      </c>
      <c r="Q54" s="443">
        <v>0</v>
      </c>
      <c r="R54" s="443">
        <f t="shared" si="11"/>
        <v>594186839</v>
      </c>
      <c r="S54" s="469">
        <f>+'2A Önk bev'!S105</f>
        <v>594186839</v>
      </c>
      <c r="T54" s="443">
        <v>0</v>
      </c>
      <c r="U54" s="443">
        <v>0</v>
      </c>
      <c r="V54" s="443">
        <f t="shared" si="12"/>
        <v>594186839</v>
      </c>
      <c r="W54" s="768">
        <f>+R54-N54</f>
        <v>257672623</v>
      </c>
    </row>
    <row r="55" spans="1:23" x14ac:dyDescent="0.25">
      <c r="A55" s="451"/>
      <c r="B55" s="234" t="s">
        <v>540</v>
      </c>
      <c r="C55" s="469">
        <f>'2A Önk bev'!C102+'3A PH'!C36+'4H VG bev kiad'!C33+'4A Walla'!C33+'4B Nyitnikék'!C33+'4C Bóbita'!C33+'4D MMMH'!C33+'4E Könyvtár'!C33+'4F Segítő Kéz'!C33+'4G Szérüskert'!C33</f>
        <v>1000000000</v>
      </c>
      <c r="D55" s="443">
        <f>'2A Önk bev'!D102+'3A PH'!D36+'4H VG bev kiad'!D33+'4A Walla'!D33+'4B Nyitnikék'!D33+'4C Bóbita'!D33+'4D MMMH'!D33+'4E Könyvtár'!D33+'4F Segítő Kéz'!D33</f>
        <v>0</v>
      </c>
      <c r="E55" s="443">
        <f>'2A Önk bev'!E102+'3A PH'!E36</f>
        <v>0</v>
      </c>
      <c r="F55" s="443">
        <f t="shared" si="0"/>
        <v>1000000000</v>
      </c>
      <c r="G55" s="469">
        <f>'2A Önk bev'!G102+'3A PH'!G36+'4H VG bev kiad'!F33+'4A Walla'!F33+'4B Nyitnikék'!F33+'4C Bóbita'!F33+'4D MMMH'!F33+'4E Könyvtár'!F33+'4F Segítő Kéz'!F33+'4G Szérüskert'!F33</f>
        <v>1518450076</v>
      </c>
      <c r="H55" s="443">
        <v>0</v>
      </c>
      <c r="I55" s="443">
        <f>'2A Önk bev'!I102+'3A PH'!I36</f>
        <v>0</v>
      </c>
      <c r="J55" s="443">
        <f t="shared" si="9"/>
        <v>1518450076</v>
      </c>
      <c r="K55" s="469">
        <f>'2A Önk bev'!K102+'3A PH'!K36+'4H VG bev kiad'!I33+'4A Walla'!I33+'4B Nyitnikék'!I33+'4C Bóbita'!I33+'4D MMMH'!I33+'4E Könyvtár'!I33+'4F Segítő Kéz'!I33+'4G Szérüskert'!I33</f>
        <v>1518450076</v>
      </c>
      <c r="L55" s="443">
        <v>0</v>
      </c>
      <c r="M55" s="443">
        <f>'2A Önk bev'!M102+'3A PH'!M36</f>
        <v>0</v>
      </c>
      <c r="N55" s="443">
        <f t="shared" si="10"/>
        <v>1518450076</v>
      </c>
      <c r="O55" s="469">
        <f>'2A Önk bev'!O102+'3A PH'!O36+'4H VG bev kiad'!L33+'4A Walla'!L33+'4B Nyitnikék'!L33+'4C Bóbita'!L33+'4D MMMH'!L33+'4E Könyvtár'!L33+'4F Segítő Kéz'!L33+'4G Szérüskert'!L33</f>
        <v>1506090378</v>
      </c>
      <c r="P55" s="443">
        <v>0</v>
      </c>
      <c r="Q55" s="443">
        <f>'2A Önk bev'!Q102+'3A PH'!Q36</f>
        <v>0</v>
      </c>
      <c r="R55" s="443">
        <f t="shared" si="11"/>
        <v>1506090378</v>
      </c>
      <c r="S55" s="469">
        <f>'2A Önk bev'!S102+'3A PH'!S36+'4H VG bev kiad'!Q33+'4A Walla'!Q33+'4B Nyitnikék'!Q33+'4C Bóbita'!Q33+'4D MMMH'!Q33+'4E Könyvtár'!Q33+'4F Segítő Kéz'!Q33+'4G Szérüskert'!Q33</f>
        <v>1518450076</v>
      </c>
      <c r="T55" s="443">
        <v>0</v>
      </c>
      <c r="U55" s="443">
        <f>'2A Önk bev'!U102+'3A PH'!U36</f>
        <v>0</v>
      </c>
      <c r="V55" s="443">
        <f t="shared" si="12"/>
        <v>1518450076</v>
      </c>
      <c r="W55" s="768">
        <f>+R55-N55</f>
        <v>-12359698</v>
      </c>
    </row>
    <row r="56" spans="1:23" x14ac:dyDescent="0.25">
      <c r="A56" s="451"/>
      <c r="B56" s="234" t="s">
        <v>543</v>
      </c>
      <c r="C56" s="469">
        <v>0</v>
      </c>
      <c r="D56" s="443">
        <v>0</v>
      </c>
      <c r="E56" s="443">
        <v>0</v>
      </c>
      <c r="F56" s="443">
        <f t="shared" si="0"/>
        <v>0</v>
      </c>
      <c r="G56" s="469">
        <v>0</v>
      </c>
      <c r="H56" s="443">
        <v>0</v>
      </c>
      <c r="I56" s="443">
        <v>0</v>
      </c>
      <c r="J56" s="443">
        <f t="shared" si="9"/>
        <v>0</v>
      </c>
      <c r="K56" s="469">
        <v>0</v>
      </c>
      <c r="L56" s="443">
        <v>0</v>
      </c>
      <c r="M56" s="443">
        <v>0</v>
      </c>
      <c r="N56" s="443">
        <f t="shared" si="10"/>
        <v>0</v>
      </c>
      <c r="O56" s="469">
        <v>0</v>
      </c>
      <c r="P56" s="443">
        <v>0</v>
      </c>
      <c r="Q56" s="443">
        <v>0</v>
      </c>
      <c r="R56" s="443">
        <f t="shared" si="11"/>
        <v>0</v>
      </c>
      <c r="S56" s="469">
        <v>0</v>
      </c>
      <c r="T56" s="443">
        <v>0</v>
      </c>
      <c r="U56" s="443">
        <v>0</v>
      </c>
      <c r="V56" s="443">
        <f t="shared" si="12"/>
        <v>0</v>
      </c>
    </row>
    <row r="57" spans="1:23" x14ac:dyDescent="0.25">
      <c r="A57" s="451"/>
      <c r="B57" s="234" t="s">
        <v>544</v>
      </c>
      <c r="C57" s="469">
        <f>'2A Önk bev'!C106</f>
        <v>0</v>
      </c>
      <c r="D57" s="443">
        <f>'2A Önk bev'!D106</f>
        <v>0</v>
      </c>
      <c r="E57" s="443">
        <f>'2A Önk bev'!E106</f>
        <v>0</v>
      </c>
      <c r="F57" s="443">
        <f t="shared" si="0"/>
        <v>0</v>
      </c>
      <c r="G57" s="469">
        <f>'2A Önk bev'!G106</f>
        <v>0</v>
      </c>
      <c r="H57" s="443">
        <f>'2A Önk bev'!H106</f>
        <v>0</v>
      </c>
      <c r="I57" s="443">
        <f>'2A Önk bev'!I106</f>
        <v>0</v>
      </c>
      <c r="J57" s="443">
        <f t="shared" si="9"/>
        <v>0</v>
      </c>
      <c r="K57" s="469">
        <f>'2A Önk bev'!K106</f>
        <v>0</v>
      </c>
      <c r="L57" s="443">
        <f>'2A Önk bev'!L106</f>
        <v>0</v>
      </c>
      <c r="M57" s="443">
        <f>'2A Önk bev'!M106</f>
        <v>0</v>
      </c>
      <c r="N57" s="443">
        <f t="shared" si="10"/>
        <v>0</v>
      </c>
      <c r="O57" s="469">
        <f>'2A Önk bev'!O106</f>
        <v>0</v>
      </c>
      <c r="P57" s="443">
        <f>'2A Önk bev'!P106</f>
        <v>0</v>
      </c>
      <c r="Q57" s="443">
        <f>'2A Önk bev'!Q106</f>
        <v>0</v>
      </c>
      <c r="R57" s="443">
        <f t="shared" si="11"/>
        <v>0</v>
      </c>
      <c r="S57" s="469">
        <f>'2A Önk bev'!S106</f>
        <v>0</v>
      </c>
      <c r="T57" s="443">
        <f>'2A Önk bev'!T106</f>
        <v>0</v>
      </c>
      <c r="U57" s="443">
        <f>'2A Önk bev'!U106</f>
        <v>0</v>
      </c>
      <c r="V57" s="443">
        <f t="shared" si="12"/>
        <v>0</v>
      </c>
    </row>
    <row r="58" spans="1:23" x14ac:dyDescent="0.25">
      <c r="A58" s="482" t="s">
        <v>322</v>
      </c>
      <c r="B58" s="483" t="s">
        <v>545</v>
      </c>
      <c r="C58" s="484">
        <f>SUM(C59:C60)</f>
        <v>0</v>
      </c>
      <c r="D58" s="493">
        <f>SUM(D59:D60)</f>
        <v>0</v>
      </c>
      <c r="E58" s="493">
        <f>SUM(E59:E60)</f>
        <v>0</v>
      </c>
      <c r="F58" s="493">
        <f t="shared" si="0"/>
        <v>0</v>
      </c>
      <c r="G58" s="484">
        <f>SUM(G59:G60)</f>
        <v>0</v>
      </c>
      <c r="H58" s="493">
        <f>SUM(H59:H60)</f>
        <v>0</v>
      </c>
      <c r="I58" s="493">
        <f>SUM(I59:I60)</f>
        <v>0</v>
      </c>
      <c r="J58" s="493">
        <f t="shared" si="9"/>
        <v>0</v>
      </c>
      <c r="K58" s="484">
        <f>SUM(K59:K60)</f>
        <v>0</v>
      </c>
      <c r="L58" s="493">
        <f>SUM(L59:L60)</f>
        <v>0</v>
      </c>
      <c r="M58" s="493">
        <f>SUM(M59:M60)</f>
        <v>0</v>
      </c>
      <c r="N58" s="493">
        <f t="shared" si="10"/>
        <v>0</v>
      </c>
      <c r="O58" s="484">
        <f>SUM(O59:O60)</f>
        <v>0</v>
      </c>
      <c r="P58" s="493">
        <f>SUM(P59:P60)</f>
        <v>0</v>
      </c>
      <c r="Q58" s="493">
        <f>SUM(Q59:Q60)</f>
        <v>0</v>
      </c>
      <c r="R58" s="493">
        <f t="shared" si="11"/>
        <v>0</v>
      </c>
      <c r="S58" s="484">
        <f>SUM(S59:S60)</f>
        <v>0</v>
      </c>
      <c r="T58" s="493">
        <f>SUM(T59:T60)</f>
        <v>0</v>
      </c>
      <c r="U58" s="493">
        <f>SUM(U59:U60)</f>
        <v>0</v>
      </c>
      <c r="V58" s="493">
        <f t="shared" si="12"/>
        <v>0</v>
      </c>
      <c r="W58" s="768">
        <f>+R58-N58</f>
        <v>0</v>
      </c>
    </row>
    <row r="59" spans="1:23" x14ac:dyDescent="0.25">
      <c r="A59" s="451"/>
      <c r="B59" s="234" t="s">
        <v>546</v>
      </c>
      <c r="C59" s="469">
        <v>0</v>
      </c>
      <c r="D59" s="443">
        <v>0</v>
      </c>
      <c r="E59" s="443">
        <v>0</v>
      </c>
      <c r="F59" s="443">
        <f t="shared" si="0"/>
        <v>0</v>
      </c>
      <c r="G59" s="469">
        <v>0</v>
      </c>
      <c r="H59" s="443">
        <v>0</v>
      </c>
      <c r="I59" s="443">
        <v>0</v>
      </c>
      <c r="J59" s="443">
        <f t="shared" si="9"/>
        <v>0</v>
      </c>
      <c r="K59" s="469">
        <v>0</v>
      </c>
      <c r="L59" s="443">
        <v>0</v>
      </c>
      <c r="M59" s="443">
        <v>0</v>
      </c>
      <c r="N59" s="443">
        <f t="shared" si="10"/>
        <v>0</v>
      </c>
      <c r="O59" s="469">
        <v>0</v>
      </c>
      <c r="P59" s="443">
        <v>0</v>
      </c>
      <c r="Q59" s="443">
        <v>0</v>
      </c>
      <c r="R59" s="443">
        <f t="shared" si="11"/>
        <v>0</v>
      </c>
      <c r="S59" s="469">
        <v>0</v>
      </c>
      <c r="T59" s="443">
        <v>0</v>
      </c>
      <c r="U59" s="443">
        <v>0</v>
      </c>
      <c r="V59" s="443">
        <f t="shared" si="12"/>
        <v>0</v>
      </c>
    </row>
    <row r="60" spans="1:23" x14ac:dyDescent="0.25">
      <c r="A60" s="451"/>
      <c r="B60" s="234" t="s">
        <v>547</v>
      </c>
      <c r="C60" s="469">
        <v>0</v>
      </c>
      <c r="D60" s="443">
        <v>0</v>
      </c>
      <c r="E60" s="443">
        <v>0</v>
      </c>
      <c r="F60" s="443">
        <f t="shared" si="0"/>
        <v>0</v>
      </c>
      <c r="G60" s="469">
        <v>0</v>
      </c>
      <c r="H60" s="443">
        <v>0</v>
      </c>
      <c r="I60" s="443">
        <v>0</v>
      </c>
      <c r="J60" s="443">
        <f t="shared" si="9"/>
        <v>0</v>
      </c>
      <c r="K60" s="469">
        <v>0</v>
      </c>
      <c r="L60" s="443">
        <v>0</v>
      </c>
      <c r="M60" s="443">
        <v>0</v>
      </c>
      <c r="N60" s="443">
        <f t="shared" si="10"/>
        <v>0</v>
      </c>
      <c r="O60" s="469">
        <v>0</v>
      </c>
      <c r="P60" s="443">
        <v>0</v>
      </c>
      <c r="Q60" s="443">
        <v>0</v>
      </c>
      <c r="R60" s="443">
        <f t="shared" si="11"/>
        <v>0</v>
      </c>
      <c r="S60" s="469">
        <v>0</v>
      </c>
      <c r="T60" s="443">
        <v>0</v>
      </c>
      <c r="U60" s="443">
        <v>0</v>
      </c>
      <c r="V60" s="443">
        <f t="shared" si="12"/>
        <v>0</v>
      </c>
    </row>
    <row r="61" spans="1:23" x14ac:dyDescent="0.25">
      <c r="A61" s="486"/>
      <c r="B61" s="487" t="s">
        <v>333</v>
      </c>
      <c r="C61" s="330">
        <f>C47+C30+C4</f>
        <v>6079172291</v>
      </c>
      <c r="D61" s="330">
        <f>D47+D30+D4</f>
        <v>50138615</v>
      </c>
      <c r="E61" s="330">
        <f>E47+E30+E4</f>
        <v>0</v>
      </c>
      <c r="F61" s="330">
        <f t="shared" si="0"/>
        <v>6129310906</v>
      </c>
      <c r="G61" s="514">
        <f>G47+G30+G4</f>
        <v>6648915537</v>
      </c>
      <c r="H61" s="514">
        <f>H47+H30+H4</f>
        <v>228788615</v>
      </c>
      <c r="I61" s="514">
        <f>I47+I30+I4</f>
        <v>0</v>
      </c>
      <c r="J61" s="514">
        <f t="shared" si="9"/>
        <v>6877704152</v>
      </c>
      <c r="K61" s="514">
        <f>K47+K30+K4</f>
        <v>6961041992</v>
      </c>
      <c r="L61" s="514">
        <f>L47+L30+L4</f>
        <v>50138615</v>
      </c>
      <c r="M61" s="514">
        <f>M47+M30+M4</f>
        <v>0</v>
      </c>
      <c r="N61" s="514">
        <f t="shared" si="10"/>
        <v>7011180607</v>
      </c>
      <c r="O61" s="514">
        <f>O47+O30+O4</f>
        <v>7085135676</v>
      </c>
      <c r="P61" s="514">
        <f>P47+P30+P4</f>
        <v>229788615</v>
      </c>
      <c r="Q61" s="514">
        <f>Q47+Q30+Q4</f>
        <v>0</v>
      </c>
      <c r="R61" s="514">
        <f t="shared" si="11"/>
        <v>7314924291</v>
      </c>
      <c r="S61" s="514">
        <f>S47+S30+S4</f>
        <v>7121898596</v>
      </c>
      <c r="T61" s="514">
        <f>T47+T30+T4</f>
        <v>55116483</v>
      </c>
      <c r="U61" s="514">
        <f>U47+U30+U4</f>
        <v>0</v>
      </c>
      <c r="V61" s="514">
        <f t="shared" si="12"/>
        <v>7177015079</v>
      </c>
      <c r="W61" s="768">
        <f>+R61-N61</f>
        <v>303743684</v>
      </c>
    </row>
    <row r="62" spans="1:23" x14ac:dyDescent="0.25">
      <c r="J62" s="768">
        <f>+J61-F61</f>
        <v>748393246</v>
      </c>
      <c r="N62" s="768">
        <f>+N61-J61</f>
        <v>133476455</v>
      </c>
      <c r="R62" s="768">
        <f>+R61-N61</f>
        <v>303743684</v>
      </c>
      <c r="V62" s="768">
        <f>+V61-R61</f>
        <v>-137909212</v>
      </c>
    </row>
    <row r="63" spans="1:23" x14ac:dyDescent="0.25">
      <c r="J63" s="768"/>
      <c r="K63" s="768"/>
      <c r="N63" s="768">
        <f>+N61-'1B. Fő kiad'!N35</f>
        <v>0</v>
      </c>
      <c r="O63" s="768"/>
      <c r="R63" s="768">
        <f>+R61-'1B. Fő kiad'!R35</f>
        <v>0</v>
      </c>
      <c r="S63" s="768"/>
      <c r="V63" s="768">
        <f>+V61-'1B. Fő kiad'!V35</f>
        <v>2055787067</v>
      </c>
    </row>
    <row r="64" spans="1:23" x14ac:dyDescent="0.25">
      <c r="J64" s="768"/>
      <c r="N64" s="768"/>
      <c r="R64" s="768"/>
      <c r="V64" s="768"/>
    </row>
    <row r="65" spans="18:18" x14ac:dyDescent="0.25">
      <c r="R65" s="768"/>
    </row>
  </sheetData>
  <mergeCells count="7">
    <mergeCell ref="S2:V2"/>
    <mergeCell ref="A2:A3"/>
    <mergeCell ref="C2:F2"/>
    <mergeCell ref="B2:B3"/>
    <mergeCell ref="G2:J2"/>
    <mergeCell ref="K2:N2"/>
    <mergeCell ref="O2:R2"/>
  </mergeCells>
  <printOptions horizontalCentered="1"/>
  <pageMargins left="0.19685039370078741" right="0.19685039370078741" top="0.51181102362204722" bottom="0.35433070866141736" header="0.15748031496062992" footer="0.15748031496062992"/>
  <pageSetup paperSize="9" scale="75" fitToHeight="0" orientation="landscape" r:id="rId1"/>
  <headerFooter>
    <oddHeader>&amp;L1/A.  melléklet a ......./2021. (.................) önkormányzati rendelethez&amp;C&amp;"-,Félkövér"&amp;16
Az Önkormányzat 2020. évi összevont bevételei forrásonként és feladatonként</oddHeader>
    <oddFooter>&amp;C&amp;P</oddFooter>
  </headerFooter>
  <legacy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outlinePr summaryBelow="0"/>
  </sheetPr>
  <dimension ref="A1:H123"/>
  <sheetViews>
    <sheetView view="pageBreakPreview" zoomScale="90" zoomScaleNormal="80" zoomScaleSheetLayoutView="90" workbookViewId="0">
      <pane ySplit="3" topLeftCell="A4" activePane="bottomLeft" state="frozen"/>
      <selection pane="bottomLeft" activeCell="C31" sqref="C31"/>
    </sheetView>
  </sheetViews>
  <sheetFormatPr defaultColWidth="9.140625" defaultRowHeight="15.75" x14ac:dyDescent="0.25"/>
  <cols>
    <col min="1" max="1" width="9.140625" style="659"/>
    <col min="2" max="2" width="9.140625" style="659" customWidth="1"/>
    <col min="3" max="3" width="55.28515625" style="649" customWidth="1"/>
    <col min="4" max="4" width="15.7109375" style="650" customWidth="1"/>
    <col min="5" max="5" width="60.85546875" style="643" hidden="1" customWidth="1"/>
    <col min="6" max="6" width="14.7109375" style="674" customWidth="1"/>
    <col min="7" max="7" width="14.85546875" style="648" customWidth="1"/>
    <col min="8" max="8" width="14.7109375" style="648" customWidth="1"/>
    <col min="9" max="16384" width="9.140625" style="644"/>
  </cols>
  <sheetData>
    <row r="1" spans="1:8" s="628" customFormat="1" ht="21" x14ac:dyDescent="0.25">
      <c r="A1" s="1006" t="s">
        <v>1639</v>
      </c>
      <c r="B1" s="1006"/>
      <c r="C1" s="1006"/>
      <c r="D1" s="1006"/>
      <c r="E1" s="1007"/>
      <c r="F1" s="681"/>
      <c r="G1" s="682"/>
      <c r="H1" s="682"/>
    </row>
    <row r="2" spans="1:8" s="632" customFormat="1" x14ac:dyDescent="0.25">
      <c r="A2" s="629"/>
      <c r="B2" s="629"/>
      <c r="C2" s="630"/>
      <c r="D2" s="631" t="e">
        <f>+D4+D25+D51+D65+D76+D92+D95+D111</f>
        <v>#REF!</v>
      </c>
      <c r="E2" s="630"/>
      <c r="F2" s="683">
        <f>+F4+F25+F51+F65+F76+F92+F95+F111</f>
        <v>26400</v>
      </c>
      <c r="G2" s="683">
        <f>+G4+G25+G51+G65+G76+G92+G95+G111</f>
        <v>904481</v>
      </c>
      <c r="H2" s="683">
        <f>+H4+H25+H51+H65+H76+H92+H95+H111</f>
        <v>433382</v>
      </c>
    </row>
    <row r="3" spans="1:8" s="629" customFormat="1" ht="31.5" x14ac:dyDescent="0.25">
      <c r="A3" s="633" t="s">
        <v>1488</v>
      </c>
      <c r="B3" s="1008" t="s">
        <v>1489</v>
      </c>
      <c r="C3" s="634" t="s">
        <v>306</v>
      </c>
      <c r="D3" s="675" t="s">
        <v>1490</v>
      </c>
      <c r="E3" s="634" t="s">
        <v>1491</v>
      </c>
      <c r="F3" s="679" t="s">
        <v>1642</v>
      </c>
      <c r="G3" s="679" t="s">
        <v>1643</v>
      </c>
      <c r="H3" s="679" t="s">
        <v>1644</v>
      </c>
    </row>
    <row r="4" spans="1:8" s="632" customFormat="1" collapsed="1" x14ac:dyDescent="0.25">
      <c r="A4" s="635" t="s">
        <v>309</v>
      </c>
      <c r="B4" s="1009"/>
      <c r="C4" s="636" t="s">
        <v>1136</v>
      </c>
      <c r="D4" s="637">
        <f>SUM(D5,D8,D11,D14,D16,D18,D19,D21,D22)</f>
        <v>176407.5</v>
      </c>
      <c r="E4" s="638"/>
      <c r="F4" s="680">
        <f>SUM(F5,F8,F11,F14,F16,F18,F19,F21,F22)</f>
        <v>0</v>
      </c>
      <c r="G4" s="680">
        <f>SUM(G5,G8,G11,G14,G16,G18,G19,G21,G22)</f>
        <v>107508</v>
      </c>
      <c r="H4" s="680">
        <f>SUM(H5,H8,H11,H14,H16,H18,H19,H21,H22)</f>
        <v>68900</v>
      </c>
    </row>
    <row r="5" spans="1:8" s="632" customFormat="1" ht="18" customHeight="1" x14ac:dyDescent="0.25">
      <c r="A5" s="639">
        <v>1</v>
      </c>
      <c r="B5" s="639">
        <v>1901</v>
      </c>
      <c r="C5" s="640" t="s">
        <v>1492</v>
      </c>
      <c r="D5" s="641">
        <f>SUM(D6:D7)/1000</f>
        <v>51508</v>
      </c>
      <c r="E5" s="642"/>
      <c r="F5" s="684"/>
      <c r="G5" s="685">
        <v>51508</v>
      </c>
      <c r="H5" s="685"/>
    </row>
    <row r="6" spans="1:8" ht="18" hidden="1" customHeight="1" x14ac:dyDescent="0.25">
      <c r="A6" s="639"/>
      <c r="B6" s="639"/>
      <c r="C6" s="640" t="s">
        <v>1493</v>
      </c>
      <c r="D6" s="641">
        <v>51000000</v>
      </c>
      <c r="E6" s="643" t="s">
        <v>1494</v>
      </c>
      <c r="G6" s="685"/>
      <c r="H6" s="685"/>
    </row>
    <row r="7" spans="1:8" ht="18" hidden="1" customHeight="1" x14ac:dyDescent="0.25">
      <c r="A7" s="639"/>
      <c r="B7" s="639"/>
      <c r="C7" s="640" t="s">
        <v>1495</v>
      </c>
      <c r="D7" s="641">
        <v>508000</v>
      </c>
      <c r="G7" s="685"/>
      <c r="H7" s="685"/>
    </row>
    <row r="8" spans="1:8" s="632" customFormat="1" ht="18" customHeight="1" x14ac:dyDescent="0.25">
      <c r="A8" s="639">
        <v>2</v>
      </c>
      <c r="B8" s="639">
        <v>1902</v>
      </c>
      <c r="C8" s="640" t="s">
        <v>1496</v>
      </c>
      <c r="D8" s="641">
        <f>SUM(D9:D10)/1000-23445</f>
        <v>11999.5</v>
      </c>
      <c r="E8" s="642"/>
      <c r="F8" s="684"/>
      <c r="G8" s="685"/>
      <c r="H8" s="685">
        <v>12000</v>
      </c>
    </row>
    <row r="9" spans="1:8" ht="18" hidden="1" customHeight="1" x14ac:dyDescent="0.25">
      <c r="A9" s="639"/>
      <c r="B9" s="639"/>
      <c r="C9" s="640" t="s">
        <v>1497</v>
      </c>
      <c r="D9" s="641">
        <v>35000000</v>
      </c>
      <c r="G9" s="685"/>
      <c r="H9" s="685"/>
    </row>
    <row r="10" spans="1:8" ht="18" hidden="1" customHeight="1" x14ac:dyDescent="0.25">
      <c r="A10" s="639"/>
      <c r="B10" s="639"/>
      <c r="C10" s="640" t="s">
        <v>1495</v>
      </c>
      <c r="D10" s="641">
        <v>444500</v>
      </c>
      <c r="G10" s="685"/>
      <c r="H10" s="685"/>
    </row>
    <row r="11" spans="1:8" s="632" customFormat="1" ht="18" customHeight="1" x14ac:dyDescent="0.25">
      <c r="A11" s="639">
        <v>3</v>
      </c>
      <c r="B11" s="639">
        <v>1903</v>
      </c>
      <c r="C11" s="640" t="s">
        <v>1498</v>
      </c>
      <c r="D11" s="641">
        <f>SUM(D12:D13)/1000</f>
        <v>6000</v>
      </c>
      <c r="E11" s="642"/>
      <c r="F11" s="684"/>
      <c r="G11" s="685">
        <v>6000</v>
      </c>
      <c r="H11" s="685"/>
    </row>
    <row r="12" spans="1:8" ht="18" hidden="1" customHeight="1" x14ac:dyDescent="0.25">
      <c r="A12" s="639"/>
      <c r="B12" s="639"/>
      <c r="C12" s="640" t="s">
        <v>1499</v>
      </c>
      <c r="D12" s="641">
        <v>4000000</v>
      </c>
      <c r="E12" s="643" t="s">
        <v>1500</v>
      </c>
      <c r="G12" s="685"/>
      <c r="H12" s="685"/>
    </row>
    <row r="13" spans="1:8" ht="18" hidden="1" customHeight="1" x14ac:dyDescent="0.25">
      <c r="A13" s="639"/>
      <c r="B13" s="639"/>
      <c r="C13" s="640" t="s">
        <v>1501</v>
      </c>
      <c r="D13" s="641">
        <v>2000000</v>
      </c>
      <c r="E13" s="643" t="s">
        <v>1502</v>
      </c>
      <c r="G13" s="685"/>
      <c r="H13" s="685"/>
    </row>
    <row r="14" spans="1:8" s="632" customFormat="1" ht="18" customHeight="1" x14ac:dyDescent="0.25">
      <c r="A14" s="639">
        <v>4</v>
      </c>
      <c r="B14" s="639">
        <v>1904</v>
      </c>
      <c r="C14" s="640" t="s">
        <v>1503</v>
      </c>
      <c r="D14" s="641">
        <f>SUM(D15)/1000</f>
        <v>1900</v>
      </c>
      <c r="E14" s="642"/>
      <c r="F14" s="684"/>
      <c r="G14" s="685"/>
      <c r="H14" s="685">
        <v>1900</v>
      </c>
    </row>
    <row r="15" spans="1:8" ht="18" hidden="1" customHeight="1" x14ac:dyDescent="0.25">
      <c r="A15" s="639"/>
      <c r="B15" s="639"/>
      <c r="C15" s="640" t="s">
        <v>1504</v>
      </c>
      <c r="D15" s="641">
        <v>1900000</v>
      </c>
      <c r="E15" s="645" t="s">
        <v>1505</v>
      </c>
      <c r="G15" s="685"/>
      <c r="H15" s="685"/>
    </row>
    <row r="16" spans="1:8" s="632" customFormat="1" ht="18" hidden="1" customHeight="1" x14ac:dyDescent="0.25">
      <c r="A16" s="639">
        <v>5</v>
      </c>
      <c r="B16" s="639">
        <v>1905</v>
      </c>
      <c r="C16" s="640" t="s">
        <v>1506</v>
      </c>
      <c r="D16" s="641">
        <f>SUM(D17)/1000-40000</f>
        <v>0</v>
      </c>
      <c r="E16" s="646"/>
      <c r="F16" s="684"/>
      <c r="G16" s="685"/>
      <c r="H16" s="685"/>
    </row>
    <row r="17" spans="1:8" s="632" customFormat="1" ht="18" hidden="1" customHeight="1" x14ac:dyDescent="0.25">
      <c r="A17" s="639"/>
      <c r="B17" s="639"/>
      <c r="C17" s="640" t="s">
        <v>1504</v>
      </c>
      <c r="D17" s="641">
        <v>40000000</v>
      </c>
      <c r="E17" s="643" t="s">
        <v>1507</v>
      </c>
      <c r="F17" s="684"/>
      <c r="G17" s="685"/>
      <c r="H17" s="685"/>
    </row>
    <row r="18" spans="1:8" s="632" customFormat="1" ht="18" hidden="1" customHeight="1" x14ac:dyDescent="0.25">
      <c r="A18" s="639">
        <v>6</v>
      </c>
      <c r="B18" s="639">
        <v>1906</v>
      </c>
      <c r="C18" s="640" t="s">
        <v>1628</v>
      </c>
      <c r="D18" s="641">
        <f>25000-25000</f>
        <v>0</v>
      </c>
      <c r="E18" s="643"/>
      <c r="F18" s="684"/>
      <c r="G18" s="685"/>
      <c r="H18" s="685"/>
    </row>
    <row r="19" spans="1:8" s="648" customFormat="1" ht="38.1" customHeight="1" x14ac:dyDescent="0.25">
      <c r="A19" s="639">
        <v>5</v>
      </c>
      <c r="B19" s="639">
        <v>1907</v>
      </c>
      <c r="C19" s="640" t="s">
        <v>1508</v>
      </c>
      <c r="D19" s="641">
        <f>SUM(D20)/1000-35000</f>
        <v>45000</v>
      </c>
      <c r="E19" s="647" t="s">
        <v>1509</v>
      </c>
      <c r="F19" s="674"/>
      <c r="G19" s="685"/>
      <c r="H19" s="685">
        <v>45000</v>
      </c>
    </row>
    <row r="20" spans="1:8" ht="18" hidden="1" customHeight="1" x14ac:dyDescent="0.25">
      <c r="A20" s="639"/>
      <c r="B20" s="639"/>
      <c r="C20" s="640" t="s">
        <v>1504</v>
      </c>
      <c r="D20" s="641">
        <v>80000000</v>
      </c>
      <c r="E20" s="649" t="s">
        <v>1510</v>
      </c>
      <c r="G20" s="685"/>
      <c r="H20" s="685"/>
    </row>
    <row r="21" spans="1:8" s="648" customFormat="1" ht="31.5" x14ac:dyDescent="0.25">
      <c r="A21" s="639">
        <v>6</v>
      </c>
      <c r="B21" s="639">
        <v>1908</v>
      </c>
      <c r="C21" s="640" t="s">
        <v>1511</v>
      </c>
      <c r="D21" s="641">
        <f>50000000/1000</f>
        <v>50000</v>
      </c>
      <c r="E21" s="647" t="s">
        <v>1509</v>
      </c>
      <c r="F21" s="674"/>
      <c r="G21" s="685">
        <v>50000</v>
      </c>
      <c r="H21" s="685"/>
    </row>
    <row r="22" spans="1:8" s="648" customFormat="1" ht="33.4" customHeight="1" x14ac:dyDescent="0.25">
      <c r="A22" s="639">
        <v>7</v>
      </c>
      <c r="B22" s="639">
        <v>1909</v>
      </c>
      <c r="C22" s="640" t="s">
        <v>1512</v>
      </c>
      <c r="D22" s="641">
        <f>SUM(D23)/1000-15000</f>
        <v>10000</v>
      </c>
      <c r="E22" s="647" t="s">
        <v>1509</v>
      </c>
      <c r="F22" s="674"/>
      <c r="G22" s="685"/>
      <c r="H22" s="685">
        <v>10000</v>
      </c>
    </row>
    <row r="23" spans="1:8" s="632" customFormat="1" ht="22.5" hidden="1" customHeight="1" x14ac:dyDescent="0.25">
      <c r="A23" s="629"/>
      <c r="B23" s="629"/>
      <c r="C23" s="649"/>
      <c r="D23" s="650">
        <v>25000000</v>
      </c>
      <c r="E23" s="651" t="s">
        <v>1513</v>
      </c>
      <c r="F23" s="684"/>
      <c r="G23" s="686"/>
      <c r="H23" s="686"/>
    </row>
    <row r="24" spans="1:8" s="628" customFormat="1" hidden="1" x14ac:dyDescent="0.25">
      <c r="A24" s="652"/>
      <c r="B24" s="652"/>
      <c r="C24" s="653"/>
      <c r="D24" s="654"/>
      <c r="E24" s="655" t="s">
        <v>1514</v>
      </c>
      <c r="F24" s="681"/>
      <c r="G24" s="682"/>
      <c r="H24" s="682"/>
    </row>
    <row r="25" spans="1:8" s="632" customFormat="1" ht="26.65" customHeight="1" x14ac:dyDescent="0.25">
      <c r="A25" s="635" t="s">
        <v>318</v>
      </c>
      <c r="B25" s="635"/>
      <c r="C25" s="636" t="s">
        <v>1640</v>
      </c>
      <c r="D25" s="637">
        <f>SUM(D26,D31,D33,D35,D37,D39,D41,D43,D45,D46,D47,D48,D49,D50)</f>
        <v>432992</v>
      </c>
      <c r="E25" s="638"/>
      <c r="F25" s="680">
        <f>SUM(F26,F31,F33,F35,F37,F39,F41,F43,F45,F46,F47,F48,F49)</f>
        <v>0</v>
      </c>
      <c r="G25" s="680">
        <f>SUM(G26,G31,G33,G35,G37,G39,G41,G43,G45,G46,G47,G48,G49,G50)</f>
        <v>352845</v>
      </c>
      <c r="H25" s="680">
        <f>SUM(H26,H31,H33,H35,H37,H39,H41,H43,H45,H46,H47,H48,H49)</f>
        <v>80147</v>
      </c>
    </row>
    <row r="26" spans="1:8" s="632" customFormat="1" ht="26.65" customHeight="1" x14ac:dyDescent="0.25">
      <c r="A26" s="639">
        <v>1</v>
      </c>
      <c r="B26" s="639">
        <v>1910</v>
      </c>
      <c r="C26" s="640" t="s">
        <v>1515</v>
      </c>
      <c r="D26" s="641">
        <f>300000000/1000</f>
        <v>300000</v>
      </c>
      <c r="E26" s="642" t="s">
        <v>1516</v>
      </c>
      <c r="F26" s="685"/>
      <c r="G26" s="685">
        <v>300000</v>
      </c>
      <c r="H26" s="685"/>
    </row>
    <row r="27" spans="1:8" ht="26.65" hidden="1" customHeight="1" x14ac:dyDescent="0.25">
      <c r="A27" s="639"/>
      <c r="B27" s="639"/>
      <c r="C27" s="640" t="s">
        <v>1504</v>
      </c>
      <c r="D27" s="641"/>
      <c r="F27" s="685"/>
      <c r="G27" s="685"/>
      <c r="H27" s="685"/>
    </row>
    <row r="28" spans="1:8" ht="26.65" hidden="1" customHeight="1" x14ac:dyDescent="0.25">
      <c r="A28" s="639"/>
      <c r="B28" s="639"/>
      <c r="C28" s="640" t="s">
        <v>1517</v>
      </c>
      <c r="D28" s="641"/>
      <c r="F28" s="685"/>
      <c r="G28" s="685"/>
      <c r="H28" s="685"/>
    </row>
    <row r="29" spans="1:8" ht="26.65" hidden="1" customHeight="1" x14ac:dyDescent="0.25">
      <c r="A29" s="639"/>
      <c r="B29" s="639"/>
      <c r="C29" s="640" t="s">
        <v>1495</v>
      </c>
      <c r="D29" s="641"/>
      <c r="F29" s="685"/>
      <c r="G29" s="685"/>
      <c r="H29" s="685"/>
    </row>
    <row r="30" spans="1:8" ht="26.65" hidden="1" customHeight="1" x14ac:dyDescent="0.25">
      <c r="A30" s="639"/>
      <c r="B30" s="639"/>
      <c r="C30" s="640" t="s">
        <v>1518</v>
      </c>
      <c r="D30" s="641"/>
      <c r="F30" s="685">
        <v>12800000</v>
      </c>
      <c r="G30" s="685"/>
      <c r="H30" s="685"/>
    </row>
    <row r="31" spans="1:8" s="632" customFormat="1" ht="26.65" customHeight="1" x14ac:dyDescent="0.25">
      <c r="A31" s="639">
        <v>2</v>
      </c>
      <c r="B31" s="639">
        <v>1911</v>
      </c>
      <c r="C31" s="640" t="s">
        <v>1519</v>
      </c>
      <c r="D31" s="641">
        <f>SUM(D32)/1000</f>
        <v>20000</v>
      </c>
      <c r="E31" s="642"/>
      <c r="F31" s="685"/>
      <c r="G31" s="685">
        <v>20000</v>
      </c>
      <c r="H31" s="685"/>
    </row>
    <row r="32" spans="1:8" s="656" customFormat="1" ht="26.65" hidden="1" customHeight="1" x14ac:dyDescent="0.25">
      <c r="A32" s="639"/>
      <c r="B32" s="639"/>
      <c r="C32" s="640" t="s">
        <v>1520</v>
      </c>
      <c r="D32" s="641">
        <v>20000000</v>
      </c>
      <c r="E32" s="651"/>
      <c r="F32" s="685"/>
      <c r="G32" s="685"/>
      <c r="H32" s="685"/>
    </row>
    <row r="33" spans="1:8" s="632" customFormat="1" ht="26.65" customHeight="1" x14ac:dyDescent="0.25">
      <c r="A33" s="639">
        <v>3</v>
      </c>
      <c r="B33" s="639">
        <v>1912</v>
      </c>
      <c r="C33" s="640" t="s">
        <v>1521</v>
      </c>
      <c r="D33" s="641">
        <f>SUM(D34)/1000</f>
        <v>5000</v>
      </c>
      <c r="E33" s="642"/>
      <c r="F33" s="685"/>
      <c r="G33" s="685">
        <v>5000</v>
      </c>
      <c r="H33" s="685"/>
    </row>
    <row r="34" spans="1:8" s="656" customFormat="1" ht="26.65" hidden="1" customHeight="1" x14ac:dyDescent="0.25">
      <c r="A34" s="639"/>
      <c r="B34" s="639"/>
      <c r="C34" s="640" t="s">
        <v>1522</v>
      </c>
      <c r="D34" s="641">
        <v>5000000</v>
      </c>
      <c r="E34" s="651"/>
      <c r="F34" s="685"/>
      <c r="G34" s="685"/>
      <c r="H34" s="685"/>
    </row>
    <row r="35" spans="1:8" s="632" customFormat="1" ht="26.65" customHeight="1" x14ac:dyDescent="0.25">
      <c r="A35" s="639">
        <v>4</v>
      </c>
      <c r="B35" s="639">
        <v>1913</v>
      </c>
      <c r="C35" s="640" t="s">
        <v>1523</v>
      </c>
      <c r="D35" s="641">
        <f>SUM(D36)/1000</f>
        <v>5000</v>
      </c>
      <c r="E35" s="642"/>
      <c r="F35" s="685"/>
      <c r="G35" s="685">
        <v>5000</v>
      </c>
      <c r="H35" s="685"/>
    </row>
    <row r="36" spans="1:8" s="658" customFormat="1" ht="26.65" hidden="1" customHeight="1" x14ac:dyDescent="0.25">
      <c r="A36" s="639"/>
      <c r="B36" s="639"/>
      <c r="C36" s="640" t="s">
        <v>1522</v>
      </c>
      <c r="D36" s="641">
        <v>5000000</v>
      </c>
      <c r="E36" s="657"/>
      <c r="F36" s="685"/>
      <c r="G36" s="685"/>
      <c r="H36" s="685"/>
    </row>
    <row r="37" spans="1:8" s="632" customFormat="1" ht="26.65" customHeight="1" x14ac:dyDescent="0.25">
      <c r="A37" s="639">
        <v>5</v>
      </c>
      <c r="B37" s="639">
        <v>1914</v>
      </c>
      <c r="C37" s="640" t="s">
        <v>1524</v>
      </c>
      <c r="D37" s="641">
        <f>SUM(D38)/1000</f>
        <v>5000</v>
      </c>
      <c r="E37" s="642"/>
      <c r="F37" s="685"/>
      <c r="G37" s="685">
        <v>5000</v>
      </c>
      <c r="H37" s="685"/>
    </row>
    <row r="38" spans="1:8" s="658" customFormat="1" ht="26.65" hidden="1" customHeight="1" x14ac:dyDescent="0.25">
      <c r="A38" s="639"/>
      <c r="B38" s="639"/>
      <c r="C38" s="640" t="s">
        <v>1522</v>
      </c>
      <c r="D38" s="641">
        <v>5000000</v>
      </c>
      <c r="E38" s="657"/>
      <c r="F38" s="685"/>
      <c r="G38" s="685"/>
      <c r="H38" s="685"/>
    </row>
    <row r="39" spans="1:8" s="632" customFormat="1" ht="26.65" customHeight="1" x14ac:dyDescent="0.25">
      <c r="A39" s="639">
        <v>6</v>
      </c>
      <c r="B39" s="639">
        <v>1915</v>
      </c>
      <c r="C39" s="640" t="s">
        <v>1525</v>
      </c>
      <c r="D39" s="641">
        <f>SUM(D40)/1000</f>
        <v>5000</v>
      </c>
      <c r="E39" s="642"/>
      <c r="F39" s="685"/>
      <c r="G39" s="685">
        <v>5000</v>
      </c>
      <c r="H39" s="685"/>
    </row>
    <row r="40" spans="1:8" s="658" customFormat="1" ht="26.65" hidden="1" customHeight="1" x14ac:dyDescent="0.25">
      <c r="A40" s="639"/>
      <c r="B40" s="639"/>
      <c r="C40" s="640" t="s">
        <v>1522</v>
      </c>
      <c r="D40" s="641">
        <v>5000000</v>
      </c>
      <c r="E40" s="657"/>
      <c r="F40" s="685"/>
      <c r="G40" s="685"/>
      <c r="H40" s="685"/>
    </row>
    <row r="41" spans="1:8" ht="26.65" customHeight="1" x14ac:dyDescent="0.25">
      <c r="A41" s="639">
        <v>7</v>
      </c>
      <c r="B41" s="639">
        <v>1916</v>
      </c>
      <c r="C41" s="651" t="s">
        <v>1526</v>
      </c>
      <c r="D41" s="641">
        <f>SUM(D42:D42)/1000</f>
        <v>7200</v>
      </c>
      <c r="E41" s="642"/>
      <c r="F41" s="685"/>
      <c r="G41" s="685"/>
      <c r="H41" s="685">
        <v>7200</v>
      </c>
    </row>
    <row r="42" spans="1:8" ht="26.65" hidden="1" customHeight="1" x14ac:dyDescent="0.25">
      <c r="A42" s="639"/>
      <c r="B42" s="639"/>
      <c r="C42" s="651" t="s">
        <v>1527</v>
      </c>
      <c r="D42" s="641">
        <v>7200000</v>
      </c>
      <c r="E42" s="643" t="s">
        <v>1528</v>
      </c>
      <c r="F42" s="685"/>
      <c r="G42" s="685"/>
      <c r="H42" s="685"/>
    </row>
    <row r="43" spans="1:8" ht="26.65" customHeight="1" x14ac:dyDescent="0.25">
      <c r="A43" s="639">
        <v>8</v>
      </c>
      <c r="B43" s="639">
        <v>1917</v>
      </c>
      <c r="C43" s="651" t="s">
        <v>1529</v>
      </c>
      <c r="D43" s="641">
        <f>SUM(D44)/1000</f>
        <v>2000</v>
      </c>
      <c r="E43" s="642"/>
      <c r="F43" s="685"/>
      <c r="G43" s="685"/>
      <c r="H43" s="685">
        <v>2000</v>
      </c>
    </row>
    <row r="44" spans="1:8" ht="26.65" hidden="1" customHeight="1" x14ac:dyDescent="0.25">
      <c r="A44" s="639"/>
      <c r="B44" s="639"/>
      <c r="C44" s="651" t="s">
        <v>1530</v>
      </c>
      <c r="D44" s="641">
        <v>2000000</v>
      </c>
      <c r="E44" s="643" t="s">
        <v>1531</v>
      </c>
      <c r="F44" s="685"/>
      <c r="G44" s="685"/>
      <c r="H44" s="685"/>
    </row>
    <row r="45" spans="1:8" s="632" customFormat="1" ht="26.65" customHeight="1" x14ac:dyDescent="0.25">
      <c r="A45" s="639">
        <v>9</v>
      </c>
      <c r="B45" s="639">
        <v>1918</v>
      </c>
      <c r="C45" s="651" t="s">
        <v>1532</v>
      </c>
      <c r="D45" s="641">
        <v>12600</v>
      </c>
      <c r="E45" s="642"/>
      <c r="F45" s="685"/>
      <c r="G45" s="685"/>
      <c r="H45" s="685">
        <v>12600</v>
      </c>
    </row>
    <row r="46" spans="1:8" ht="26.65" customHeight="1" x14ac:dyDescent="0.25">
      <c r="A46" s="659">
        <v>10</v>
      </c>
      <c r="B46" s="659">
        <v>1919</v>
      </c>
      <c r="C46" s="643" t="s">
        <v>1629</v>
      </c>
      <c r="D46" s="650">
        <v>20000</v>
      </c>
      <c r="E46" s="660" t="s">
        <v>1533</v>
      </c>
      <c r="F46" s="685"/>
      <c r="G46" s="685"/>
      <c r="H46" s="685">
        <v>20000</v>
      </c>
    </row>
    <row r="47" spans="1:8" s="661" customFormat="1" ht="26.65" customHeight="1" x14ac:dyDescent="0.25">
      <c r="A47" s="659">
        <v>11</v>
      </c>
      <c r="B47" s="659">
        <v>1920</v>
      </c>
      <c r="C47" s="643" t="s">
        <v>1630</v>
      </c>
      <c r="D47" s="650">
        <f>18347</f>
        <v>18347</v>
      </c>
      <c r="E47" s="660"/>
      <c r="F47" s="685"/>
      <c r="G47" s="685"/>
      <c r="H47" s="685">
        <f>18347</f>
        <v>18347</v>
      </c>
    </row>
    <row r="48" spans="1:8" s="661" customFormat="1" ht="26.65" customHeight="1" x14ac:dyDescent="0.25">
      <c r="A48" s="659">
        <v>12</v>
      </c>
      <c r="B48" s="659">
        <v>1921</v>
      </c>
      <c r="C48" s="643" t="s">
        <v>1645</v>
      </c>
      <c r="D48" s="650">
        <v>10000</v>
      </c>
      <c r="E48" s="660" t="s">
        <v>1534</v>
      </c>
      <c r="F48" s="685"/>
      <c r="G48" s="685"/>
      <c r="H48" s="685">
        <v>10000</v>
      </c>
    </row>
    <row r="49" spans="1:8" s="661" customFormat="1" ht="26.65" customHeight="1" x14ac:dyDescent="0.25">
      <c r="A49" s="659">
        <v>13</v>
      </c>
      <c r="B49" s="659">
        <v>1922</v>
      </c>
      <c r="C49" s="643" t="s">
        <v>1631</v>
      </c>
      <c r="D49" s="650">
        <v>10000</v>
      </c>
      <c r="E49" s="660"/>
      <c r="F49" s="685"/>
      <c r="G49" s="685"/>
      <c r="H49" s="685">
        <v>10000</v>
      </c>
    </row>
    <row r="50" spans="1:8" s="661" customFormat="1" ht="26.65" customHeight="1" x14ac:dyDescent="0.25">
      <c r="A50" s="659">
        <v>14</v>
      </c>
      <c r="B50" s="659"/>
      <c r="C50" s="643" t="s">
        <v>1647</v>
      </c>
      <c r="D50" s="650">
        <f>3810+1500+7535</f>
        <v>12845</v>
      </c>
      <c r="E50" s="660"/>
      <c r="F50" s="687"/>
      <c r="G50" s="688">
        <f>1500+3810+7535</f>
        <v>12845</v>
      </c>
      <c r="H50" s="689"/>
    </row>
    <row r="51" spans="1:8" s="632" customFormat="1" ht="28.5" customHeight="1" x14ac:dyDescent="0.25">
      <c r="A51" s="635" t="s">
        <v>328</v>
      </c>
      <c r="B51" s="635"/>
      <c r="C51" s="636" t="s">
        <v>1535</v>
      </c>
      <c r="D51" s="637">
        <f>SUM(D52,D57,D60,D63,D64)</f>
        <v>304128</v>
      </c>
      <c r="E51" s="638"/>
      <c r="F51" s="680">
        <f>SUM(F52,F57,F60,F63,F64)</f>
        <v>0</v>
      </c>
      <c r="G51" s="680">
        <f>SUM(G52,G57,G60,G63,G64)</f>
        <v>254128</v>
      </c>
      <c r="H51" s="680">
        <f>SUM(H52,H57,H60,H63,H64)</f>
        <v>50000</v>
      </c>
    </row>
    <row r="52" spans="1:8" s="632" customFormat="1" ht="18" customHeight="1" x14ac:dyDescent="0.25">
      <c r="A52" s="639">
        <v>1</v>
      </c>
      <c r="B52" s="639">
        <v>1923</v>
      </c>
      <c r="C52" s="640" t="s">
        <v>1536</v>
      </c>
      <c r="D52" s="641">
        <f>SUM(D53:D56)/1000</f>
        <v>199000</v>
      </c>
      <c r="E52" s="662"/>
      <c r="F52" s="685"/>
      <c r="G52" s="685">
        <v>199000</v>
      </c>
      <c r="H52" s="685"/>
    </row>
    <row r="53" spans="1:8" ht="18" hidden="1" customHeight="1" x14ac:dyDescent="0.25">
      <c r="A53" s="639"/>
      <c r="B53" s="639"/>
      <c r="C53" s="640" t="s">
        <v>1504</v>
      </c>
      <c r="D53" s="641">
        <v>150000000</v>
      </c>
      <c r="F53" s="685"/>
      <c r="G53" s="685"/>
      <c r="H53" s="685"/>
    </row>
    <row r="54" spans="1:8" ht="18" hidden="1" customHeight="1" x14ac:dyDescent="0.25">
      <c r="A54" s="639"/>
      <c r="B54" s="639"/>
      <c r="C54" s="640" t="s">
        <v>1517</v>
      </c>
      <c r="D54" s="641">
        <v>1500000</v>
      </c>
      <c r="F54" s="685"/>
      <c r="G54" s="685"/>
      <c r="H54" s="685"/>
    </row>
    <row r="55" spans="1:8" ht="18" hidden="1" customHeight="1" x14ac:dyDescent="0.25">
      <c r="A55" s="639"/>
      <c r="B55" s="639"/>
      <c r="C55" s="640" t="s">
        <v>1537</v>
      </c>
      <c r="D55" s="641">
        <v>1500000</v>
      </c>
      <c r="F55" s="685"/>
      <c r="G55" s="685"/>
      <c r="H55" s="685"/>
    </row>
    <row r="56" spans="1:8" ht="18" hidden="1" customHeight="1" x14ac:dyDescent="0.25">
      <c r="A56" s="639"/>
      <c r="B56" s="639"/>
      <c r="C56" s="640" t="s">
        <v>1538</v>
      </c>
      <c r="D56" s="641">
        <v>46000000</v>
      </c>
      <c r="E56" s="643" t="s">
        <v>1539</v>
      </c>
      <c r="F56" s="685"/>
      <c r="G56" s="685"/>
      <c r="H56" s="685"/>
    </row>
    <row r="57" spans="1:8" ht="18" customHeight="1" x14ac:dyDescent="0.25">
      <c r="A57" s="639">
        <v>2</v>
      </c>
      <c r="B57" s="639">
        <v>1924</v>
      </c>
      <c r="C57" s="640" t="s">
        <v>1540</v>
      </c>
      <c r="D57" s="641">
        <f>SUM(D58:D59)/1000</f>
        <v>15000</v>
      </c>
      <c r="E57" s="663"/>
      <c r="F57" s="685"/>
      <c r="G57" s="685">
        <v>15000</v>
      </c>
      <c r="H57" s="685"/>
    </row>
    <row r="58" spans="1:8" ht="18" hidden="1" customHeight="1" x14ac:dyDescent="0.25">
      <c r="A58" s="639"/>
      <c r="B58" s="639"/>
      <c r="C58" s="640" t="s">
        <v>1541</v>
      </c>
      <c r="D58" s="641">
        <v>7742000</v>
      </c>
      <c r="E58" s="643" t="s">
        <v>1542</v>
      </c>
      <c r="F58" s="685"/>
      <c r="G58" s="685"/>
      <c r="H58" s="685"/>
    </row>
    <row r="59" spans="1:8" ht="18" hidden="1" customHeight="1" x14ac:dyDescent="0.25">
      <c r="A59" s="639"/>
      <c r="B59" s="639"/>
      <c r="C59" s="640" t="s">
        <v>1543</v>
      </c>
      <c r="D59" s="641">
        <v>7258000</v>
      </c>
      <c r="E59" s="643" t="s">
        <v>1544</v>
      </c>
      <c r="F59" s="685"/>
      <c r="G59" s="685"/>
      <c r="H59" s="685"/>
    </row>
    <row r="60" spans="1:8" s="632" customFormat="1" ht="18" customHeight="1" x14ac:dyDescent="0.25">
      <c r="A60" s="639">
        <v>3</v>
      </c>
      <c r="B60" s="639">
        <v>1925</v>
      </c>
      <c r="C60" s="640" t="s">
        <v>1545</v>
      </c>
      <c r="D60" s="641">
        <f>SUM(D61:D62)/1000</f>
        <v>6600</v>
      </c>
      <c r="E60" s="642"/>
      <c r="F60" s="685"/>
      <c r="G60" s="685">
        <v>6600</v>
      </c>
      <c r="H60" s="685"/>
    </row>
    <row r="61" spans="1:8" ht="18" hidden="1" customHeight="1" x14ac:dyDescent="0.25">
      <c r="A61" s="639"/>
      <c r="B61" s="639"/>
      <c r="C61" s="640" t="s">
        <v>1546</v>
      </c>
      <c r="D61" s="641">
        <v>1600000</v>
      </c>
      <c r="F61" s="685"/>
      <c r="G61" s="685"/>
      <c r="H61" s="685"/>
    </row>
    <row r="62" spans="1:8" ht="18" hidden="1" customHeight="1" x14ac:dyDescent="0.25">
      <c r="A62" s="639"/>
      <c r="B62" s="639"/>
      <c r="C62" s="640" t="s">
        <v>1547</v>
      </c>
      <c r="D62" s="641">
        <v>5000000</v>
      </c>
      <c r="F62" s="685"/>
      <c r="G62" s="685"/>
      <c r="H62" s="685"/>
    </row>
    <row r="63" spans="1:8" s="632" customFormat="1" ht="18" customHeight="1" x14ac:dyDescent="0.25">
      <c r="A63" s="639">
        <v>4</v>
      </c>
      <c r="B63" s="639">
        <v>1926</v>
      </c>
      <c r="C63" s="640" t="s">
        <v>1548</v>
      </c>
      <c r="D63" s="641">
        <v>33528</v>
      </c>
      <c r="E63" s="642"/>
      <c r="F63" s="685"/>
      <c r="G63" s="685">
        <v>33528</v>
      </c>
      <c r="H63" s="685"/>
    </row>
    <row r="64" spans="1:8" x14ac:dyDescent="0.25">
      <c r="A64" s="659">
        <v>5</v>
      </c>
      <c r="B64" s="659">
        <v>1927</v>
      </c>
      <c r="C64" s="644" t="s">
        <v>1632</v>
      </c>
      <c r="D64" s="650">
        <v>50000</v>
      </c>
      <c r="E64" s="649" t="s">
        <v>1549</v>
      </c>
      <c r="F64" s="685"/>
      <c r="G64" s="685"/>
      <c r="H64" s="685">
        <v>50000</v>
      </c>
    </row>
    <row r="65" spans="1:8" s="632" customFormat="1" x14ac:dyDescent="0.25">
      <c r="A65" s="635" t="s">
        <v>1128</v>
      </c>
      <c r="B65" s="635"/>
      <c r="C65" s="636" t="s">
        <v>1138</v>
      </c>
      <c r="D65" s="637">
        <f>SUM(D66,D68,D70,D72,D74)</f>
        <v>69745</v>
      </c>
      <c r="E65" s="638"/>
      <c r="F65" s="680">
        <f>SUM(F66,F68,F70,F72,F74)</f>
        <v>0</v>
      </c>
      <c r="G65" s="680">
        <f>SUM(G66,G68,G70,G72,G74)</f>
        <v>3500</v>
      </c>
      <c r="H65" s="680">
        <f>SUM(H66,H68,H70,H72,H74)</f>
        <v>66245</v>
      </c>
    </row>
    <row r="66" spans="1:8" s="632" customFormat="1" ht="18" customHeight="1" x14ac:dyDescent="0.25">
      <c r="A66" s="639">
        <v>1</v>
      </c>
      <c r="B66" s="639">
        <v>1928</v>
      </c>
      <c r="C66" s="640" t="s">
        <v>1550</v>
      </c>
      <c r="D66" s="641">
        <f>6500000/1000</f>
        <v>6500</v>
      </c>
      <c r="E66" s="642"/>
      <c r="F66" s="685"/>
      <c r="G66" s="685"/>
      <c r="H66" s="685">
        <v>6500</v>
      </c>
    </row>
    <row r="67" spans="1:8" ht="18" hidden="1" customHeight="1" x14ac:dyDescent="0.25">
      <c r="A67" s="639"/>
      <c r="B67" s="639"/>
      <c r="C67" s="640" t="s">
        <v>1504</v>
      </c>
      <c r="D67" s="641"/>
      <c r="E67" s="643" t="s">
        <v>1551</v>
      </c>
      <c r="F67" s="685"/>
      <c r="G67" s="685"/>
      <c r="H67" s="685"/>
    </row>
    <row r="68" spans="1:8" s="632" customFormat="1" ht="18" customHeight="1" x14ac:dyDescent="0.25">
      <c r="A68" s="639">
        <v>2</v>
      </c>
      <c r="B68" s="639">
        <v>1929</v>
      </c>
      <c r="C68" s="640" t="s">
        <v>1552</v>
      </c>
      <c r="D68" s="641">
        <f>SUM(D69)/1000</f>
        <v>3500</v>
      </c>
      <c r="E68" s="642"/>
      <c r="F68" s="685"/>
      <c r="G68" s="685">
        <v>3500</v>
      </c>
      <c r="H68" s="685"/>
    </row>
    <row r="69" spans="1:8" ht="18" hidden="1" customHeight="1" x14ac:dyDescent="0.25">
      <c r="A69" s="639"/>
      <c r="B69" s="639"/>
      <c r="C69" s="640" t="s">
        <v>1504</v>
      </c>
      <c r="D69" s="641">
        <v>3500000</v>
      </c>
      <c r="E69" s="651" t="s">
        <v>1500</v>
      </c>
      <c r="F69" s="685"/>
      <c r="G69" s="685"/>
      <c r="H69" s="685"/>
    </row>
    <row r="70" spans="1:8" ht="18" customHeight="1" x14ac:dyDescent="0.25">
      <c r="A70" s="639">
        <v>3</v>
      </c>
      <c r="B70" s="639">
        <v>1930</v>
      </c>
      <c r="C70" s="640" t="s">
        <v>1553</v>
      </c>
      <c r="D70" s="641">
        <f>SUM(D71)/1000</f>
        <v>13000</v>
      </c>
      <c r="E70" s="642"/>
      <c r="F70" s="685"/>
      <c r="G70" s="685"/>
      <c r="H70" s="685">
        <v>13000</v>
      </c>
    </row>
    <row r="71" spans="1:8" ht="18" hidden="1" customHeight="1" x14ac:dyDescent="0.25">
      <c r="A71" s="639"/>
      <c r="B71" s="639"/>
      <c r="C71" s="640" t="s">
        <v>1504</v>
      </c>
      <c r="D71" s="641">
        <v>13000000</v>
      </c>
      <c r="E71" s="651" t="s">
        <v>1554</v>
      </c>
      <c r="F71" s="685"/>
      <c r="G71" s="685"/>
      <c r="H71" s="685"/>
    </row>
    <row r="72" spans="1:8" ht="18" customHeight="1" x14ac:dyDescent="0.25">
      <c r="A72" s="639">
        <v>4</v>
      </c>
      <c r="B72" s="639">
        <v>1931</v>
      </c>
      <c r="C72" s="640" t="s">
        <v>1555</v>
      </c>
      <c r="D72" s="641">
        <v>18300</v>
      </c>
      <c r="E72" s="664" t="s">
        <v>1556</v>
      </c>
      <c r="F72" s="685"/>
      <c r="G72" s="685"/>
      <c r="H72" s="685">
        <v>18300</v>
      </c>
    </row>
    <row r="73" spans="1:8" ht="18" hidden="1" customHeight="1" x14ac:dyDescent="0.25">
      <c r="A73" s="639"/>
      <c r="B73" s="639"/>
      <c r="C73" s="640" t="s">
        <v>1504</v>
      </c>
      <c r="D73" s="641">
        <v>8000000</v>
      </c>
      <c r="E73" s="651" t="s">
        <v>1557</v>
      </c>
      <c r="F73" s="685"/>
      <c r="G73" s="685"/>
      <c r="H73" s="685"/>
    </row>
    <row r="74" spans="1:8" ht="18" customHeight="1" x14ac:dyDescent="0.25">
      <c r="A74" s="639">
        <v>5</v>
      </c>
      <c r="B74" s="639">
        <v>1932</v>
      </c>
      <c r="C74" s="640" t="s">
        <v>1633</v>
      </c>
      <c r="D74" s="641">
        <v>28445</v>
      </c>
      <c r="E74" s="642"/>
      <c r="F74" s="685"/>
      <c r="G74" s="685"/>
      <c r="H74" s="685">
        <v>28445</v>
      </c>
    </row>
    <row r="75" spans="1:8" hidden="1" x14ac:dyDescent="0.25">
      <c r="D75" s="650">
        <v>9500000</v>
      </c>
      <c r="E75" s="651" t="s">
        <v>1558</v>
      </c>
    </row>
    <row r="76" spans="1:8" s="632" customFormat="1" x14ac:dyDescent="0.25">
      <c r="A76" s="635" t="s">
        <v>1175</v>
      </c>
      <c r="B76" s="635"/>
      <c r="C76" s="636" t="s">
        <v>1559</v>
      </c>
      <c r="D76" s="637">
        <f>SUM(D77,D79,D81,D82,D84,D86,D88,D89,D90)</f>
        <v>155900</v>
      </c>
      <c r="E76" s="638"/>
      <c r="F76" s="680">
        <f>SUM(F77,F79,F81,F82,F84,F86,F88,F89,F90)</f>
        <v>900</v>
      </c>
      <c r="G76" s="680">
        <f>SUM(G77,G79,G81,G82,G84,G86,G88,G89,G90)</f>
        <v>100000</v>
      </c>
      <c r="H76" s="680">
        <f>SUM(H77,H79,H81,H82,H84,H86,H88,H89,H90)</f>
        <v>55000</v>
      </c>
    </row>
    <row r="77" spans="1:8" s="632" customFormat="1" ht="31.9" customHeight="1" x14ac:dyDescent="0.25">
      <c r="A77" s="639">
        <v>1</v>
      </c>
      <c r="B77" s="639">
        <v>1933</v>
      </c>
      <c r="C77" s="640" t="s">
        <v>1560</v>
      </c>
      <c r="D77" s="641">
        <f>SUM(D78)/1000</f>
        <v>9000</v>
      </c>
      <c r="E77" s="642"/>
      <c r="F77" s="685"/>
      <c r="G77" s="685"/>
      <c r="H77" s="685">
        <v>9000</v>
      </c>
    </row>
    <row r="78" spans="1:8" s="656" customFormat="1" hidden="1" x14ac:dyDescent="0.25">
      <c r="A78" s="639"/>
      <c r="B78" s="639"/>
      <c r="C78" s="640" t="s">
        <v>1561</v>
      </c>
      <c r="D78" s="641">
        <v>9000000</v>
      </c>
      <c r="E78" s="651"/>
      <c r="F78" s="685"/>
      <c r="G78" s="685"/>
      <c r="H78" s="685"/>
    </row>
    <row r="79" spans="1:8" s="656" customFormat="1" ht="18" customHeight="1" x14ac:dyDescent="0.25">
      <c r="A79" s="639">
        <v>2</v>
      </c>
      <c r="B79" s="639">
        <v>1934</v>
      </c>
      <c r="C79" s="640" t="s">
        <v>1562</v>
      </c>
      <c r="D79" s="641">
        <f>SUM(D80)/1000</f>
        <v>12000</v>
      </c>
      <c r="E79" s="642"/>
      <c r="F79" s="685"/>
      <c r="G79" s="685"/>
      <c r="H79" s="685">
        <v>12000</v>
      </c>
    </row>
    <row r="80" spans="1:8" s="656" customFormat="1" hidden="1" x14ac:dyDescent="0.25">
      <c r="A80" s="639"/>
      <c r="B80" s="639"/>
      <c r="C80" s="640" t="s">
        <v>1504</v>
      </c>
      <c r="D80" s="641">
        <v>12000000</v>
      </c>
      <c r="E80" s="651" t="s">
        <v>1563</v>
      </c>
      <c r="F80" s="685"/>
      <c r="G80" s="685"/>
      <c r="H80" s="685"/>
    </row>
    <row r="81" spans="1:8" s="658" customFormat="1" ht="18" customHeight="1" x14ac:dyDescent="0.25">
      <c r="A81" s="639">
        <v>3</v>
      </c>
      <c r="B81" s="639">
        <v>1935</v>
      </c>
      <c r="C81" s="640" t="s">
        <v>1564</v>
      </c>
      <c r="D81" s="641">
        <v>2500</v>
      </c>
      <c r="E81" s="642"/>
      <c r="F81" s="685"/>
      <c r="G81" s="685"/>
      <c r="H81" s="685">
        <v>2500</v>
      </c>
    </row>
    <row r="82" spans="1:8" s="658" customFormat="1" ht="18" customHeight="1" x14ac:dyDescent="0.25">
      <c r="A82" s="639">
        <v>4</v>
      </c>
      <c r="B82" s="639">
        <v>1936</v>
      </c>
      <c r="C82" s="640" t="s">
        <v>1565</v>
      </c>
      <c r="D82" s="641">
        <v>3500</v>
      </c>
      <c r="E82" s="642"/>
      <c r="F82" s="685"/>
      <c r="G82" s="685"/>
      <c r="H82" s="685">
        <v>3500</v>
      </c>
    </row>
    <row r="83" spans="1:8" s="656" customFormat="1" hidden="1" x14ac:dyDescent="0.25">
      <c r="A83" s="639"/>
      <c r="B83" s="639"/>
      <c r="C83" s="640" t="s">
        <v>1493</v>
      </c>
      <c r="D83" s="641"/>
      <c r="E83" s="643"/>
      <c r="F83" s="685"/>
      <c r="G83" s="685"/>
      <c r="H83" s="685"/>
    </row>
    <row r="84" spans="1:8" s="658" customFormat="1" ht="27.2" customHeight="1" x14ac:dyDescent="0.25">
      <c r="A84" s="639">
        <v>5</v>
      </c>
      <c r="B84" s="639">
        <v>1937</v>
      </c>
      <c r="C84" s="640" t="s">
        <v>1646</v>
      </c>
      <c r="D84" s="641">
        <f>SUM(D85)/1000</f>
        <v>900</v>
      </c>
      <c r="E84" s="642"/>
      <c r="F84" s="685">
        <v>900</v>
      </c>
      <c r="G84" s="685"/>
      <c r="H84" s="685"/>
    </row>
    <row r="85" spans="1:8" s="656" customFormat="1" hidden="1" x14ac:dyDescent="0.25">
      <c r="A85" s="639"/>
      <c r="B85" s="639"/>
      <c r="C85" s="640" t="s">
        <v>1504</v>
      </c>
      <c r="D85" s="641">
        <v>900000</v>
      </c>
      <c r="E85" s="643" t="s">
        <v>1566</v>
      </c>
      <c r="F85" s="685"/>
      <c r="G85" s="685"/>
      <c r="H85" s="685"/>
    </row>
    <row r="86" spans="1:8" s="658" customFormat="1" ht="18" customHeight="1" x14ac:dyDescent="0.25">
      <c r="A86" s="639">
        <v>6</v>
      </c>
      <c r="B86" s="639">
        <v>1938</v>
      </c>
      <c r="C86" s="640" t="s">
        <v>1567</v>
      </c>
      <c r="D86" s="641">
        <v>14000</v>
      </c>
      <c r="E86" s="642"/>
      <c r="F86" s="685"/>
      <c r="G86" s="685"/>
      <c r="H86" s="685">
        <v>14000</v>
      </c>
    </row>
    <row r="87" spans="1:8" s="656" customFormat="1" ht="31.5" hidden="1" x14ac:dyDescent="0.25">
      <c r="A87" s="639"/>
      <c r="B87" s="639"/>
      <c r="C87" s="640" t="s">
        <v>1504</v>
      </c>
      <c r="D87" s="641"/>
      <c r="E87" s="643" t="s">
        <v>1568</v>
      </c>
      <c r="F87" s="685"/>
      <c r="G87" s="685"/>
      <c r="H87" s="685"/>
    </row>
    <row r="88" spans="1:8" s="656" customFormat="1" ht="19.7" customHeight="1" x14ac:dyDescent="0.25">
      <c r="A88" s="639">
        <v>7</v>
      </c>
      <c r="B88" s="639">
        <v>1939</v>
      </c>
      <c r="C88" s="640" t="s">
        <v>1569</v>
      </c>
      <c r="D88" s="641">
        <v>9000</v>
      </c>
      <c r="E88" s="642"/>
      <c r="F88" s="685"/>
      <c r="G88" s="685"/>
      <c r="H88" s="685">
        <v>9000</v>
      </c>
    </row>
    <row r="89" spans="1:8" s="656" customFormat="1" ht="27.95" customHeight="1" x14ac:dyDescent="0.25">
      <c r="A89" s="639">
        <v>8</v>
      </c>
      <c r="B89" s="639">
        <v>1940</v>
      </c>
      <c r="C89" s="640" t="s">
        <v>1634</v>
      </c>
      <c r="D89" s="641">
        <v>100000</v>
      </c>
      <c r="E89" s="642"/>
      <c r="F89" s="685"/>
      <c r="G89" s="685">
        <v>100000</v>
      </c>
      <c r="H89" s="685"/>
    </row>
    <row r="90" spans="1:8" s="656" customFormat="1" ht="18" customHeight="1" x14ac:dyDescent="0.25">
      <c r="A90" s="639">
        <v>9</v>
      </c>
      <c r="B90" s="639">
        <v>1941</v>
      </c>
      <c r="C90" s="640" t="s">
        <v>1635</v>
      </c>
      <c r="D90" s="641">
        <v>5000</v>
      </c>
      <c r="E90" s="642"/>
      <c r="F90" s="685"/>
      <c r="G90" s="685"/>
      <c r="H90" s="685">
        <v>5000</v>
      </c>
    </row>
    <row r="91" spans="1:8" s="656" customFormat="1" hidden="1" x14ac:dyDescent="0.25">
      <c r="A91" s="639"/>
      <c r="B91" s="639"/>
      <c r="C91" s="640"/>
      <c r="D91" s="641"/>
      <c r="E91" s="643"/>
      <c r="F91" s="674"/>
      <c r="G91" s="674"/>
      <c r="H91" s="674"/>
    </row>
    <row r="92" spans="1:8" s="632" customFormat="1" x14ac:dyDescent="0.25">
      <c r="A92" s="635" t="s">
        <v>1176</v>
      </c>
      <c r="B92" s="635"/>
      <c r="C92" s="636" t="s">
        <v>1570</v>
      </c>
      <c r="D92" s="637" t="e">
        <f>SUM(D93:D94)</f>
        <v>#REF!</v>
      </c>
      <c r="E92" s="638"/>
      <c r="F92" s="680">
        <f>SUM(F93:F94)</f>
        <v>0</v>
      </c>
      <c r="G92" s="680">
        <f>SUM(G93:G94)</f>
        <v>0</v>
      </c>
      <c r="H92" s="680">
        <f>SUM(H93:H94)</f>
        <v>113090</v>
      </c>
    </row>
    <row r="93" spans="1:8" s="632" customFormat="1" x14ac:dyDescent="0.25">
      <c r="A93" s="665"/>
      <c r="B93" s="665"/>
      <c r="C93" s="640" t="s">
        <v>993</v>
      </c>
      <c r="D93" s="641" t="e">
        <f>+'2E VÉA'!#REF!</f>
        <v>#REF!</v>
      </c>
      <c r="E93" s="638"/>
      <c r="F93" s="685"/>
      <c r="G93" s="685"/>
      <c r="H93" s="685">
        <v>88980</v>
      </c>
    </row>
    <row r="94" spans="1:8" s="658" customFormat="1" x14ac:dyDescent="0.25">
      <c r="A94" s="665"/>
      <c r="B94" s="665"/>
      <c r="C94" s="640" t="s">
        <v>1653</v>
      </c>
      <c r="D94" s="641">
        <v>24110</v>
      </c>
      <c r="E94" s="657"/>
      <c r="F94" s="685"/>
      <c r="G94" s="685"/>
      <c r="H94" s="685">
        <v>24110</v>
      </c>
    </row>
    <row r="95" spans="1:8" ht="25.15" customHeight="1" x14ac:dyDescent="0.25">
      <c r="A95" s="635" t="s">
        <v>1571</v>
      </c>
      <c r="B95" s="635"/>
      <c r="C95" s="636" t="s">
        <v>1572</v>
      </c>
      <c r="D95" s="637">
        <f>SUM(D96,D99,D101,D107,D109)</f>
        <v>35000</v>
      </c>
      <c r="E95" s="638"/>
      <c r="F95" s="680">
        <f>SUM(F96,F99,F101,F107,F109)</f>
        <v>25500</v>
      </c>
      <c r="G95" s="680">
        <f>SUM(G96,G99,G101,G107,G109)</f>
        <v>9500</v>
      </c>
      <c r="H95" s="680">
        <f>SUM(H96,H99,H101,H107,H109)</f>
        <v>0</v>
      </c>
    </row>
    <row r="96" spans="1:8" ht="18" customHeight="1" x14ac:dyDescent="0.25">
      <c r="A96" s="639">
        <v>1</v>
      </c>
      <c r="B96" s="639">
        <v>1942</v>
      </c>
      <c r="C96" s="640" t="s">
        <v>1573</v>
      </c>
      <c r="D96" s="641">
        <f>SUM(D97:D98)/1000</f>
        <v>4000</v>
      </c>
      <c r="E96" s="642"/>
      <c r="F96" s="685">
        <v>4000</v>
      </c>
      <c r="G96" s="685"/>
      <c r="H96" s="685"/>
    </row>
    <row r="97" spans="1:8" ht="110.25" hidden="1" x14ac:dyDescent="0.25">
      <c r="A97" s="639"/>
      <c r="B97" s="639"/>
      <c r="C97" s="640" t="s">
        <v>1574</v>
      </c>
      <c r="D97" s="641">
        <v>2000000</v>
      </c>
      <c r="E97" s="643" t="s">
        <v>1575</v>
      </c>
      <c r="F97" s="685"/>
      <c r="G97" s="685"/>
      <c r="H97" s="685"/>
    </row>
    <row r="98" spans="1:8" ht="141.75" hidden="1" x14ac:dyDescent="0.25">
      <c r="A98" s="639"/>
      <c r="B98" s="639"/>
      <c r="C98" s="640" t="s">
        <v>1576</v>
      </c>
      <c r="D98" s="641">
        <v>2000000</v>
      </c>
      <c r="E98" s="666" t="s">
        <v>1577</v>
      </c>
      <c r="F98" s="685"/>
      <c r="G98" s="685"/>
      <c r="H98" s="685"/>
    </row>
    <row r="99" spans="1:8" s="632" customFormat="1" ht="18" customHeight="1" x14ac:dyDescent="0.25">
      <c r="A99" s="639">
        <v>2</v>
      </c>
      <c r="B99" s="639">
        <v>1943</v>
      </c>
      <c r="C99" s="640" t="s">
        <v>1578</v>
      </c>
      <c r="D99" s="641">
        <f>SUM(D100)/1000</f>
        <v>1500</v>
      </c>
      <c r="E99" s="642"/>
      <c r="F99" s="685">
        <v>1500</v>
      </c>
      <c r="G99" s="685"/>
      <c r="H99" s="685"/>
    </row>
    <row r="100" spans="1:8" s="658" customFormat="1" ht="63" hidden="1" x14ac:dyDescent="0.25">
      <c r="A100" s="639"/>
      <c r="B100" s="639"/>
      <c r="C100" s="640" t="s">
        <v>1579</v>
      </c>
      <c r="D100" s="641">
        <v>1500000</v>
      </c>
      <c r="E100" s="643" t="s">
        <v>1580</v>
      </c>
      <c r="F100" s="685"/>
      <c r="G100" s="685"/>
      <c r="H100" s="685"/>
    </row>
    <row r="101" spans="1:8" s="658" customFormat="1" ht="18" customHeight="1" x14ac:dyDescent="0.25">
      <c r="A101" s="639">
        <v>3</v>
      </c>
      <c r="B101" s="639">
        <v>1944</v>
      </c>
      <c r="C101" s="667" t="s">
        <v>1581</v>
      </c>
      <c r="D101" s="641">
        <v>25000</v>
      </c>
      <c r="E101" s="663"/>
      <c r="F101" s="685">
        <v>20000</v>
      </c>
      <c r="G101" s="685">
        <v>5000</v>
      </c>
      <c r="H101" s="685"/>
    </row>
    <row r="102" spans="1:8" s="658" customFormat="1" ht="31.5" hidden="1" x14ac:dyDescent="0.25">
      <c r="A102" s="639"/>
      <c r="B102" s="639"/>
      <c r="C102" s="640" t="s">
        <v>1582</v>
      </c>
      <c r="D102" s="641">
        <v>3000000</v>
      </c>
      <c r="E102" s="643" t="s">
        <v>1583</v>
      </c>
      <c r="F102" s="685"/>
      <c r="G102" s="685"/>
      <c r="H102" s="685"/>
    </row>
    <row r="103" spans="1:8" s="658" customFormat="1" ht="47.25" hidden="1" x14ac:dyDescent="0.25">
      <c r="A103" s="639"/>
      <c r="B103" s="639"/>
      <c r="C103" s="640" t="s">
        <v>1584</v>
      </c>
      <c r="D103" s="641">
        <v>3000000</v>
      </c>
      <c r="E103" s="643" t="s">
        <v>1585</v>
      </c>
      <c r="F103" s="685"/>
      <c r="G103" s="685"/>
      <c r="H103" s="685"/>
    </row>
    <row r="104" spans="1:8" s="658" customFormat="1" ht="157.5" hidden="1" x14ac:dyDescent="0.25">
      <c r="A104" s="639"/>
      <c r="B104" s="639"/>
      <c r="C104" s="640" t="s">
        <v>1586</v>
      </c>
      <c r="D104" s="641">
        <v>5000000</v>
      </c>
      <c r="E104" s="643" t="s">
        <v>1587</v>
      </c>
      <c r="F104" s="685"/>
      <c r="G104" s="685"/>
      <c r="H104" s="685"/>
    </row>
    <row r="105" spans="1:8" s="658" customFormat="1" ht="31.5" hidden="1" x14ac:dyDescent="0.25">
      <c r="A105" s="639"/>
      <c r="B105" s="639"/>
      <c r="C105" s="640" t="s">
        <v>1588</v>
      </c>
      <c r="D105" s="641">
        <v>1000000</v>
      </c>
      <c r="E105" s="643" t="s">
        <v>1589</v>
      </c>
      <c r="F105" s="685"/>
      <c r="G105" s="685"/>
      <c r="H105" s="685"/>
    </row>
    <row r="106" spans="1:8" s="658" customFormat="1" ht="252" hidden="1" x14ac:dyDescent="0.25">
      <c r="A106" s="639"/>
      <c r="B106" s="639"/>
      <c r="C106" s="640" t="s">
        <v>1590</v>
      </c>
      <c r="D106" s="641">
        <v>3000000</v>
      </c>
      <c r="E106" s="668" t="s">
        <v>1591</v>
      </c>
      <c r="F106" s="685"/>
      <c r="G106" s="685"/>
      <c r="H106" s="685"/>
    </row>
    <row r="107" spans="1:8" s="658" customFormat="1" ht="18" customHeight="1" x14ac:dyDescent="0.25">
      <c r="A107" s="639">
        <v>4</v>
      </c>
      <c r="B107" s="639">
        <v>1945</v>
      </c>
      <c r="C107" s="667" t="s">
        <v>1592</v>
      </c>
      <c r="D107" s="641">
        <f>SUM(D108)/1000</f>
        <v>3500</v>
      </c>
      <c r="E107" s="669"/>
      <c r="F107" s="685"/>
      <c r="G107" s="685">
        <v>3500</v>
      </c>
      <c r="H107" s="685"/>
    </row>
    <row r="108" spans="1:8" s="658" customFormat="1" ht="47.25" hidden="1" x14ac:dyDescent="0.25">
      <c r="A108" s="639"/>
      <c r="B108" s="639"/>
      <c r="C108" s="640" t="s">
        <v>1593</v>
      </c>
      <c r="D108" s="641">
        <v>3500000</v>
      </c>
      <c r="E108" s="643" t="s">
        <v>1594</v>
      </c>
      <c r="F108" s="685"/>
      <c r="G108" s="685"/>
      <c r="H108" s="685"/>
    </row>
    <row r="109" spans="1:8" s="658" customFormat="1" ht="18" customHeight="1" x14ac:dyDescent="0.25">
      <c r="A109" s="639">
        <v>5</v>
      </c>
      <c r="B109" s="639">
        <v>1946</v>
      </c>
      <c r="C109" s="667" t="s">
        <v>1595</v>
      </c>
      <c r="D109" s="641">
        <v>1000</v>
      </c>
      <c r="E109" s="669"/>
      <c r="F109" s="685"/>
      <c r="G109" s="685">
        <v>1000</v>
      </c>
      <c r="H109" s="685"/>
    </row>
    <row r="110" spans="1:8" s="658" customFormat="1" x14ac:dyDescent="0.25">
      <c r="A110" s="639"/>
      <c r="B110" s="639"/>
      <c r="C110" s="649"/>
      <c r="D110" s="641"/>
      <c r="E110" s="643"/>
      <c r="F110" s="685"/>
      <c r="G110" s="685"/>
      <c r="H110" s="685"/>
    </row>
    <row r="111" spans="1:8" s="658" customFormat="1" x14ac:dyDescent="0.25">
      <c r="A111" s="635" t="s">
        <v>1596</v>
      </c>
      <c r="B111" s="635"/>
      <c r="C111" s="636" t="s">
        <v>1597</v>
      </c>
      <c r="D111" s="637">
        <f>SUM(D112:D117)</f>
        <v>77000</v>
      </c>
      <c r="E111" s="638"/>
      <c r="F111" s="680">
        <f>SUM(F112:F117)</f>
        <v>0</v>
      </c>
      <c r="G111" s="680">
        <f>SUM(G112:G117)</f>
        <v>77000</v>
      </c>
      <c r="H111" s="680">
        <f>SUM(H112:H117)</f>
        <v>0</v>
      </c>
    </row>
    <row r="112" spans="1:8" s="658" customFormat="1" ht="18" customHeight="1" x14ac:dyDescent="0.25">
      <c r="A112" s="665"/>
      <c r="B112" s="639">
        <v>1947</v>
      </c>
      <c r="C112" s="649" t="s">
        <v>1598</v>
      </c>
      <c r="D112" s="641">
        <f>40000000/1000</f>
        <v>40000</v>
      </c>
      <c r="E112" s="643" t="s">
        <v>1599</v>
      </c>
      <c r="F112" s="685"/>
      <c r="G112" s="685">
        <v>40000</v>
      </c>
      <c r="H112" s="685"/>
    </row>
    <row r="113" spans="1:8" s="658" customFormat="1" ht="18" customHeight="1" x14ac:dyDescent="0.25">
      <c r="A113" s="665"/>
      <c r="B113" s="639">
        <v>1948</v>
      </c>
      <c r="C113" s="649" t="s">
        <v>1600</v>
      </c>
      <c r="D113" s="641">
        <f>15000000/1000</f>
        <v>15000</v>
      </c>
      <c r="E113" s="668" t="s">
        <v>1601</v>
      </c>
      <c r="F113" s="685"/>
      <c r="G113" s="685">
        <v>15000</v>
      </c>
      <c r="H113" s="685"/>
    </row>
    <row r="114" spans="1:8" s="658" customFormat="1" ht="18" customHeight="1" x14ac:dyDescent="0.25">
      <c r="A114" s="665"/>
      <c r="B114" s="639">
        <v>1949</v>
      </c>
      <c r="C114" s="649" t="s">
        <v>1602</v>
      </c>
      <c r="D114" s="641">
        <f>5000000/1000</f>
        <v>5000</v>
      </c>
      <c r="E114" s="668" t="s">
        <v>1603</v>
      </c>
      <c r="F114" s="685"/>
      <c r="G114" s="685">
        <v>5000</v>
      </c>
      <c r="H114" s="685"/>
    </row>
    <row r="115" spans="1:8" s="658" customFormat="1" ht="18" customHeight="1" x14ac:dyDescent="0.25">
      <c r="A115" s="665"/>
      <c r="B115" s="639">
        <v>1950</v>
      </c>
      <c r="C115" s="649" t="s">
        <v>1604</v>
      </c>
      <c r="D115" s="641">
        <f>10000000/1000</f>
        <v>10000</v>
      </c>
      <c r="E115" s="643" t="s">
        <v>1605</v>
      </c>
      <c r="F115" s="685"/>
      <c r="G115" s="685">
        <v>10000</v>
      </c>
      <c r="H115" s="685"/>
    </row>
    <row r="116" spans="1:8" s="658" customFormat="1" ht="18" customHeight="1" x14ac:dyDescent="0.25">
      <c r="A116" s="665"/>
      <c r="B116" s="639">
        <v>1951</v>
      </c>
      <c r="C116" s="649" t="s">
        <v>1606</v>
      </c>
      <c r="D116" s="641">
        <f>5000000/1000</f>
        <v>5000</v>
      </c>
      <c r="E116" s="643" t="s">
        <v>1607</v>
      </c>
      <c r="F116" s="685"/>
      <c r="G116" s="685">
        <v>5000</v>
      </c>
      <c r="H116" s="685"/>
    </row>
    <row r="117" spans="1:8" s="658" customFormat="1" ht="18" customHeight="1" x14ac:dyDescent="0.25">
      <c r="A117" s="665"/>
      <c r="B117" s="639">
        <v>1952</v>
      </c>
      <c r="C117" s="649" t="s">
        <v>1608</v>
      </c>
      <c r="D117" s="641">
        <f>2000000/1000</f>
        <v>2000</v>
      </c>
      <c r="E117" s="643"/>
      <c r="F117" s="685"/>
      <c r="G117" s="685">
        <v>2000</v>
      </c>
      <c r="H117" s="685"/>
    </row>
    <row r="118" spans="1:8" x14ac:dyDescent="0.25">
      <c r="F118" s="685"/>
      <c r="G118" s="685"/>
      <c r="H118" s="685"/>
    </row>
    <row r="119" spans="1:8" x14ac:dyDescent="0.25">
      <c r="A119" s="1010" t="s">
        <v>1650</v>
      </c>
      <c r="B119" s="1011"/>
      <c r="C119" s="1012"/>
      <c r="D119" s="676" t="e">
        <f>+D4+D25+D51+D65+D76+D92+D95+D111</f>
        <v>#REF!</v>
      </c>
      <c r="E119" s="677"/>
      <c r="F119" s="678">
        <f>+F4+F25+F51+F65+F76+F92+F95+F111</f>
        <v>26400</v>
      </c>
      <c r="G119" s="678">
        <f>+G4+G25+G51+G65+G76+G92+G95+G111</f>
        <v>904481</v>
      </c>
      <c r="H119" s="678">
        <f>+H4+H25+H51+H65+H76+H92+H95+H111</f>
        <v>433382</v>
      </c>
    </row>
    <row r="120" spans="1:8" x14ac:dyDescent="0.25">
      <c r="F120" s="685"/>
      <c r="G120" s="685"/>
      <c r="H120" s="685"/>
    </row>
    <row r="121" spans="1:8" x14ac:dyDescent="0.25">
      <c r="A121" s="635" t="s">
        <v>1648</v>
      </c>
      <c r="B121" s="635"/>
      <c r="C121" s="636" t="s">
        <v>1649</v>
      </c>
      <c r="D121" s="637">
        <f>+'3A PH'!F45+'4A Walla'!E42+'4B Nyitnikék'!E42+'4C Bóbita'!E42+'4D MMMH'!E42+'4E Könyvtár'!E42+'4F Segítő Kéz'!E42+'4G Szérüskert'!E42+'4H VG bev kiad'!E42</f>
        <v>19236000</v>
      </c>
      <c r="E121" s="638"/>
      <c r="F121" s="680"/>
      <c r="G121" s="680">
        <f>+'3A PH'!F46+'5 GSZNR fel'!E13+'5 GSZNR fel'!E46+'5 GSZNR fel'!E63+'5 GSZNR fel'!E93+'5 GSZNR fel'!E107+'5 GSZNR fel'!E115+'5 GSZNR fel'!E141+'5 GSZNR fel'!E165+'5 GSZNR fel'!E177+'5 GSZNR fel'!E182+'5 GSZNR fel'!E192</f>
        <v>14096000</v>
      </c>
      <c r="H121" s="680">
        <f>+'5 GSZNR fel'!E64</f>
        <v>0</v>
      </c>
    </row>
    <row r="123" spans="1:8" x14ac:dyDescent="0.25">
      <c r="A123" s="1010" t="s">
        <v>1651</v>
      </c>
      <c r="B123" s="1011"/>
      <c r="C123" s="1012"/>
      <c r="D123" s="676" t="e">
        <f>+D119+D121</f>
        <v>#REF!</v>
      </c>
      <c r="F123" s="678">
        <f>+F119+F121</f>
        <v>26400</v>
      </c>
      <c r="G123" s="678">
        <f>+G119+G121</f>
        <v>15000481</v>
      </c>
      <c r="H123" s="678">
        <f>+H119+H121</f>
        <v>433382</v>
      </c>
    </row>
  </sheetData>
  <mergeCells count="4">
    <mergeCell ref="A1:E1"/>
    <mergeCell ref="B3:B4"/>
    <mergeCell ref="A119:C119"/>
    <mergeCell ref="A123:C123"/>
  </mergeCells>
  <printOptions horizontalCentered="1"/>
  <pageMargins left="0.70866141732283472" right="0.70866141732283472" top="0.38" bottom="0.26" header="0.17" footer="0.17"/>
  <pageSetup paperSize="8" scale="75" orientation="portrait" r:id="rId1"/>
  <headerFooter>
    <oddHeader>&amp;L7.  melléklet a ...../2019. (.......) önkormányzati rendelethez</oddHead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I7"/>
  <sheetViews>
    <sheetView view="pageBreakPreview" zoomScale="80" zoomScaleNormal="100" zoomScaleSheetLayoutView="80" workbookViewId="0">
      <selection activeCell="D11" sqref="D11"/>
    </sheetView>
  </sheetViews>
  <sheetFormatPr defaultRowHeight="15" x14ac:dyDescent="0.25"/>
  <cols>
    <col min="1" max="1" width="20.28515625" customWidth="1"/>
    <col min="2" max="2" width="14.7109375" style="246" bestFit="1" customWidth="1"/>
    <col min="3" max="3" width="16.28515625" style="246" customWidth="1"/>
    <col min="4" max="4" width="14.7109375" style="246" bestFit="1" customWidth="1"/>
    <col min="5" max="5" width="15.7109375" style="246" customWidth="1"/>
    <col min="6" max="6" width="14.7109375" style="246" bestFit="1" customWidth="1"/>
    <col min="7" max="7" width="13.28515625" style="246" customWidth="1"/>
    <col min="8" max="8" width="15.7109375" style="246" bestFit="1" customWidth="1"/>
    <col min="9" max="9" width="17" style="247" bestFit="1" customWidth="1"/>
  </cols>
  <sheetData>
    <row r="1" spans="1:9" x14ac:dyDescent="0.25">
      <c r="I1" s="247" t="s">
        <v>1206</v>
      </c>
    </row>
    <row r="2" spans="1:9" ht="21.4" customHeight="1" x14ac:dyDescent="0.25">
      <c r="A2" s="1013" t="s">
        <v>1207</v>
      </c>
      <c r="B2" s="1014" t="s">
        <v>470</v>
      </c>
      <c r="C2" s="1014"/>
      <c r="D2" s="1014"/>
      <c r="E2" s="1014" t="s">
        <v>583</v>
      </c>
      <c r="F2" s="1014"/>
      <c r="G2" s="1014"/>
      <c r="H2" s="1014"/>
      <c r="I2" s="1014"/>
    </row>
    <row r="3" spans="1:9" ht="30" x14ac:dyDescent="0.25">
      <c r="A3" s="1013"/>
      <c r="B3" s="248" t="s">
        <v>1208</v>
      </c>
      <c r="C3" s="248" t="s">
        <v>1209</v>
      </c>
      <c r="D3" s="249" t="s">
        <v>1210</v>
      </c>
      <c r="E3" s="248" t="s">
        <v>1211</v>
      </c>
      <c r="F3" s="248" t="s">
        <v>1715</v>
      </c>
      <c r="G3" s="248" t="s">
        <v>1212</v>
      </c>
      <c r="H3" s="248" t="s">
        <v>1213</v>
      </c>
      <c r="I3" s="248" t="s">
        <v>1214</v>
      </c>
    </row>
    <row r="4" spans="1:9" ht="31.9" hidden="1" customHeight="1" x14ac:dyDescent="0.25">
      <c r="A4" s="250" t="s">
        <v>1215</v>
      </c>
      <c r="B4" s="251"/>
      <c r="C4" s="251"/>
      <c r="D4" s="252"/>
      <c r="E4" s="251"/>
      <c r="F4" s="252"/>
      <c r="G4" s="251"/>
      <c r="H4" s="251"/>
      <c r="I4" s="253">
        <f>SUM(E4:G4)</f>
        <v>0</v>
      </c>
    </row>
    <row r="5" spans="1:9" ht="30.4" customHeight="1" x14ac:dyDescent="0.25">
      <c r="A5" s="1015"/>
      <c r="B5" s="251"/>
      <c r="C5" s="251"/>
      <c r="D5" s="251"/>
      <c r="E5" s="251"/>
      <c r="F5" s="251"/>
      <c r="G5" s="251"/>
      <c r="H5" s="251"/>
      <c r="I5" s="253"/>
    </row>
    <row r="6" spans="1:9" x14ac:dyDescent="0.25">
      <c r="A6" s="1016"/>
      <c r="B6" s="251"/>
      <c r="C6" s="251"/>
      <c r="D6" s="251"/>
      <c r="E6" s="251"/>
      <c r="F6" s="251"/>
      <c r="G6" s="251"/>
      <c r="H6" s="251"/>
      <c r="I6" s="253"/>
    </row>
    <row r="7" spans="1:9" s="46" customFormat="1" x14ac:dyDescent="0.25">
      <c r="A7" s="254" t="s">
        <v>550</v>
      </c>
      <c r="B7" s="255">
        <f>SUM(B4:B6)</f>
        <v>0</v>
      </c>
      <c r="C7" s="255">
        <f t="shared" ref="C7:I7" si="0">SUM(C4:C6)</f>
        <v>0</v>
      </c>
      <c r="D7" s="255">
        <f t="shared" si="0"/>
        <v>0</v>
      </c>
      <c r="E7" s="255">
        <f t="shared" si="0"/>
        <v>0</v>
      </c>
      <c r="F7" s="255">
        <f t="shared" si="0"/>
        <v>0</v>
      </c>
      <c r="G7" s="255">
        <f t="shared" si="0"/>
        <v>0</v>
      </c>
      <c r="H7" s="255">
        <f t="shared" si="0"/>
        <v>0</v>
      </c>
      <c r="I7" s="256">
        <f t="shared" si="0"/>
        <v>0</v>
      </c>
    </row>
  </sheetData>
  <mergeCells count="4">
    <mergeCell ref="A2:A3"/>
    <mergeCell ref="B2:D2"/>
    <mergeCell ref="E2:I2"/>
    <mergeCell ref="A5:A6"/>
  </mergeCells>
  <pageMargins left="0.70866141732283472" right="0.70866141732283472" top="1.1417322834645669" bottom="0.74803149606299213" header="0.31496062992125984" footer="0.31496062992125984"/>
  <pageSetup paperSize="9" scale="90" orientation="landscape" r:id="rId1"/>
  <headerFooter>
    <oddHeader>&amp;L9. melléklet a ......./2020. (.................) önkormányzati rendelethez
&amp;C&amp;"-,Félkövér"&amp;16
Törökbálint Város Önkormányzata 2020. évi európai uniós támogatási programjai</oddHeader>
    <oddFooter>&amp;C&amp;P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pageSetUpPr fitToPage="1"/>
  </sheetPr>
  <dimension ref="A1:IV143"/>
  <sheetViews>
    <sheetView showZeros="0" view="pageBreakPreview" zoomScale="79" zoomScaleNormal="100" zoomScaleSheetLayoutView="79" workbookViewId="0">
      <selection activeCell="C16" sqref="C16"/>
    </sheetView>
  </sheetViews>
  <sheetFormatPr defaultColWidth="12.28515625" defaultRowHeight="15" x14ac:dyDescent="0.2"/>
  <cols>
    <col min="1" max="1" width="12.28515625" style="262"/>
    <col min="2" max="2" width="12.28515625" style="263"/>
    <col min="3" max="3" width="59.7109375" style="262" customWidth="1"/>
    <col min="4" max="16384" width="12.28515625" style="262"/>
  </cols>
  <sheetData>
    <row r="1" spans="1:256" s="257" customFormat="1" ht="15.75" x14ac:dyDescent="0.25">
      <c r="A1" s="1017" t="s">
        <v>1716</v>
      </c>
      <c r="B1" s="1017"/>
      <c r="C1" s="1017"/>
      <c r="IV1" s="258"/>
    </row>
    <row r="2" spans="1:256" s="261" customFormat="1" ht="42.6" customHeight="1" x14ac:dyDescent="0.25">
      <c r="A2" s="259"/>
      <c r="B2" s="260"/>
      <c r="IV2" s="262"/>
    </row>
    <row r="3" spans="1:256" s="257" customFormat="1" ht="20.85" customHeight="1" x14ac:dyDescent="0.25">
      <c r="A3" s="431" t="s">
        <v>1216</v>
      </c>
      <c r="B3" s="430" t="s">
        <v>1217</v>
      </c>
      <c r="C3" s="431" t="s">
        <v>306</v>
      </c>
      <c r="IV3" s="258"/>
    </row>
    <row r="4" spans="1:256" s="261" customFormat="1" ht="22.9" customHeight="1" x14ac:dyDescent="0.2">
      <c r="A4" s="434">
        <v>1</v>
      </c>
      <c r="B4" s="432"/>
      <c r="C4" s="433" t="s">
        <v>1218</v>
      </c>
      <c r="IV4" s="262"/>
    </row>
    <row r="5" spans="1:256" s="261" customFormat="1" ht="22.9" customHeight="1" x14ac:dyDescent="0.2">
      <c r="A5" s="434"/>
      <c r="B5" s="432" t="s">
        <v>1220</v>
      </c>
      <c r="C5" s="433" t="s">
        <v>1230</v>
      </c>
      <c r="IV5" s="262"/>
    </row>
    <row r="6" spans="1:256" s="261" customFormat="1" ht="22.9" customHeight="1" x14ac:dyDescent="0.2">
      <c r="A6" s="434"/>
      <c r="B6" s="432" t="s">
        <v>1221</v>
      </c>
      <c r="C6" s="433" t="s">
        <v>1231</v>
      </c>
      <c r="IV6" s="262"/>
    </row>
    <row r="7" spans="1:256" s="261" customFormat="1" ht="22.9" customHeight="1" x14ac:dyDescent="0.2">
      <c r="A7" s="434">
        <v>2</v>
      </c>
      <c r="B7" s="432"/>
      <c r="C7" s="433" t="s">
        <v>985</v>
      </c>
      <c r="IV7" s="262"/>
    </row>
    <row r="8" spans="1:256" s="261" customFormat="1" ht="22.9" customHeight="1" x14ac:dyDescent="0.2">
      <c r="A8" s="434">
        <v>3</v>
      </c>
      <c r="B8" s="432"/>
      <c r="C8" s="433" t="s">
        <v>1219</v>
      </c>
      <c r="D8" s="433"/>
      <c r="IV8" s="262"/>
    </row>
    <row r="9" spans="1:256" s="261" customFormat="1" ht="22.9" customHeight="1" x14ac:dyDescent="0.2">
      <c r="A9" s="434"/>
      <c r="B9" s="432" t="s">
        <v>1220</v>
      </c>
      <c r="C9" s="433" t="s">
        <v>347</v>
      </c>
      <c r="IV9" s="262"/>
    </row>
    <row r="10" spans="1:256" s="261" customFormat="1" ht="22.9" customHeight="1" x14ac:dyDescent="0.2">
      <c r="A10" s="434"/>
      <c r="B10" s="432" t="s">
        <v>1221</v>
      </c>
      <c r="C10" s="433" t="s">
        <v>354</v>
      </c>
      <c r="IV10" s="262"/>
    </row>
    <row r="11" spans="1:256" s="261" customFormat="1" ht="22.9" customHeight="1" x14ac:dyDescent="0.2">
      <c r="A11" s="434"/>
      <c r="B11" s="432" t="s">
        <v>1222</v>
      </c>
      <c r="C11" s="433" t="s">
        <v>355</v>
      </c>
      <c r="IV11" s="262"/>
    </row>
    <row r="12" spans="1:256" s="261" customFormat="1" ht="22.9" customHeight="1" x14ac:dyDescent="0.2">
      <c r="A12" s="434"/>
      <c r="B12" s="432" t="s">
        <v>1223</v>
      </c>
      <c r="C12" s="433" t="s">
        <v>356</v>
      </c>
      <c r="IV12" s="262"/>
    </row>
    <row r="13" spans="1:256" s="261" customFormat="1" ht="22.9" customHeight="1" x14ac:dyDescent="0.2">
      <c r="A13" s="434"/>
      <c r="B13" s="432" t="s">
        <v>1224</v>
      </c>
      <c r="C13" s="433" t="s">
        <v>1225</v>
      </c>
      <c r="IV13" s="262"/>
    </row>
    <row r="14" spans="1:256" s="261" customFormat="1" ht="22.9" customHeight="1" x14ac:dyDescent="0.2">
      <c r="A14" s="434"/>
      <c r="B14" s="432" t="s">
        <v>1226</v>
      </c>
      <c r="C14" s="433" t="s">
        <v>362</v>
      </c>
      <c r="IV14" s="262"/>
    </row>
    <row r="15" spans="1:256" s="261" customFormat="1" ht="22.9" customHeight="1" x14ac:dyDescent="0.2">
      <c r="A15" s="434"/>
      <c r="B15" s="432" t="s">
        <v>1290</v>
      </c>
      <c r="C15" s="433" t="s">
        <v>1291</v>
      </c>
      <c r="IV15" s="262"/>
    </row>
    <row r="16" spans="1:256" s="261" customFormat="1" ht="22.9" customHeight="1" x14ac:dyDescent="0.2">
      <c r="A16" s="434"/>
      <c r="B16" s="432" t="s">
        <v>1422</v>
      </c>
      <c r="C16" s="433" t="s">
        <v>988</v>
      </c>
      <c r="IV16" s="262"/>
    </row>
    <row r="17" spans="1:256" s="261" customFormat="1" x14ac:dyDescent="0.2">
      <c r="A17" s="263"/>
      <c r="B17" s="260"/>
      <c r="IV17" s="262"/>
    </row>
    <row r="18" spans="1:256" s="261" customFormat="1" x14ac:dyDescent="0.2">
      <c r="A18" s="263"/>
      <c r="B18" s="260"/>
      <c r="IV18" s="262"/>
    </row>
    <row r="19" spans="1:256" s="261" customFormat="1" x14ac:dyDescent="0.2">
      <c r="A19" s="263"/>
      <c r="B19" s="260"/>
      <c r="IV19" s="262"/>
    </row>
    <row r="20" spans="1:256" s="261" customFormat="1" x14ac:dyDescent="0.2">
      <c r="A20" s="263"/>
      <c r="B20" s="260"/>
      <c r="IV20" s="262"/>
    </row>
    <row r="21" spans="1:256" s="261" customFormat="1" x14ac:dyDescent="0.2">
      <c r="A21" s="263"/>
      <c r="B21" s="260"/>
      <c r="IV21" s="262"/>
    </row>
    <row r="22" spans="1:256" s="261" customFormat="1" x14ac:dyDescent="0.2">
      <c r="A22" s="263"/>
      <c r="B22" s="260"/>
      <c r="IV22" s="262"/>
    </row>
    <row r="23" spans="1:256" s="261" customFormat="1" x14ac:dyDescent="0.2">
      <c r="A23" s="263"/>
      <c r="B23" s="260"/>
      <c r="IV23" s="262"/>
    </row>
    <row r="24" spans="1:256" s="261" customFormat="1" x14ac:dyDescent="0.2">
      <c r="A24" s="263"/>
      <c r="B24" s="260"/>
      <c r="IV24" s="262"/>
    </row>
    <row r="25" spans="1:256" s="261" customFormat="1" x14ac:dyDescent="0.2">
      <c r="A25" s="263"/>
      <c r="B25" s="260"/>
      <c r="IV25" s="262"/>
    </row>
    <row r="26" spans="1:256" s="261" customFormat="1" x14ac:dyDescent="0.2">
      <c r="A26" s="263"/>
      <c r="B26" s="260"/>
      <c r="IV26" s="262"/>
    </row>
    <row r="27" spans="1:256" s="261" customFormat="1" x14ac:dyDescent="0.2">
      <c r="A27" s="263"/>
      <c r="B27" s="260"/>
      <c r="IV27" s="262"/>
    </row>
    <row r="28" spans="1:256" s="261" customFormat="1" x14ac:dyDescent="0.2">
      <c r="A28" s="263"/>
      <c r="B28" s="260"/>
      <c r="IV28" s="262"/>
    </row>
    <row r="29" spans="1:256" s="261" customFormat="1" x14ac:dyDescent="0.2">
      <c r="A29" s="263"/>
      <c r="B29" s="260"/>
      <c r="IV29" s="262"/>
    </row>
    <row r="30" spans="1:256" s="261" customFormat="1" x14ac:dyDescent="0.2">
      <c r="A30" s="263"/>
      <c r="B30" s="260"/>
      <c r="IV30" s="262"/>
    </row>
    <row r="31" spans="1:256" s="261" customFormat="1" x14ac:dyDescent="0.2">
      <c r="A31" s="263"/>
      <c r="B31" s="260"/>
      <c r="IV31" s="262"/>
    </row>
    <row r="32" spans="1:256" s="261" customFormat="1" x14ac:dyDescent="0.2">
      <c r="A32" s="263"/>
      <c r="B32" s="260"/>
      <c r="IV32" s="262"/>
    </row>
    <row r="33" spans="1:256" s="261" customFormat="1" x14ac:dyDescent="0.2">
      <c r="A33" s="263"/>
      <c r="B33" s="260"/>
      <c r="IV33" s="262"/>
    </row>
    <row r="34" spans="1:256" s="261" customFormat="1" x14ac:dyDescent="0.2">
      <c r="A34" s="263"/>
      <c r="B34" s="260"/>
      <c r="IV34" s="262"/>
    </row>
    <row r="35" spans="1:256" s="261" customFormat="1" x14ac:dyDescent="0.2">
      <c r="A35" s="263"/>
      <c r="B35" s="260"/>
      <c r="IV35" s="262"/>
    </row>
    <row r="36" spans="1:256" s="261" customFormat="1" x14ac:dyDescent="0.2">
      <c r="A36" s="263"/>
      <c r="B36" s="260"/>
      <c r="IV36" s="262"/>
    </row>
    <row r="37" spans="1:256" s="261" customFormat="1" x14ac:dyDescent="0.2">
      <c r="A37" s="263"/>
      <c r="B37" s="260"/>
      <c r="IV37" s="262"/>
    </row>
    <row r="38" spans="1:256" s="261" customFormat="1" x14ac:dyDescent="0.2">
      <c r="A38" s="263"/>
      <c r="B38" s="260"/>
      <c r="IV38" s="262"/>
    </row>
    <row r="39" spans="1:256" s="261" customFormat="1" x14ac:dyDescent="0.2">
      <c r="A39" s="263"/>
      <c r="B39" s="260"/>
      <c r="IV39" s="262"/>
    </row>
    <row r="40" spans="1:256" s="261" customFormat="1" x14ac:dyDescent="0.2">
      <c r="A40" s="263"/>
      <c r="B40" s="260"/>
      <c r="IV40" s="262"/>
    </row>
    <row r="41" spans="1:256" s="261" customFormat="1" x14ac:dyDescent="0.2">
      <c r="A41" s="263"/>
      <c r="B41" s="260"/>
      <c r="IV41" s="262"/>
    </row>
    <row r="42" spans="1:256" s="261" customFormat="1" x14ac:dyDescent="0.2">
      <c r="A42" s="263"/>
      <c r="B42" s="260"/>
      <c r="IV42" s="262"/>
    </row>
    <row r="43" spans="1:256" s="261" customFormat="1" x14ac:dyDescent="0.2">
      <c r="A43" s="263"/>
      <c r="B43" s="260"/>
      <c r="IV43" s="262"/>
    </row>
    <row r="44" spans="1:256" s="261" customFormat="1" x14ac:dyDescent="0.2">
      <c r="A44" s="263"/>
      <c r="B44" s="260"/>
      <c r="IV44" s="262"/>
    </row>
    <row r="45" spans="1:256" s="261" customFormat="1" x14ac:dyDescent="0.2">
      <c r="A45" s="263"/>
      <c r="B45" s="260"/>
      <c r="IV45" s="262"/>
    </row>
    <row r="46" spans="1:256" s="261" customFormat="1" x14ac:dyDescent="0.2">
      <c r="A46" s="263"/>
      <c r="B46" s="260"/>
      <c r="IV46" s="262"/>
    </row>
    <row r="47" spans="1:256" s="261" customFormat="1" x14ac:dyDescent="0.2">
      <c r="A47" s="263"/>
      <c r="B47" s="260"/>
      <c r="IV47" s="262"/>
    </row>
    <row r="48" spans="1:256" s="261" customFormat="1" x14ac:dyDescent="0.2">
      <c r="A48" s="263"/>
      <c r="B48" s="260"/>
      <c r="IV48" s="262"/>
    </row>
    <row r="49" spans="1:256" s="261" customFormat="1" x14ac:dyDescent="0.2">
      <c r="A49" s="263"/>
      <c r="B49" s="260"/>
      <c r="IV49" s="262"/>
    </row>
    <row r="50" spans="1:256" s="261" customFormat="1" x14ac:dyDescent="0.2">
      <c r="A50" s="263"/>
      <c r="B50" s="260"/>
      <c r="IV50" s="262"/>
    </row>
    <row r="51" spans="1:256" s="261" customFormat="1" x14ac:dyDescent="0.2">
      <c r="A51" s="263"/>
      <c r="B51" s="260"/>
      <c r="IV51" s="262"/>
    </row>
    <row r="52" spans="1:256" s="261" customFormat="1" x14ac:dyDescent="0.2">
      <c r="A52" s="263"/>
      <c r="B52" s="260"/>
      <c r="IV52" s="262"/>
    </row>
    <row r="53" spans="1:256" s="261" customFormat="1" x14ac:dyDescent="0.2">
      <c r="A53" s="263"/>
      <c r="B53" s="260"/>
      <c r="IV53" s="262"/>
    </row>
    <row r="54" spans="1:256" s="261" customFormat="1" x14ac:dyDescent="0.2">
      <c r="A54" s="263"/>
      <c r="B54" s="260"/>
      <c r="IV54" s="262"/>
    </row>
    <row r="55" spans="1:256" s="261" customFormat="1" x14ac:dyDescent="0.2">
      <c r="A55" s="263"/>
      <c r="B55" s="260"/>
      <c r="IV55" s="262"/>
    </row>
    <row r="56" spans="1:256" s="261" customFormat="1" x14ac:dyDescent="0.2">
      <c r="A56" s="263"/>
      <c r="B56" s="260"/>
      <c r="IV56" s="262"/>
    </row>
    <row r="57" spans="1:256" s="261" customFormat="1" x14ac:dyDescent="0.2">
      <c r="A57" s="263"/>
      <c r="B57" s="260"/>
      <c r="IV57" s="262"/>
    </row>
    <row r="58" spans="1:256" s="261" customFormat="1" x14ac:dyDescent="0.2">
      <c r="A58" s="263"/>
      <c r="B58" s="260"/>
      <c r="IV58" s="262"/>
    </row>
    <row r="59" spans="1:256" s="261" customFormat="1" x14ac:dyDescent="0.2">
      <c r="A59" s="263"/>
      <c r="B59" s="260"/>
      <c r="IV59" s="262"/>
    </row>
    <row r="60" spans="1:256" s="261" customFormat="1" x14ac:dyDescent="0.2">
      <c r="A60" s="263"/>
      <c r="B60" s="260"/>
      <c r="IV60" s="262"/>
    </row>
    <row r="61" spans="1:256" s="261" customFormat="1" x14ac:dyDescent="0.2">
      <c r="A61" s="263"/>
      <c r="B61" s="260"/>
      <c r="IV61" s="262"/>
    </row>
    <row r="62" spans="1:256" s="261" customFormat="1" x14ac:dyDescent="0.2">
      <c r="A62" s="263"/>
      <c r="B62" s="260"/>
      <c r="IV62" s="262"/>
    </row>
    <row r="63" spans="1:256" s="261" customFormat="1" x14ac:dyDescent="0.2">
      <c r="A63" s="263"/>
      <c r="B63" s="260"/>
      <c r="IV63" s="262"/>
    </row>
    <row r="64" spans="1:256" s="261" customFormat="1" x14ac:dyDescent="0.2">
      <c r="A64" s="263"/>
      <c r="B64" s="260"/>
      <c r="IV64" s="262"/>
    </row>
    <row r="65" spans="1:256" s="261" customFormat="1" x14ac:dyDescent="0.2">
      <c r="A65" s="263"/>
      <c r="B65" s="260"/>
      <c r="IV65" s="262"/>
    </row>
    <row r="66" spans="1:256" s="261" customFormat="1" x14ac:dyDescent="0.2">
      <c r="A66" s="263"/>
      <c r="B66" s="260"/>
      <c r="IV66" s="262"/>
    </row>
    <row r="67" spans="1:256" s="261" customFormat="1" x14ac:dyDescent="0.2">
      <c r="A67" s="263"/>
      <c r="B67" s="260"/>
      <c r="IV67" s="262"/>
    </row>
    <row r="68" spans="1:256" s="261" customFormat="1" x14ac:dyDescent="0.2">
      <c r="A68" s="263"/>
      <c r="B68" s="260"/>
      <c r="IV68" s="262"/>
    </row>
    <row r="69" spans="1:256" s="261" customFormat="1" x14ac:dyDescent="0.2">
      <c r="A69" s="263"/>
      <c r="B69" s="260"/>
      <c r="IV69" s="262"/>
    </row>
    <row r="70" spans="1:256" s="261" customFormat="1" x14ac:dyDescent="0.2">
      <c r="A70" s="263"/>
      <c r="B70" s="260"/>
      <c r="IV70" s="262"/>
    </row>
    <row r="71" spans="1:256" s="261" customFormat="1" x14ac:dyDescent="0.2">
      <c r="A71" s="263"/>
      <c r="B71" s="260"/>
      <c r="IV71" s="262"/>
    </row>
    <row r="72" spans="1:256" s="261" customFormat="1" x14ac:dyDescent="0.2">
      <c r="A72" s="263"/>
      <c r="B72" s="260"/>
      <c r="IV72" s="262"/>
    </row>
    <row r="73" spans="1:256" s="261" customFormat="1" x14ac:dyDescent="0.2">
      <c r="A73" s="263"/>
      <c r="B73" s="260"/>
      <c r="IV73" s="262"/>
    </row>
    <row r="74" spans="1:256" s="261" customFormat="1" x14ac:dyDescent="0.2">
      <c r="A74" s="263"/>
      <c r="B74" s="260"/>
      <c r="IV74" s="262"/>
    </row>
    <row r="75" spans="1:256" s="261" customFormat="1" x14ac:dyDescent="0.2">
      <c r="A75" s="263"/>
      <c r="B75" s="260"/>
      <c r="IV75" s="262"/>
    </row>
    <row r="76" spans="1:256" s="261" customFormat="1" x14ac:dyDescent="0.2">
      <c r="A76" s="263"/>
      <c r="B76" s="260"/>
      <c r="IV76" s="262"/>
    </row>
    <row r="77" spans="1:256" s="261" customFormat="1" x14ac:dyDescent="0.2">
      <c r="A77" s="263"/>
      <c r="B77" s="260"/>
      <c r="IV77" s="262"/>
    </row>
    <row r="78" spans="1:256" s="261" customFormat="1" x14ac:dyDescent="0.2">
      <c r="A78" s="263"/>
      <c r="B78" s="260"/>
      <c r="IV78" s="262"/>
    </row>
    <row r="79" spans="1:256" s="261" customFormat="1" x14ac:dyDescent="0.2">
      <c r="A79" s="263"/>
      <c r="B79" s="260"/>
      <c r="IV79" s="262"/>
    </row>
    <row r="80" spans="1:256" s="261" customFormat="1" x14ac:dyDescent="0.2">
      <c r="A80" s="263"/>
      <c r="B80" s="260"/>
      <c r="IV80" s="262"/>
    </row>
    <row r="81" spans="1:256" s="261" customFormat="1" x14ac:dyDescent="0.2">
      <c r="A81" s="263"/>
      <c r="B81" s="260"/>
      <c r="IV81" s="262"/>
    </row>
    <row r="82" spans="1:256" s="261" customFormat="1" x14ac:dyDescent="0.2">
      <c r="A82" s="263"/>
      <c r="B82" s="260"/>
      <c r="IV82" s="262"/>
    </row>
    <row r="83" spans="1:256" s="261" customFormat="1" x14ac:dyDescent="0.2">
      <c r="A83" s="263"/>
      <c r="B83" s="260"/>
      <c r="IV83" s="262"/>
    </row>
    <row r="84" spans="1:256" s="261" customFormat="1" x14ac:dyDescent="0.2">
      <c r="A84" s="263"/>
      <c r="B84" s="260"/>
      <c r="IV84" s="262"/>
    </row>
    <row r="85" spans="1:256" s="261" customFormat="1" x14ac:dyDescent="0.2">
      <c r="A85" s="263"/>
      <c r="B85" s="260"/>
      <c r="IV85" s="262"/>
    </row>
    <row r="86" spans="1:256" s="261" customFormat="1" x14ac:dyDescent="0.2">
      <c r="A86" s="263"/>
      <c r="B86" s="260"/>
      <c r="IV86" s="262"/>
    </row>
    <row r="87" spans="1:256" s="261" customFormat="1" x14ac:dyDescent="0.2">
      <c r="A87" s="263"/>
      <c r="B87" s="260"/>
      <c r="IV87" s="262"/>
    </row>
    <row r="88" spans="1:256" s="261" customFormat="1" x14ac:dyDescent="0.2">
      <c r="A88" s="263"/>
      <c r="B88" s="260"/>
      <c r="IV88" s="262"/>
    </row>
    <row r="89" spans="1:256" s="261" customFormat="1" x14ac:dyDescent="0.2">
      <c r="A89" s="263"/>
      <c r="B89" s="260"/>
      <c r="IV89" s="262"/>
    </row>
    <row r="90" spans="1:256" s="261" customFormat="1" x14ac:dyDescent="0.2">
      <c r="A90" s="263"/>
      <c r="B90" s="260"/>
      <c r="IV90" s="262"/>
    </row>
    <row r="91" spans="1:256" s="261" customFormat="1" x14ac:dyDescent="0.2">
      <c r="A91" s="263"/>
      <c r="B91" s="260"/>
      <c r="IV91" s="262"/>
    </row>
    <row r="92" spans="1:256" s="261" customFormat="1" x14ac:dyDescent="0.2">
      <c r="A92" s="263"/>
      <c r="B92" s="260"/>
      <c r="IV92" s="262"/>
    </row>
    <row r="93" spans="1:256" s="261" customFormat="1" x14ac:dyDescent="0.2">
      <c r="A93" s="263"/>
      <c r="B93" s="260"/>
      <c r="IV93" s="262"/>
    </row>
    <row r="94" spans="1:256" s="261" customFormat="1" x14ac:dyDescent="0.2">
      <c r="A94" s="263"/>
      <c r="B94" s="260"/>
      <c r="IV94" s="262"/>
    </row>
    <row r="95" spans="1:256" s="261" customFormat="1" x14ac:dyDescent="0.2">
      <c r="A95" s="263"/>
      <c r="B95" s="260"/>
      <c r="IV95" s="262"/>
    </row>
    <row r="96" spans="1:256" s="261" customFormat="1" x14ac:dyDescent="0.2">
      <c r="A96" s="263"/>
      <c r="B96" s="260"/>
      <c r="IV96" s="262"/>
    </row>
    <row r="97" spans="1:256" s="261" customFormat="1" x14ac:dyDescent="0.2">
      <c r="A97" s="263"/>
      <c r="B97" s="260"/>
      <c r="IV97" s="262"/>
    </row>
    <row r="98" spans="1:256" s="261" customFormat="1" x14ac:dyDescent="0.2">
      <c r="A98" s="263"/>
      <c r="B98" s="260"/>
      <c r="IV98" s="262"/>
    </row>
    <row r="99" spans="1:256" s="261" customFormat="1" x14ac:dyDescent="0.2">
      <c r="A99" s="263"/>
      <c r="B99" s="260"/>
      <c r="IV99" s="262"/>
    </row>
    <row r="100" spans="1:256" s="261" customFormat="1" x14ac:dyDescent="0.2">
      <c r="A100" s="263"/>
      <c r="B100" s="260"/>
      <c r="IV100" s="262"/>
    </row>
    <row r="101" spans="1:256" s="261" customFormat="1" x14ac:dyDescent="0.2">
      <c r="A101" s="263"/>
      <c r="B101" s="260"/>
      <c r="IV101" s="262"/>
    </row>
    <row r="102" spans="1:256" s="261" customFormat="1" x14ac:dyDescent="0.2">
      <c r="A102" s="263"/>
      <c r="B102" s="260"/>
      <c r="IV102" s="262"/>
    </row>
    <row r="103" spans="1:256" s="261" customFormat="1" x14ac:dyDescent="0.2">
      <c r="A103" s="263"/>
      <c r="B103" s="260"/>
      <c r="IV103" s="262"/>
    </row>
    <row r="104" spans="1:256" s="261" customFormat="1" x14ac:dyDescent="0.2">
      <c r="A104" s="263"/>
      <c r="B104" s="260"/>
      <c r="IV104" s="262"/>
    </row>
    <row r="105" spans="1:256" s="261" customFormat="1" x14ac:dyDescent="0.2">
      <c r="A105" s="263"/>
      <c r="B105" s="260"/>
      <c r="IV105" s="262"/>
    </row>
    <row r="106" spans="1:256" s="261" customFormat="1" x14ac:dyDescent="0.2">
      <c r="A106" s="263"/>
      <c r="B106" s="260"/>
      <c r="IV106" s="262"/>
    </row>
    <row r="107" spans="1:256" s="261" customFormat="1" x14ac:dyDescent="0.2">
      <c r="A107" s="263"/>
      <c r="B107" s="260"/>
      <c r="IV107" s="262"/>
    </row>
    <row r="108" spans="1:256" s="261" customFormat="1" x14ac:dyDescent="0.2">
      <c r="A108" s="263"/>
      <c r="B108" s="260"/>
      <c r="IV108" s="262"/>
    </row>
    <row r="109" spans="1:256" s="261" customFormat="1" x14ac:dyDescent="0.2">
      <c r="A109" s="263"/>
      <c r="B109" s="260"/>
      <c r="IV109" s="262"/>
    </row>
    <row r="110" spans="1:256" s="261" customFormat="1" x14ac:dyDescent="0.2">
      <c r="A110" s="263"/>
      <c r="B110" s="260"/>
      <c r="IV110" s="262"/>
    </row>
    <row r="111" spans="1:256" s="261" customFormat="1" x14ac:dyDescent="0.2">
      <c r="A111" s="263"/>
      <c r="B111" s="260"/>
      <c r="IV111" s="262"/>
    </row>
    <row r="112" spans="1:256" s="261" customFormat="1" x14ac:dyDescent="0.2">
      <c r="A112" s="263"/>
      <c r="B112" s="260"/>
      <c r="IV112" s="262"/>
    </row>
    <row r="113" spans="1:256" s="261" customFormat="1" x14ac:dyDescent="0.2">
      <c r="A113" s="263"/>
      <c r="B113" s="260"/>
      <c r="IV113" s="262"/>
    </row>
    <row r="114" spans="1:256" s="261" customFormat="1" x14ac:dyDescent="0.2">
      <c r="A114" s="263"/>
      <c r="B114" s="260"/>
      <c r="IV114" s="262"/>
    </row>
    <row r="115" spans="1:256" s="261" customFormat="1" x14ac:dyDescent="0.2">
      <c r="A115" s="263"/>
      <c r="B115" s="260"/>
      <c r="IV115" s="262"/>
    </row>
    <row r="116" spans="1:256" s="261" customFormat="1" x14ac:dyDescent="0.2">
      <c r="A116" s="263"/>
      <c r="B116" s="260"/>
      <c r="IV116" s="262"/>
    </row>
    <row r="117" spans="1:256" s="261" customFormat="1" x14ac:dyDescent="0.2">
      <c r="A117" s="263"/>
      <c r="B117" s="260"/>
      <c r="IV117" s="262"/>
    </row>
    <row r="118" spans="1:256" s="261" customFormat="1" x14ac:dyDescent="0.2">
      <c r="A118" s="263"/>
      <c r="B118" s="260"/>
      <c r="IV118" s="262"/>
    </row>
    <row r="119" spans="1:256" s="261" customFormat="1" x14ac:dyDescent="0.2">
      <c r="A119" s="263"/>
      <c r="B119" s="260"/>
      <c r="IV119" s="262"/>
    </row>
    <row r="120" spans="1:256" s="261" customFormat="1" x14ac:dyDescent="0.2">
      <c r="A120" s="263"/>
      <c r="B120" s="260"/>
      <c r="IV120" s="262"/>
    </row>
    <row r="121" spans="1:256" s="261" customFormat="1" x14ac:dyDescent="0.2">
      <c r="A121" s="263"/>
      <c r="B121" s="260"/>
      <c r="IV121" s="262"/>
    </row>
    <row r="122" spans="1:256" s="261" customFormat="1" x14ac:dyDescent="0.2">
      <c r="A122" s="263"/>
      <c r="B122" s="260"/>
      <c r="IV122" s="262"/>
    </row>
    <row r="123" spans="1:256" s="261" customFormat="1" x14ac:dyDescent="0.2">
      <c r="A123" s="263"/>
      <c r="B123" s="260"/>
      <c r="IV123" s="262"/>
    </row>
    <row r="124" spans="1:256" s="261" customFormat="1" x14ac:dyDescent="0.2">
      <c r="A124" s="263"/>
      <c r="B124" s="260"/>
      <c r="IV124" s="262"/>
    </row>
    <row r="125" spans="1:256" s="261" customFormat="1" x14ac:dyDescent="0.2">
      <c r="A125" s="263"/>
      <c r="B125" s="260"/>
      <c r="IV125" s="262"/>
    </row>
    <row r="126" spans="1:256" s="261" customFormat="1" x14ac:dyDescent="0.2">
      <c r="A126" s="263"/>
      <c r="B126" s="260"/>
      <c r="IV126" s="262"/>
    </row>
    <row r="127" spans="1:256" s="261" customFormat="1" x14ac:dyDescent="0.2">
      <c r="A127" s="263"/>
      <c r="B127" s="260"/>
      <c r="IV127" s="262"/>
    </row>
    <row r="128" spans="1:256" s="261" customFormat="1" x14ac:dyDescent="0.2">
      <c r="A128" s="263"/>
      <c r="B128" s="260"/>
      <c r="IV128" s="262"/>
    </row>
    <row r="129" spans="1:256" s="261" customFormat="1" x14ac:dyDescent="0.2">
      <c r="A129" s="263"/>
      <c r="B129" s="260"/>
      <c r="IV129" s="262"/>
    </row>
    <row r="130" spans="1:256" s="261" customFormat="1" x14ac:dyDescent="0.2">
      <c r="A130" s="263"/>
      <c r="B130" s="260"/>
      <c r="IV130" s="262"/>
    </row>
    <row r="131" spans="1:256" s="261" customFormat="1" x14ac:dyDescent="0.2">
      <c r="A131" s="263"/>
      <c r="B131" s="260"/>
      <c r="IV131" s="262"/>
    </row>
    <row r="132" spans="1:256" s="261" customFormat="1" x14ac:dyDescent="0.2">
      <c r="A132" s="263"/>
      <c r="B132" s="260"/>
      <c r="IV132" s="262"/>
    </row>
    <row r="133" spans="1:256" s="261" customFormat="1" x14ac:dyDescent="0.2">
      <c r="A133" s="263"/>
      <c r="B133" s="260"/>
      <c r="IV133" s="262"/>
    </row>
    <row r="134" spans="1:256" s="261" customFormat="1" x14ac:dyDescent="0.2">
      <c r="A134" s="263"/>
      <c r="B134" s="260"/>
      <c r="IV134" s="262"/>
    </row>
    <row r="135" spans="1:256" s="261" customFormat="1" x14ac:dyDescent="0.2">
      <c r="A135" s="263"/>
      <c r="B135" s="260"/>
      <c r="IV135" s="262"/>
    </row>
    <row r="136" spans="1:256" s="261" customFormat="1" x14ac:dyDescent="0.2">
      <c r="A136" s="263"/>
      <c r="B136" s="260"/>
      <c r="IV136" s="262"/>
    </row>
    <row r="137" spans="1:256" s="261" customFormat="1" x14ac:dyDescent="0.2">
      <c r="A137" s="263"/>
      <c r="B137" s="260"/>
      <c r="IV137" s="262"/>
    </row>
    <row r="138" spans="1:256" s="261" customFormat="1" x14ac:dyDescent="0.2">
      <c r="A138" s="263"/>
      <c r="B138" s="260"/>
      <c r="IV138" s="262"/>
    </row>
    <row r="139" spans="1:256" s="261" customFormat="1" x14ac:dyDescent="0.2">
      <c r="A139" s="263"/>
      <c r="B139" s="260"/>
      <c r="IV139" s="262"/>
    </row>
    <row r="140" spans="1:256" s="261" customFormat="1" x14ac:dyDescent="0.2">
      <c r="A140" s="263"/>
      <c r="B140" s="260"/>
      <c r="IV140" s="262"/>
    </row>
    <row r="141" spans="1:256" s="261" customFormat="1" x14ac:dyDescent="0.2">
      <c r="A141" s="263"/>
      <c r="B141" s="260"/>
      <c r="IV141" s="262"/>
    </row>
    <row r="142" spans="1:256" s="261" customFormat="1" x14ac:dyDescent="0.2">
      <c r="A142" s="263"/>
      <c r="B142" s="260"/>
      <c r="IV142" s="262"/>
    </row>
    <row r="143" spans="1:256" s="261" customFormat="1" x14ac:dyDescent="0.2">
      <c r="A143" s="263"/>
      <c r="B143" s="260"/>
      <c r="IV143" s="262"/>
    </row>
  </sheetData>
  <mergeCells count="1">
    <mergeCell ref="A1:C1"/>
  </mergeCells>
  <pageMargins left="0.78740157480314965" right="0.78740157480314965" top="1.1417322834645669" bottom="1.0236220472440944" header="0.78740157480314965" footer="0.78740157480314965"/>
  <pageSetup paperSize="9" firstPageNumber="0" orientation="portrait" r:id="rId1"/>
  <headerFooter alignWithMargins="0">
    <oddHeader>&amp;L 10. melléklet  a ....../2020. (...................) önkormányzati rendelethez</oddHeader>
    <oddFooter>&amp;R&amp;10&amp;P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DV107"/>
  <sheetViews>
    <sheetView workbookViewId="0">
      <pane xSplit="2" ySplit="1" topLeftCell="C74" activePane="bottomRight" state="frozen"/>
      <selection pane="topRight" activeCell="C1" sqref="C1"/>
      <selection pane="bottomLeft" activeCell="A2" sqref="A2"/>
      <selection pane="bottomRight" activeCell="F75" sqref="F75"/>
    </sheetView>
  </sheetViews>
  <sheetFormatPr defaultColWidth="11.7109375" defaultRowHeight="12.75" x14ac:dyDescent="0.2"/>
  <cols>
    <col min="1" max="1" width="11.7109375" style="149"/>
    <col min="2" max="2" width="54.85546875" style="149" customWidth="1"/>
    <col min="3" max="3" width="11.7109375" style="163"/>
    <col min="4" max="4" width="11.7109375" style="164"/>
    <col min="5" max="5" width="11.7109375" style="163" customWidth="1"/>
    <col min="6" max="6" width="11.7109375" style="164" customWidth="1"/>
    <col min="7" max="7" width="11.7109375" style="163" customWidth="1"/>
    <col min="8" max="8" width="11.7109375" style="164" customWidth="1"/>
    <col min="9" max="9" width="11.7109375" style="163"/>
    <col min="10" max="10" width="11.7109375" style="164"/>
    <col min="11" max="11" width="21.28515625" style="163" customWidth="1"/>
    <col min="12" max="12" width="21.28515625" style="164" customWidth="1"/>
    <col min="13" max="13" width="21.28515625" style="163" customWidth="1"/>
    <col min="14" max="14" width="21.28515625" style="164" customWidth="1"/>
    <col min="15" max="15" width="15" style="165" customWidth="1"/>
    <col min="16" max="16" width="15" style="149" customWidth="1"/>
    <col min="17" max="17" width="11.7109375" style="165"/>
    <col min="18" max="18" width="11.7109375" style="149"/>
    <col min="19" max="19" width="11.7109375" style="165"/>
    <col min="20" max="20" width="11.7109375" style="149"/>
    <col min="21" max="21" width="11.7109375" style="165"/>
    <col min="22" max="22" width="11.7109375" style="149"/>
    <col min="23" max="23" width="11.7109375" style="165"/>
    <col min="24" max="24" width="11.7109375" style="149"/>
    <col min="25" max="25" width="11.7109375" style="165"/>
    <col min="26" max="26" width="11.7109375" style="149"/>
    <col min="27" max="27" width="11.7109375" style="165"/>
    <col min="28" max="28" width="11.7109375" style="149"/>
    <col min="29" max="29" width="11.7109375" style="165"/>
    <col min="30" max="30" width="11.7109375" style="149"/>
    <col min="31" max="31" width="11.7109375" style="165"/>
    <col min="32" max="32" width="11.7109375" style="149"/>
    <col min="33" max="33" width="11.7109375" style="165"/>
    <col min="34" max="34" width="11.7109375" style="149"/>
    <col min="35" max="35" width="11.7109375" style="165"/>
    <col min="36" max="36" width="11.7109375" style="149"/>
    <col min="37" max="37" width="11.7109375" style="165"/>
    <col min="38" max="38" width="11.7109375" style="149"/>
    <col min="39" max="39" width="11.7109375" style="165"/>
    <col min="40" max="40" width="11.7109375" style="149"/>
    <col min="41" max="41" width="11.7109375" style="165"/>
    <col min="42" max="42" width="11.7109375" style="149"/>
    <col min="43" max="43" width="11.7109375" style="165"/>
    <col min="44" max="44" width="11.7109375" style="149"/>
    <col min="45" max="45" width="11.7109375" style="165"/>
    <col min="46" max="46" width="11.7109375" style="149"/>
    <col min="47" max="47" width="11.7109375" style="165"/>
    <col min="48" max="48" width="11.7109375" style="149"/>
    <col min="49" max="49" width="11.7109375" style="165"/>
    <col min="50" max="50" width="11.7109375" style="149"/>
    <col min="51" max="51" width="11.7109375" style="165"/>
    <col min="52" max="52" width="11.7109375" style="149"/>
    <col min="53" max="53" width="11.7109375" style="165"/>
    <col min="54" max="54" width="11.7109375" style="149"/>
    <col min="55" max="55" width="11.7109375" style="165"/>
    <col min="56" max="56" width="11.7109375" style="149"/>
    <col min="57" max="57" width="11.7109375" style="165"/>
    <col min="58" max="58" width="11.7109375" style="149"/>
    <col min="59" max="59" width="11.7109375" style="165"/>
    <col min="60" max="60" width="11.7109375" style="149"/>
    <col min="61" max="61" width="11.7109375" style="165"/>
    <col min="62" max="62" width="11.7109375" style="149"/>
    <col min="63" max="63" width="11.7109375" style="165"/>
    <col min="64" max="64" width="11.7109375" style="149"/>
    <col min="65" max="65" width="11.7109375" style="165"/>
    <col min="66" max="66" width="11.7109375" style="149"/>
    <col min="67" max="67" width="11.7109375" style="165"/>
    <col min="68" max="68" width="11.7109375" style="149"/>
    <col min="69" max="69" width="11.7109375" style="165"/>
    <col min="70" max="70" width="11.7109375" style="149"/>
    <col min="71" max="71" width="11.7109375" style="165"/>
    <col min="72" max="72" width="11.7109375" style="149"/>
    <col min="73" max="73" width="11.7109375" style="165"/>
    <col min="74" max="74" width="11.7109375" style="149"/>
    <col min="75" max="75" width="11.7109375" style="165"/>
    <col min="76" max="76" width="11.7109375" style="149"/>
    <col min="77" max="77" width="11.7109375" style="165"/>
    <col min="78" max="78" width="11.7109375" style="149"/>
    <col min="79" max="79" width="11.7109375" style="165"/>
    <col min="80" max="80" width="11.7109375" style="149"/>
    <col min="81" max="81" width="11.7109375" style="165"/>
    <col min="82" max="82" width="11.7109375" style="149"/>
    <col min="83" max="83" width="11.7109375" style="165"/>
    <col min="84" max="84" width="11.7109375" style="149"/>
    <col min="85" max="85" width="11.7109375" style="165"/>
    <col min="86" max="86" width="11.7109375" style="149"/>
    <col min="87" max="87" width="11.7109375" style="165"/>
    <col min="88" max="88" width="11.7109375" style="149"/>
    <col min="89" max="89" width="11.7109375" style="165"/>
    <col min="90" max="90" width="11.7109375" style="149"/>
    <col min="91" max="91" width="11.7109375" style="165"/>
    <col min="92" max="92" width="11.7109375" style="149"/>
    <col min="93" max="93" width="11.7109375" style="165"/>
    <col min="94" max="94" width="11.7109375" style="149"/>
    <col min="95" max="95" width="11.7109375" style="165"/>
    <col min="96" max="96" width="11.7109375" style="149"/>
    <col min="97" max="97" width="11.7109375" style="165"/>
    <col min="98" max="98" width="11.7109375" style="149"/>
    <col min="99" max="99" width="11.7109375" style="165"/>
    <col min="100" max="100" width="11.7109375" style="149"/>
    <col min="101" max="101" width="11.7109375" style="165"/>
    <col min="102" max="102" width="11.7109375" style="149"/>
    <col min="103" max="103" width="11.7109375" style="165"/>
    <col min="104" max="104" width="11.7109375" style="149"/>
    <col min="105" max="105" width="11.7109375" style="165"/>
    <col min="106" max="106" width="11.7109375" style="149"/>
    <col min="107" max="107" width="11.7109375" style="165"/>
    <col min="108" max="108" width="11.7109375" style="149"/>
    <col min="109" max="109" width="11.7109375" style="165"/>
    <col min="110" max="110" width="11.7109375" style="149"/>
    <col min="111" max="111" width="11.7109375" style="165"/>
    <col min="112" max="112" width="11.7109375" style="149"/>
    <col min="113" max="113" width="11.7109375" style="165"/>
    <col min="114" max="114" width="11.7109375" style="149"/>
    <col min="115" max="115" width="11.7109375" style="165"/>
    <col min="116" max="116" width="11.7109375" style="149"/>
    <col min="117" max="117" width="11.7109375" style="165"/>
    <col min="118" max="118" width="11.7109375" style="149"/>
    <col min="119" max="119" width="11.7109375" style="165"/>
    <col min="120" max="120" width="11.7109375" style="149"/>
    <col min="121" max="121" width="11.7109375" style="165"/>
    <col min="122" max="122" width="11.7109375" style="149"/>
    <col min="123" max="123" width="11.7109375" style="165"/>
    <col min="124" max="124" width="11.7109375" style="149"/>
    <col min="125" max="125" width="11.7109375" style="165"/>
    <col min="126" max="16384" width="11.7109375" style="149"/>
  </cols>
  <sheetData>
    <row r="1" spans="1:126" ht="76.5" x14ac:dyDescent="0.2">
      <c r="A1" s="138" t="s">
        <v>756</v>
      </c>
      <c r="B1" s="138" t="s">
        <v>306</v>
      </c>
      <c r="C1" s="139" t="s">
        <v>260</v>
      </c>
      <c r="D1" s="140" t="s">
        <v>259</v>
      </c>
      <c r="E1" s="139" t="s">
        <v>757</v>
      </c>
      <c r="F1" s="140" t="s">
        <v>758</v>
      </c>
      <c r="G1" s="139" t="s">
        <v>759</v>
      </c>
      <c r="H1" s="140" t="s">
        <v>760</v>
      </c>
      <c r="I1" s="139" t="s">
        <v>761</v>
      </c>
      <c r="J1" s="140" t="s">
        <v>762</v>
      </c>
      <c r="K1" s="139" t="s">
        <v>763</v>
      </c>
      <c r="L1" s="140" t="s">
        <v>764</v>
      </c>
      <c r="M1" s="141" t="s">
        <v>765</v>
      </c>
      <c r="N1" s="142" t="s">
        <v>766</v>
      </c>
      <c r="O1" s="143" t="s">
        <v>767</v>
      </c>
      <c r="P1" s="144" t="s">
        <v>768</v>
      </c>
      <c r="Q1" s="143" t="s">
        <v>769</v>
      </c>
      <c r="R1" s="144" t="s">
        <v>770</v>
      </c>
      <c r="S1" s="143" t="s">
        <v>771</v>
      </c>
      <c r="T1" s="144" t="s">
        <v>1262</v>
      </c>
      <c r="U1" s="143" t="s">
        <v>772</v>
      </c>
      <c r="V1" s="144" t="s">
        <v>773</v>
      </c>
      <c r="W1" s="143" t="s">
        <v>774</v>
      </c>
      <c r="X1" s="144" t="s">
        <v>775</v>
      </c>
      <c r="Y1" s="143" t="s">
        <v>776</v>
      </c>
      <c r="Z1" s="144" t="s">
        <v>777</v>
      </c>
      <c r="AA1" s="143" t="s">
        <v>778</v>
      </c>
      <c r="AB1" s="144" t="s">
        <v>779</v>
      </c>
      <c r="AC1" s="143" t="s">
        <v>780</v>
      </c>
      <c r="AD1" s="144" t="s">
        <v>781</v>
      </c>
      <c r="AE1" s="143" t="s">
        <v>782</v>
      </c>
      <c r="AF1" s="144" t="s">
        <v>783</v>
      </c>
      <c r="AG1" s="143" t="s">
        <v>1019</v>
      </c>
      <c r="AH1" s="144" t="s">
        <v>1020</v>
      </c>
      <c r="AI1" s="143" t="s">
        <v>784</v>
      </c>
      <c r="AJ1" s="144" t="s">
        <v>785</v>
      </c>
      <c r="AK1" s="145" t="s">
        <v>786</v>
      </c>
      <c r="AL1" s="146" t="s">
        <v>787</v>
      </c>
      <c r="AM1" s="145" t="s">
        <v>788</v>
      </c>
      <c r="AN1" s="146" t="s">
        <v>789</v>
      </c>
      <c r="AO1" s="145" t="s">
        <v>790</v>
      </c>
      <c r="AP1" s="146" t="s">
        <v>791</v>
      </c>
      <c r="AQ1" s="145" t="s">
        <v>792</v>
      </c>
      <c r="AR1" s="146" t="s">
        <v>793</v>
      </c>
      <c r="AS1" s="147" t="s">
        <v>794</v>
      </c>
      <c r="AT1" s="148" t="s">
        <v>1164</v>
      </c>
      <c r="AU1" s="147" t="s">
        <v>795</v>
      </c>
      <c r="AV1" s="148" t="s">
        <v>796</v>
      </c>
      <c r="AW1" s="147" t="s">
        <v>797</v>
      </c>
      <c r="AX1" s="148" t="s">
        <v>798</v>
      </c>
      <c r="AY1" s="147" t="s">
        <v>799</v>
      </c>
      <c r="AZ1" s="148" t="s">
        <v>800</v>
      </c>
      <c r="BA1" s="147" t="s">
        <v>801</v>
      </c>
      <c r="BB1" s="148" t="s">
        <v>802</v>
      </c>
      <c r="BC1" s="147" t="s">
        <v>803</v>
      </c>
      <c r="BD1" s="148" t="s">
        <v>804</v>
      </c>
      <c r="BE1" s="147" t="s">
        <v>805</v>
      </c>
      <c r="BF1" s="148" t="s">
        <v>806</v>
      </c>
      <c r="BG1" s="147" t="s">
        <v>807</v>
      </c>
      <c r="BH1" s="148" t="s">
        <v>808</v>
      </c>
      <c r="BI1" s="147" t="s">
        <v>809</v>
      </c>
      <c r="BJ1" s="148" t="s">
        <v>810</v>
      </c>
      <c r="BK1" s="147" t="s">
        <v>811</v>
      </c>
      <c r="BL1" s="148" t="s">
        <v>812</v>
      </c>
      <c r="BM1" s="147" t="s">
        <v>813</v>
      </c>
      <c r="BN1" s="148" t="s">
        <v>814</v>
      </c>
      <c r="BO1" s="147" t="s">
        <v>815</v>
      </c>
      <c r="BP1" s="148" t="s">
        <v>816</v>
      </c>
      <c r="BQ1" s="147" t="s">
        <v>817</v>
      </c>
      <c r="BR1" s="148" t="s">
        <v>818</v>
      </c>
      <c r="BS1" s="147" t="s">
        <v>819</v>
      </c>
      <c r="BT1" s="148" t="s">
        <v>820</v>
      </c>
      <c r="BU1" s="147" t="s">
        <v>821</v>
      </c>
      <c r="BV1" s="148" t="s">
        <v>822</v>
      </c>
      <c r="BW1" s="147" t="s">
        <v>823</v>
      </c>
      <c r="BX1" s="148" t="s">
        <v>824</v>
      </c>
      <c r="BY1" s="147" t="s">
        <v>825</v>
      </c>
      <c r="BZ1" s="148" t="s">
        <v>826</v>
      </c>
      <c r="CA1" s="147" t="s">
        <v>827</v>
      </c>
      <c r="CB1" s="148" t="s">
        <v>828</v>
      </c>
      <c r="CC1" s="147" t="s">
        <v>829</v>
      </c>
      <c r="CD1" s="148" t="s">
        <v>830</v>
      </c>
      <c r="CE1" s="147" t="s">
        <v>831</v>
      </c>
      <c r="CF1" s="148" t="s">
        <v>832</v>
      </c>
      <c r="CG1" s="147" t="s">
        <v>833</v>
      </c>
      <c r="CH1" s="148" t="s">
        <v>834</v>
      </c>
      <c r="CI1" s="147" t="s">
        <v>835</v>
      </c>
      <c r="CJ1" s="148" t="s">
        <v>836</v>
      </c>
      <c r="CK1" s="147" t="s">
        <v>837</v>
      </c>
      <c r="CL1" s="148" t="s">
        <v>838</v>
      </c>
      <c r="CM1" s="147" t="s">
        <v>839</v>
      </c>
      <c r="CN1" s="148" t="s">
        <v>840</v>
      </c>
      <c r="CO1" s="147" t="s">
        <v>841</v>
      </c>
      <c r="CP1" s="148" t="s">
        <v>842</v>
      </c>
      <c r="CQ1" s="147" t="s">
        <v>843</v>
      </c>
      <c r="CR1" s="148" t="s">
        <v>844</v>
      </c>
      <c r="CS1" s="147" t="s">
        <v>1133</v>
      </c>
      <c r="CT1" s="148" t="s">
        <v>1134</v>
      </c>
      <c r="CU1" s="147" t="s">
        <v>845</v>
      </c>
      <c r="CV1" s="148" t="s">
        <v>846</v>
      </c>
      <c r="CW1" s="147" t="s">
        <v>847</v>
      </c>
      <c r="CX1" s="148" t="s">
        <v>848</v>
      </c>
      <c r="CY1" s="147" t="s">
        <v>849</v>
      </c>
      <c r="CZ1" s="148" t="s">
        <v>850</v>
      </c>
      <c r="DA1" s="147" t="s">
        <v>851</v>
      </c>
      <c r="DB1" s="148" t="s">
        <v>852</v>
      </c>
      <c r="DC1" s="147" t="s">
        <v>853</v>
      </c>
      <c r="DD1" s="148" t="s">
        <v>854</v>
      </c>
      <c r="DE1" s="147" t="s">
        <v>855</v>
      </c>
      <c r="DF1" s="148" t="s">
        <v>856</v>
      </c>
      <c r="DG1" s="147" t="s">
        <v>857</v>
      </c>
      <c r="DH1" s="148" t="s">
        <v>858</v>
      </c>
      <c r="DI1" s="147" t="s">
        <v>859</v>
      </c>
      <c r="DJ1" s="148" t="s">
        <v>860</v>
      </c>
      <c r="DK1" s="147" t="s">
        <v>861</v>
      </c>
      <c r="DL1" s="148" t="s">
        <v>862</v>
      </c>
      <c r="DM1" s="147" t="s">
        <v>863</v>
      </c>
      <c r="DN1" s="148" t="s">
        <v>1151</v>
      </c>
      <c r="DO1" s="147" t="s">
        <v>864</v>
      </c>
      <c r="DP1" s="148" t="s">
        <v>865</v>
      </c>
      <c r="DQ1" s="147" t="s">
        <v>866</v>
      </c>
      <c r="DR1" s="148" t="s">
        <v>867</v>
      </c>
      <c r="DS1" s="147" t="s">
        <v>868</v>
      </c>
      <c r="DT1" s="148" t="s">
        <v>869</v>
      </c>
      <c r="DU1" s="147" t="s">
        <v>870</v>
      </c>
      <c r="DV1" s="148" t="s">
        <v>871</v>
      </c>
    </row>
    <row r="2" spans="1:126" x14ac:dyDescent="0.2">
      <c r="A2" s="150" t="s">
        <v>4</v>
      </c>
      <c r="B2" s="150" t="s">
        <v>872</v>
      </c>
      <c r="C2" s="151">
        <f t="shared" ref="C2:D17" si="0">E2+G2+I2</f>
        <v>20034</v>
      </c>
      <c r="D2" s="152">
        <f>F2+H2+J2</f>
        <v>40002</v>
      </c>
      <c r="E2" s="151">
        <f t="shared" ref="E2:E17" si="1">K2+M2+O1:O2+Q2+S2+U2+W2+Y2+AA2+AC2+AE2+AI2</f>
        <v>20034</v>
      </c>
      <c r="F2" s="152">
        <f>L2+N2+P1:P2+R2+T2+V2+X2+Z2+AB2+AD2+AF2+AJ2+AH2</f>
        <v>40002</v>
      </c>
      <c r="G2" s="151">
        <f>AK2+AM2+AO2+AQ2+AS2+AU2+AW2+AY2+BA2+BC2+BE2+BG2+BI2+BK2+BM2+BO2+BQ2+BS2+BU2+BW2+BY2+CA2+CC2+CE2+CG2+CI2+CK2+CM2+CO2+CQ2+CS2+CU2+CW2+DA2+CY2+DC2+DE2+DG2+DI2+DK2+DM2+DO2+DQ2+DS2+DU2</f>
        <v>0</v>
      </c>
      <c r="H2" s="152">
        <f>AL2+AN2+AP2+AR2+AT2+AV2+AX2+AZ2+BB2+BD2+BF2+BH2+BJ2+BL2+BN2+BP2+BR2+BT2+BV2+BX2+BZ2+CB2+CD2+CF2+CH2+CJ2+CL2+CN2+CP2+CR2+CT2+CV2+CX2+DB2+CZ2+DD2+DF2+DH2+DJ2+DL2+DN2+DP2+DR2+DT2+DV2</f>
        <v>0</v>
      </c>
      <c r="I2" s="151"/>
      <c r="J2" s="152"/>
      <c r="K2" s="151"/>
      <c r="L2" s="152"/>
      <c r="M2" s="151"/>
      <c r="N2" s="152"/>
      <c r="O2" s="151"/>
      <c r="P2" s="152"/>
      <c r="Q2" s="151">
        <v>20034</v>
      </c>
      <c r="R2" s="152">
        <f>19273+1000</f>
        <v>20273</v>
      </c>
      <c r="S2" s="151"/>
      <c r="T2" s="152"/>
      <c r="U2" s="151"/>
      <c r="V2" s="152"/>
      <c r="W2" s="151"/>
      <c r="X2" s="152"/>
      <c r="Y2" s="151"/>
      <c r="Z2" s="152"/>
      <c r="AA2" s="151"/>
      <c r="AB2" s="152"/>
      <c r="AC2" s="151"/>
      <c r="AD2" s="152"/>
      <c r="AE2" s="151"/>
      <c r="AF2" s="152">
        <v>11413</v>
      </c>
      <c r="AG2" s="151"/>
      <c r="AH2" s="152">
        <v>8316</v>
      </c>
      <c r="AI2" s="151"/>
      <c r="AJ2" s="152"/>
      <c r="AK2" s="151"/>
      <c r="AL2" s="152"/>
      <c r="AM2" s="151"/>
      <c r="AN2" s="152"/>
      <c r="AO2" s="151"/>
      <c r="AP2" s="152"/>
      <c r="AQ2" s="151"/>
      <c r="AR2" s="152"/>
      <c r="AS2" s="151"/>
      <c r="AT2" s="152"/>
      <c r="AU2" s="151"/>
      <c r="AV2" s="152"/>
      <c r="AW2" s="151"/>
      <c r="AX2" s="152"/>
      <c r="AY2" s="151"/>
      <c r="AZ2" s="152"/>
      <c r="BA2" s="151"/>
      <c r="BB2" s="152"/>
      <c r="BC2" s="151"/>
      <c r="BD2" s="152"/>
      <c r="BE2" s="151"/>
      <c r="BF2" s="152"/>
      <c r="BG2" s="151"/>
      <c r="BH2" s="152"/>
      <c r="BI2" s="151"/>
      <c r="BJ2" s="152"/>
      <c r="BK2" s="151"/>
      <c r="BL2" s="152"/>
      <c r="BM2" s="151"/>
      <c r="BN2" s="152"/>
      <c r="BO2" s="151"/>
      <c r="BP2" s="152"/>
      <c r="BQ2" s="151"/>
      <c r="BR2" s="152"/>
      <c r="BS2" s="151"/>
      <c r="BT2" s="152"/>
      <c r="BU2" s="151"/>
      <c r="BV2" s="152"/>
      <c r="BW2" s="151"/>
      <c r="BX2" s="152"/>
      <c r="BY2" s="151"/>
      <c r="BZ2" s="152"/>
      <c r="CA2" s="151"/>
      <c r="CB2" s="152"/>
      <c r="CC2" s="151"/>
      <c r="CD2" s="152"/>
      <c r="CE2" s="151"/>
      <c r="CF2" s="152"/>
      <c r="CG2" s="151"/>
      <c r="CH2" s="152"/>
      <c r="CI2" s="151"/>
      <c r="CJ2" s="152"/>
      <c r="CK2" s="151"/>
      <c r="CL2" s="152"/>
      <c r="CM2" s="151"/>
      <c r="CN2" s="152"/>
      <c r="CO2" s="151"/>
      <c r="CP2" s="152"/>
      <c r="CQ2" s="151"/>
      <c r="CR2" s="152"/>
      <c r="CS2" s="151"/>
      <c r="CT2" s="152"/>
      <c r="CU2" s="151"/>
      <c r="CV2" s="152"/>
      <c r="CW2" s="151"/>
      <c r="CX2" s="152"/>
      <c r="CY2" s="151"/>
      <c r="CZ2" s="152"/>
      <c r="DA2" s="151"/>
      <c r="DB2" s="152"/>
      <c r="DC2" s="151"/>
      <c r="DD2" s="152"/>
      <c r="DE2" s="151"/>
      <c r="DF2" s="152"/>
      <c r="DG2" s="151"/>
      <c r="DH2" s="152"/>
      <c r="DI2" s="151"/>
      <c r="DJ2" s="152"/>
      <c r="DK2" s="151"/>
      <c r="DL2" s="152"/>
      <c r="DM2" s="151"/>
      <c r="DN2" s="152"/>
      <c r="DO2" s="151"/>
      <c r="DP2" s="152"/>
      <c r="DQ2" s="151"/>
      <c r="DR2" s="152"/>
      <c r="DS2" s="151"/>
      <c r="DT2" s="152"/>
      <c r="DU2" s="151"/>
      <c r="DV2" s="152"/>
    </row>
    <row r="3" spans="1:126" x14ac:dyDescent="0.2">
      <c r="A3" s="150" t="s">
        <v>7</v>
      </c>
      <c r="B3" s="150" t="s">
        <v>9</v>
      </c>
      <c r="C3" s="151">
        <f t="shared" si="0"/>
        <v>0</v>
      </c>
      <c r="D3" s="152">
        <f t="shared" si="0"/>
        <v>0</v>
      </c>
      <c r="E3" s="151">
        <f t="shared" si="1"/>
        <v>0</v>
      </c>
      <c r="F3" s="152">
        <f t="shared" ref="F3:F17" si="2">L3+N3+P2:P3+R3+T3+V3+X3+Z3+AB3+AD3+AF3+AJ3+AH3</f>
        <v>0</v>
      </c>
      <c r="G3" s="151">
        <f t="shared" ref="G3:H42" si="3">AK3+AM3+AO3+AQ3+AS3+AU3+AW3+AY3+BA3+BC3+BE3+BG3+BI3+BK3+BM3+BO3+BQ3+BS3+BU3+BW3+BY3+CA3+CC3+CE3+CG3+CI3+CK3+CM3+CO3+CQ3+CS3+CU3+CW3+DA3+CY3+DC3+DE3+DG3+DI3+DK3+DM3+DO3+DQ3+DS3+DU3</f>
        <v>0</v>
      </c>
      <c r="H3" s="152">
        <f t="shared" si="3"/>
        <v>0</v>
      </c>
      <c r="I3" s="151"/>
      <c r="J3" s="152"/>
      <c r="K3" s="151"/>
      <c r="L3" s="152"/>
      <c r="M3" s="151"/>
      <c r="N3" s="152"/>
      <c r="O3" s="151"/>
      <c r="P3" s="152"/>
      <c r="Q3" s="151"/>
      <c r="R3" s="152"/>
      <c r="S3" s="151"/>
      <c r="T3" s="152"/>
      <c r="U3" s="151"/>
      <c r="V3" s="152"/>
      <c r="W3" s="151"/>
      <c r="X3" s="152"/>
      <c r="Y3" s="151"/>
      <c r="Z3" s="152"/>
      <c r="AA3" s="151"/>
      <c r="AB3" s="152"/>
      <c r="AC3" s="151"/>
      <c r="AD3" s="152"/>
      <c r="AE3" s="151"/>
      <c r="AF3" s="152"/>
      <c r="AG3" s="151"/>
      <c r="AH3" s="152"/>
      <c r="AI3" s="151"/>
      <c r="AJ3" s="152"/>
      <c r="AK3" s="151"/>
      <c r="AL3" s="152"/>
      <c r="AM3" s="151"/>
      <c r="AN3" s="152"/>
      <c r="AO3" s="151"/>
      <c r="AP3" s="152"/>
      <c r="AQ3" s="151"/>
      <c r="AR3" s="152"/>
      <c r="AS3" s="151"/>
      <c r="AT3" s="152"/>
      <c r="AU3" s="151"/>
      <c r="AV3" s="152"/>
      <c r="AW3" s="151"/>
      <c r="AX3" s="152"/>
      <c r="AY3" s="151"/>
      <c r="AZ3" s="152"/>
      <c r="BA3" s="151"/>
      <c r="BB3" s="152"/>
      <c r="BC3" s="151"/>
      <c r="BD3" s="152"/>
      <c r="BE3" s="151"/>
      <c r="BF3" s="152"/>
      <c r="BG3" s="151"/>
      <c r="BH3" s="152"/>
      <c r="BI3" s="151"/>
      <c r="BJ3" s="152"/>
      <c r="BK3" s="151"/>
      <c r="BL3" s="152"/>
      <c r="BM3" s="151"/>
      <c r="BN3" s="152"/>
      <c r="BO3" s="151"/>
      <c r="BP3" s="152"/>
      <c r="BQ3" s="151"/>
      <c r="BR3" s="152"/>
      <c r="BS3" s="151"/>
      <c r="BT3" s="152"/>
      <c r="BU3" s="151"/>
      <c r="BV3" s="152"/>
      <c r="BW3" s="151"/>
      <c r="BX3" s="152"/>
      <c r="BY3" s="151"/>
      <c r="BZ3" s="152"/>
      <c r="CA3" s="151"/>
      <c r="CB3" s="152"/>
      <c r="CC3" s="151"/>
      <c r="CD3" s="152"/>
      <c r="CE3" s="151"/>
      <c r="CF3" s="152"/>
      <c r="CG3" s="151"/>
      <c r="CH3" s="152"/>
      <c r="CI3" s="151"/>
      <c r="CJ3" s="152"/>
      <c r="CK3" s="151"/>
      <c r="CL3" s="152"/>
      <c r="CM3" s="151"/>
      <c r="CN3" s="152"/>
      <c r="CO3" s="151"/>
      <c r="CP3" s="152"/>
      <c r="CQ3" s="151"/>
      <c r="CR3" s="152"/>
      <c r="CS3" s="151"/>
      <c r="CT3" s="152"/>
      <c r="CU3" s="151"/>
      <c r="CV3" s="152"/>
      <c r="CW3" s="151"/>
      <c r="CX3" s="152"/>
      <c r="CY3" s="151"/>
      <c r="CZ3" s="152"/>
      <c r="DA3" s="151"/>
      <c r="DB3" s="152"/>
      <c r="DC3" s="151"/>
      <c r="DD3" s="152"/>
      <c r="DE3" s="151"/>
      <c r="DF3" s="152"/>
      <c r="DG3" s="151"/>
      <c r="DH3" s="152"/>
      <c r="DI3" s="151"/>
      <c r="DJ3" s="152"/>
      <c r="DK3" s="151"/>
      <c r="DL3" s="152"/>
      <c r="DM3" s="151"/>
      <c r="DN3" s="152"/>
      <c r="DO3" s="151"/>
      <c r="DP3" s="152"/>
      <c r="DQ3" s="151"/>
      <c r="DR3" s="152"/>
      <c r="DS3" s="151"/>
      <c r="DT3" s="152"/>
      <c r="DU3" s="151"/>
      <c r="DV3" s="152"/>
    </row>
    <row r="4" spans="1:126" x14ac:dyDescent="0.2">
      <c r="A4" s="150" t="s">
        <v>10</v>
      </c>
      <c r="B4" s="150" t="s">
        <v>12</v>
      </c>
      <c r="C4" s="151">
        <f t="shared" si="0"/>
        <v>0</v>
      </c>
      <c r="D4" s="152">
        <f t="shared" si="0"/>
        <v>0</v>
      </c>
      <c r="E4" s="151">
        <f t="shared" si="1"/>
        <v>0</v>
      </c>
      <c r="F4" s="152">
        <f t="shared" si="2"/>
        <v>0</v>
      </c>
      <c r="G4" s="151">
        <f t="shared" si="3"/>
        <v>0</v>
      </c>
      <c r="H4" s="152">
        <f t="shared" si="3"/>
        <v>0</v>
      </c>
      <c r="I4" s="151"/>
      <c r="J4" s="152"/>
      <c r="K4" s="151"/>
      <c r="L4" s="152"/>
      <c r="M4" s="151"/>
      <c r="N4" s="152"/>
      <c r="O4" s="151"/>
      <c r="P4" s="152"/>
      <c r="Q4" s="151"/>
      <c r="R4" s="152"/>
      <c r="S4" s="151"/>
      <c r="T4" s="152"/>
      <c r="U4" s="151"/>
      <c r="V4" s="152"/>
      <c r="W4" s="151"/>
      <c r="X4" s="152"/>
      <c r="Y4" s="151"/>
      <c r="Z4" s="152"/>
      <c r="AA4" s="151"/>
      <c r="AB4" s="152"/>
      <c r="AC4" s="151"/>
      <c r="AD4" s="152"/>
      <c r="AE4" s="151"/>
      <c r="AF4" s="152"/>
      <c r="AG4" s="151"/>
      <c r="AH4" s="152"/>
      <c r="AI4" s="151"/>
      <c r="AJ4" s="152"/>
      <c r="AK4" s="151"/>
      <c r="AL4" s="152"/>
      <c r="AM4" s="151"/>
      <c r="AN4" s="152"/>
      <c r="AO4" s="151"/>
      <c r="AP4" s="152"/>
      <c r="AQ4" s="151"/>
      <c r="AR4" s="152"/>
      <c r="AS4" s="151"/>
      <c r="AT4" s="152"/>
      <c r="AU4" s="151"/>
      <c r="AV4" s="152"/>
      <c r="AW4" s="151"/>
      <c r="AX4" s="152"/>
      <c r="AY4" s="151"/>
      <c r="AZ4" s="152"/>
      <c r="BA4" s="151"/>
      <c r="BB4" s="152"/>
      <c r="BC4" s="151"/>
      <c r="BD4" s="152"/>
      <c r="BE4" s="151"/>
      <c r="BF4" s="152"/>
      <c r="BG4" s="151"/>
      <c r="BH4" s="152"/>
      <c r="BI4" s="151"/>
      <c r="BJ4" s="152"/>
      <c r="BK4" s="151"/>
      <c r="BL4" s="152"/>
      <c r="BM4" s="151"/>
      <c r="BN4" s="152"/>
      <c r="BO4" s="151"/>
      <c r="BP4" s="152"/>
      <c r="BQ4" s="151"/>
      <c r="BR4" s="152"/>
      <c r="BS4" s="151"/>
      <c r="BT4" s="152"/>
      <c r="BU4" s="151"/>
      <c r="BV4" s="152"/>
      <c r="BW4" s="151"/>
      <c r="BX4" s="152"/>
      <c r="BY4" s="151"/>
      <c r="BZ4" s="152"/>
      <c r="CA4" s="151"/>
      <c r="CB4" s="152"/>
      <c r="CC4" s="151"/>
      <c r="CD4" s="152"/>
      <c r="CE4" s="151"/>
      <c r="CF4" s="152"/>
      <c r="CG4" s="151"/>
      <c r="CH4" s="152"/>
      <c r="CI4" s="151"/>
      <c r="CJ4" s="152"/>
      <c r="CK4" s="151"/>
      <c r="CL4" s="152"/>
      <c r="CM4" s="151"/>
      <c r="CN4" s="152"/>
      <c r="CO4" s="151"/>
      <c r="CP4" s="152"/>
      <c r="CQ4" s="151"/>
      <c r="CR4" s="152"/>
      <c r="CS4" s="151"/>
      <c r="CT4" s="152"/>
      <c r="CU4" s="151"/>
      <c r="CV4" s="152"/>
      <c r="CW4" s="151"/>
      <c r="CX4" s="152"/>
      <c r="CY4" s="151"/>
      <c r="CZ4" s="152"/>
      <c r="DA4" s="151"/>
      <c r="DB4" s="152"/>
      <c r="DC4" s="151"/>
      <c r="DD4" s="152"/>
      <c r="DE4" s="151"/>
      <c r="DF4" s="152"/>
      <c r="DG4" s="151"/>
      <c r="DH4" s="152"/>
      <c r="DI4" s="151"/>
      <c r="DJ4" s="152"/>
      <c r="DK4" s="151"/>
      <c r="DL4" s="152"/>
      <c r="DM4" s="151"/>
      <c r="DN4" s="152"/>
      <c r="DO4" s="151"/>
      <c r="DP4" s="152"/>
      <c r="DQ4" s="151"/>
      <c r="DR4" s="152"/>
      <c r="DS4" s="151"/>
      <c r="DT4" s="152"/>
      <c r="DU4" s="151"/>
      <c r="DV4" s="152"/>
    </row>
    <row r="5" spans="1:126" x14ac:dyDescent="0.2">
      <c r="A5" s="150" t="s">
        <v>13</v>
      </c>
      <c r="B5" s="150" t="s">
        <v>15</v>
      </c>
      <c r="C5" s="151">
        <f t="shared" si="0"/>
        <v>477</v>
      </c>
      <c r="D5" s="152">
        <f t="shared" si="0"/>
        <v>1500</v>
      </c>
      <c r="E5" s="151">
        <f t="shared" si="1"/>
        <v>477</v>
      </c>
      <c r="F5" s="152">
        <f t="shared" si="2"/>
        <v>1500</v>
      </c>
      <c r="G5" s="151">
        <f t="shared" si="3"/>
        <v>0</v>
      </c>
      <c r="H5" s="152">
        <f t="shared" si="3"/>
        <v>0</v>
      </c>
      <c r="I5" s="151"/>
      <c r="J5" s="152"/>
      <c r="K5" s="151"/>
      <c r="L5" s="152"/>
      <c r="M5" s="151"/>
      <c r="N5" s="152"/>
      <c r="O5" s="151"/>
      <c r="P5" s="152"/>
      <c r="Q5" s="151">
        <v>477</v>
      </c>
      <c r="R5" s="152">
        <v>1500</v>
      </c>
      <c r="S5" s="151"/>
      <c r="T5" s="152"/>
      <c r="U5" s="151"/>
      <c r="V5" s="152"/>
      <c r="W5" s="151"/>
      <c r="X5" s="152"/>
      <c r="Y5" s="151"/>
      <c r="Z5" s="152"/>
      <c r="AA5" s="151"/>
      <c r="AB5" s="152"/>
      <c r="AC5" s="151"/>
      <c r="AD5" s="152"/>
      <c r="AE5" s="151"/>
      <c r="AF5" s="152"/>
      <c r="AG5" s="151"/>
      <c r="AH5" s="152"/>
      <c r="AI5" s="151"/>
      <c r="AJ5" s="152"/>
      <c r="AK5" s="151"/>
      <c r="AL5" s="152"/>
      <c r="AM5" s="151"/>
      <c r="AN5" s="152"/>
      <c r="AO5" s="151"/>
      <c r="AP5" s="152"/>
      <c r="AQ5" s="151"/>
      <c r="AR5" s="152"/>
      <c r="AS5" s="151"/>
      <c r="AT5" s="152"/>
      <c r="AU5" s="151"/>
      <c r="AV5" s="152"/>
      <c r="AW5" s="151"/>
      <c r="AX5" s="152"/>
      <c r="AY5" s="151"/>
      <c r="AZ5" s="152"/>
      <c r="BA5" s="151"/>
      <c r="BB5" s="152"/>
      <c r="BC5" s="151"/>
      <c r="BD5" s="152"/>
      <c r="BE5" s="151"/>
      <c r="BF5" s="152"/>
      <c r="BG5" s="151"/>
      <c r="BH5" s="152"/>
      <c r="BI5" s="151"/>
      <c r="BJ5" s="152"/>
      <c r="BK5" s="151"/>
      <c r="BL5" s="152"/>
      <c r="BM5" s="151"/>
      <c r="BN5" s="152"/>
      <c r="BO5" s="151"/>
      <c r="BP5" s="152"/>
      <c r="BQ5" s="151"/>
      <c r="BR5" s="152"/>
      <c r="BS5" s="151"/>
      <c r="BT5" s="152"/>
      <c r="BU5" s="151"/>
      <c r="BV5" s="152"/>
      <c r="BW5" s="151"/>
      <c r="BX5" s="152"/>
      <c r="BY5" s="151"/>
      <c r="BZ5" s="152"/>
      <c r="CA5" s="151"/>
      <c r="CB5" s="152"/>
      <c r="CC5" s="151"/>
      <c r="CD5" s="152"/>
      <c r="CE5" s="151"/>
      <c r="CF5" s="152"/>
      <c r="CG5" s="151"/>
      <c r="CH5" s="152"/>
      <c r="CI5" s="151"/>
      <c r="CJ5" s="152"/>
      <c r="CK5" s="151"/>
      <c r="CL5" s="152"/>
      <c r="CM5" s="151"/>
      <c r="CN5" s="152"/>
      <c r="CO5" s="151"/>
      <c r="CP5" s="152"/>
      <c r="CQ5" s="151"/>
      <c r="CR5" s="152"/>
      <c r="CS5" s="151"/>
      <c r="CT5" s="152"/>
      <c r="CU5" s="151"/>
      <c r="CV5" s="152"/>
      <c r="CW5" s="151"/>
      <c r="CX5" s="152"/>
      <c r="CY5" s="151"/>
      <c r="CZ5" s="152"/>
      <c r="DA5" s="151"/>
      <c r="DB5" s="152"/>
      <c r="DC5" s="151"/>
      <c r="DD5" s="152"/>
      <c r="DE5" s="151"/>
      <c r="DF5" s="152"/>
      <c r="DG5" s="151"/>
      <c r="DH5" s="152"/>
      <c r="DI5" s="151"/>
      <c r="DJ5" s="152"/>
      <c r="DK5" s="151"/>
      <c r="DL5" s="152"/>
      <c r="DM5" s="151"/>
      <c r="DN5" s="152"/>
      <c r="DO5" s="151"/>
      <c r="DP5" s="152"/>
      <c r="DQ5" s="151"/>
      <c r="DR5" s="152"/>
      <c r="DS5" s="151"/>
      <c r="DT5" s="152"/>
      <c r="DU5" s="151"/>
      <c r="DV5" s="152"/>
    </row>
    <row r="6" spans="1:126" x14ac:dyDescent="0.2">
      <c r="A6" s="150" t="s">
        <v>18</v>
      </c>
      <c r="B6" s="150" t="s">
        <v>20</v>
      </c>
      <c r="C6" s="151">
        <f t="shared" si="0"/>
        <v>0</v>
      </c>
      <c r="D6" s="152">
        <f t="shared" si="0"/>
        <v>0</v>
      </c>
      <c r="E6" s="151">
        <f t="shared" si="1"/>
        <v>0</v>
      </c>
      <c r="F6" s="152">
        <f t="shared" si="2"/>
        <v>0</v>
      </c>
      <c r="G6" s="151">
        <f t="shared" si="3"/>
        <v>0</v>
      </c>
      <c r="H6" s="152">
        <f t="shared" si="3"/>
        <v>0</v>
      </c>
      <c r="I6" s="151"/>
      <c r="J6" s="152"/>
      <c r="K6" s="151"/>
      <c r="L6" s="152"/>
      <c r="M6" s="151"/>
      <c r="N6" s="152"/>
      <c r="O6" s="151"/>
      <c r="P6" s="152"/>
      <c r="Q6" s="151"/>
      <c r="R6" s="152"/>
      <c r="S6" s="151"/>
      <c r="T6" s="152"/>
      <c r="U6" s="151"/>
      <c r="V6" s="152"/>
      <c r="W6" s="151"/>
      <c r="X6" s="152"/>
      <c r="Y6" s="151"/>
      <c r="Z6" s="152"/>
      <c r="AA6" s="151"/>
      <c r="AB6" s="152"/>
      <c r="AC6" s="151"/>
      <c r="AD6" s="152"/>
      <c r="AE6" s="151"/>
      <c r="AF6" s="152"/>
      <c r="AG6" s="151"/>
      <c r="AH6" s="152"/>
      <c r="AI6" s="151"/>
      <c r="AJ6" s="152"/>
      <c r="AK6" s="151"/>
      <c r="AL6" s="152"/>
      <c r="AM6" s="151"/>
      <c r="AN6" s="152"/>
      <c r="AO6" s="151"/>
      <c r="AP6" s="152"/>
      <c r="AQ6" s="151"/>
      <c r="AR6" s="152"/>
      <c r="AS6" s="151"/>
      <c r="AT6" s="152"/>
      <c r="AU6" s="151"/>
      <c r="AV6" s="152"/>
      <c r="AW6" s="151"/>
      <c r="AX6" s="152"/>
      <c r="AY6" s="151"/>
      <c r="AZ6" s="152"/>
      <c r="BA6" s="151"/>
      <c r="BB6" s="152"/>
      <c r="BC6" s="151"/>
      <c r="BD6" s="152"/>
      <c r="BE6" s="151"/>
      <c r="BF6" s="152"/>
      <c r="BG6" s="151"/>
      <c r="BH6" s="152"/>
      <c r="BI6" s="151"/>
      <c r="BJ6" s="152"/>
      <c r="BK6" s="151"/>
      <c r="BL6" s="152"/>
      <c r="BM6" s="151"/>
      <c r="BN6" s="152"/>
      <c r="BO6" s="151"/>
      <c r="BP6" s="152"/>
      <c r="BQ6" s="151"/>
      <c r="BR6" s="152"/>
      <c r="BS6" s="151"/>
      <c r="BT6" s="152"/>
      <c r="BU6" s="151"/>
      <c r="BV6" s="152"/>
      <c r="BW6" s="151"/>
      <c r="BX6" s="152"/>
      <c r="BY6" s="151"/>
      <c r="BZ6" s="152"/>
      <c r="CA6" s="151"/>
      <c r="CB6" s="152"/>
      <c r="CC6" s="151"/>
      <c r="CD6" s="152"/>
      <c r="CE6" s="151"/>
      <c r="CF6" s="152"/>
      <c r="CG6" s="151"/>
      <c r="CH6" s="152"/>
      <c r="CI6" s="151"/>
      <c r="CJ6" s="152"/>
      <c r="CK6" s="151"/>
      <c r="CL6" s="152"/>
      <c r="CM6" s="151"/>
      <c r="CN6" s="152"/>
      <c r="CO6" s="151"/>
      <c r="CP6" s="152"/>
      <c r="CQ6" s="151"/>
      <c r="CR6" s="152"/>
      <c r="CS6" s="151"/>
      <c r="CT6" s="152"/>
      <c r="CU6" s="151"/>
      <c r="CV6" s="152"/>
      <c r="CW6" s="151"/>
      <c r="CX6" s="152"/>
      <c r="CY6" s="151"/>
      <c r="CZ6" s="152"/>
      <c r="DA6" s="151"/>
      <c r="DB6" s="152"/>
      <c r="DC6" s="151"/>
      <c r="DD6" s="152"/>
      <c r="DE6" s="151"/>
      <c r="DF6" s="152"/>
      <c r="DG6" s="151"/>
      <c r="DH6" s="152"/>
      <c r="DI6" s="151"/>
      <c r="DJ6" s="152"/>
      <c r="DK6" s="151"/>
      <c r="DL6" s="152"/>
      <c r="DM6" s="151"/>
      <c r="DN6" s="152"/>
      <c r="DO6" s="151"/>
      <c r="DP6" s="152"/>
      <c r="DQ6" s="151"/>
      <c r="DR6" s="152"/>
      <c r="DS6" s="151"/>
      <c r="DT6" s="152"/>
      <c r="DU6" s="151"/>
      <c r="DV6" s="152"/>
    </row>
    <row r="7" spans="1:126" x14ac:dyDescent="0.2">
      <c r="A7" s="150" t="s">
        <v>21</v>
      </c>
      <c r="B7" s="150" t="s">
        <v>23</v>
      </c>
      <c r="C7" s="151">
        <f t="shared" si="0"/>
        <v>0</v>
      </c>
      <c r="D7" s="152">
        <f t="shared" si="0"/>
        <v>524</v>
      </c>
      <c r="E7" s="151">
        <f t="shared" si="1"/>
        <v>0</v>
      </c>
      <c r="F7" s="152">
        <f t="shared" si="2"/>
        <v>524</v>
      </c>
      <c r="G7" s="151">
        <f t="shared" si="3"/>
        <v>0</v>
      </c>
      <c r="H7" s="152">
        <f t="shared" si="3"/>
        <v>0</v>
      </c>
      <c r="I7" s="151"/>
      <c r="J7" s="152"/>
      <c r="K7" s="151"/>
      <c r="L7" s="152"/>
      <c r="M7" s="151"/>
      <c r="N7" s="152"/>
      <c r="O7" s="151"/>
      <c r="P7" s="152"/>
      <c r="Q7" s="151"/>
      <c r="R7" s="152">
        <v>524</v>
      </c>
      <c r="S7" s="151"/>
      <c r="T7" s="152"/>
      <c r="U7" s="151"/>
      <c r="V7" s="152"/>
      <c r="W7" s="151"/>
      <c r="X7" s="152"/>
      <c r="Y7" s="151"/>
      <c r="Z7" s="152"/>
      <c r="AA7" s="151"/>
      <c r="AB7" s="152"/>
      <c r="AC7" s="151"/>
      <c r="AD7" s="152"/>
      <c r="AE7" s="151"/>
      <c r="AF7" s="152"/>
      <c r="AG7" s="151"/>
      <c r="AH7" s="152"/>
      <c r="AI7" s="151"/>
      <c r="AJ7" s="152"/>
      <c r="AK7" s="151"/>
      <c r="AL7" s="152"/>
      <c r="AM7" s="151"/>
      <c r="AN7" s="152"/>
      <c r="AO7" s="151"/>
      <c r="AP7" s="152"/>
      <c r="AQ7" s="151"/>
      <c r="AR7" s="152"/>
      <c r="AS7" s="151"/>
      <c r="AT7" s="152"/>
      <c r="AU7" s="151"/>
      <c r="AV7" s="152"/>
      <c r="AW7" s="151"/>
      <c r="AX7" s="152"/>
      <c r="AY7" s="151"/>
      <c r="AZ7" s="152"/>
      <c r="BA7" s="151"/>
      <c r="BB7" s="152"/>
      <c r="BC7" s="151"/>
      <c r="BD7" s="152"/>
      <c r="BE7" s="151"/>
      <c r="BF7" s="152"/>
      <c r="BG7" s="151"/>
      <c r="BH7" s="152"/>
      <c r="BI7" s="151"/>
      <c r="BJ7" s="152"/>
      <c r="BK7" s="151"/>
      <c r="BL7" s="152"/>
      <c r="BM7" s="151"/>
      <c r="BN7" s="152"/>
      <c r="BO7" s="151"/>
      <c r="BP7" s="152"/>
      <c r="BQ7" s="151"/>
      <c r="BR7" s="152"/>
      <c r="BS7" s="151"/>
      <c r="BT7" s="152"/>
      <c r="BU7" s="151"/>
      <c r="BV7" s="152"/>
      <c r="BW7" s="151"/>
      <c r="BX7" s="152"/>
      <c r="BY7" s="151"/>
      <c r="BZ7" s="152"/>
      <c r="CA7" s="151"/>
      <c r="CB7" s="152"/>
      <c r="CC7" s="151"/>
      <c r="CD7" s="152"/>
      <c r="CE7" s="151"/>
      <c r="CF7" s="152"/>
      <c r="CG7" s="151"/>
      <c r="CH7" s="152"/>
      <c r="CI7" s="151"/>
      <c r="CJ7" s="152"/>
      <c r="CK7" s="151"/>
      <c r="CL7" s="152"/>
      <c r="CM7" s="151"/>
      <c r="CN7" s="152"/>
      <c r="CO7" s="151"/>
      <c r="CP7" s="152"/>
      <c r="CQ7" s="151"/>
      <c r="CR7" s="152"/>
      <c r="CS7" s="151"/>
      <c r="CT7" s="152"/>
      <c r="CU7" s="151"/>
      <c r="CV7" s="152"/>
      <c r="CW7" s="151"/>
      <c r="CX7" s="152"/>
      <c r="CY7" s="151"/>
      <c r="CZ7" s="152"/>
      <c r="DA7" s="151"/>
      <c r="DB7" s="152"/>
      <c r="DC7" s="151"/>
      <c r="DD7" s="152"/>
      <c r="DE7" s="151"/>
      <c r="DF7" s="152"/>
      <c r="DG7" s="151"/>
      <c r="DH7" s="152"/>
      <c r="DI7" s="151"/>
      <c r="DJ7" s="152"/>
      <c r="DK7" s="151"/>
      <c r="DL7" s="152"/>
      <c r="DM7" s="151"/>
      <c r="DN7" s="152"/>
      <c r="DO7" s="151"/>
      <c r="DP7" s="152"/>
      <c r="DQ7" s="151"/>
      <c r="DR7" s="152"/>
      <c r="DS7" s="151"/>
      <c r="DT7" s="152"/>
      <c r="DU7" s="151"/>
      <c r="DV7" s="152"/>
    </row>
    <row r="8" spans="1:126" x14ac:dyDescent="0.2">
      <c r="A8" s="150" t="s">
        <v>24</v>
      </c>
      <c r="B8" s="150" t="s">
        <v>26</v>
      </c>
      <c r="C8" s="151">
        <f t="shared" si="0"/>
        <v>672</v>
      </c>
      <c r="D8" s="152">
        <f t="shared" si="0"/>
        <v>672</v>
      </c>
      <c r="E8" s="151">
        <f t="shared" si="1"/>
        <v>672</v>
      </c>
      <c r="F8" s="152">
        <f t="shared" si="2"/>
        <v>672</v>
      </c>
      <c r="G8" s="151">
        <f t="shared" si="3"/>
        <v>0</v>
      </c>
      <c r="H8" s="152">
        <f t="shared" si="3"/>
        <v>0</v>
      </c>
      <c r="I8" s="151"/>
      <c r="J8" s="152"/>
      <c r="K8" s="151"/>
      <c r="L8" s="152"/>
      <c r="M8" s="151"/>
      <c r="N8" s="152"/>
      <c r="O8" s="151"/>
      <c r="P8" s="152"/>
      <c r="Q8" s="151">
        <v>672</v>
      </c>
      <c r="R8" s="152">
        <v>672</v>
      </c>
      <c r="S8" s="151"/>
      <c r="T8" s="152"/>
      <c r="U8" s="151"/>
      <c r="V8" s="152"/>
      <c r="W8" s="151"/>
      <c r="X8" s="152"/>
      <c r="Y8" s="151"/>
      <c r="Z8" s="152"/>
      <c r="AA8" s="151"/>
      <c r="AB8" s="152"/>
      <c r="AC8" s="151"/>
      <c r="AD8" s="152"/>
      <c r="AE8" s="151"/>
      <c r="AF8" s="152"/>
      <c r="AG8" s="151"/>
      <c r="AH8" s="152"/>
      <c r="AI8" s="151"/>
      <c r="AJ8" s="152"/>
      <c r="AK8" s="151"/>
      <c r="AL8" s="152"/>
      <c r="AM8" s="151"/>
      <c r="AN8" s="152"/>
      <c r="AO8" s="151"/>
      <c r="AP8" s="152"/>
      <c r="AQ8" s="151"/>
      <c r="AR8" s="152"/>
      <c r="AS8" s="151"/>
      <c r="AT8" s="152"/>
      <c r="AU8" s="151"/>
      <c r="AV8" s="152"/>
      <c r="AW8" s="151"/>
      <c r="AX8" s="152"/>
      <c r="AY8" s="151"/>
      <c r="AZ8" s="152"/>
      <c r="BA8" s="151"/>
      <c r="BB8" s="152"/>
      <c r="BC8" s="151"/>
      <c r="BD8" s="152"/>
      <c r="BE8" s="151"/>
      <c r="BF8" s="152"/>
      <c r="BG8" s="151"/>
      <c r="BH8" s="152"/>
      <c r="BI8" s="151"/>
      <c r="BJ8" s="152"/>
      <c r="BK8" s="151"/>
      <c r="BL8" s="152"/>
      <c r="BM8" s="151"/>
      <c r="BN8" s="152"/>
      <c r="BO8" s="151"/>
      <c r="BP8" s="152"/>
      <c r="BQ8" s="151"/>
      <c r="BR8" s="152"/>
      <c r="BS8" s="151"/>
      <c r="BT8" s="152"/>
      <c r="BU8" s="151"/>
      <c r="BV8" s="152"/>
      <c r="BW8" s="151"/>
      <c r="BX8" s="152"/>
      <c r="BY8" s="151"/>
      <c r="BZ8" s="152"/>
      <c r="CA8" s="151"/>
      <c r="CB8" s="152"/>
      <c r="CC8" s="151"/>
      <c r="CD8" s="152"/>
      <c r="CE8" s="151"/>
      <c r="CF8" s="152"/>
      <c r="CG8" s="151"/>
      <c r="CH8" s="152"/>
      <c r="CI8" s="151"/>
      <c r="CJ8" s="152"/>
      <c r="CK8" s="151"/>
      <c r="CL8" s="152"/>
      <c r="CM8" s="151"/>
      <c r="CN8" s="152"/>
      <c r="CO8" s="151"/>
      <c r="CP8" s="152"/>
      <c r="CQ8" s="151"/>
      <c r="CR8" s="152"/>
      <c r="CS8" s="151"/>
      <c r="CT8" s="152"/>
      <c r="CU8" s="151"/>
      <c r="CV8" s="152"/>
      <c r="CW8" s="151"/>
      <c r="CX8" s="152"/>
      <c r="CY8" s="151"/>
      <c r="CZ8" s="152"/>
      <c r="DA8" s="151"/>
      <c r="DB8" s="152"/>
      <c r="DC8" s="151"/>
      <c r="DD8" s="152"/>
      <c r="DE8" s="151"/>
      <c r="DF8" s="152"/>
      <c r="DG8" s="151"/>
      <c r="DH8" s="152"/>
      <c r="DI8" s="151"/>
      <c r="DJ8" s="152"/>
      <c r="DK8" s="151"/>
      <c r="DL8" s="152"/>
      <c r="DM8" s="151"/>
      <c r="DN8" s="152"/>
      <c r="DO8" s="151"/>
      <c r="DP8" s="152"/>
      <c r="DQ8" s="151"/>
      <c r="DR8" s="152"/>
      <c r="DS8" s="151"/>
      <c r="DT8" s="152"/>
      <c r="DU8" s="151"/>
      <c r="DV8" s="152"/>
    </row>
    <row r="9" spans="1:126" x14ac:dyDescent="0.2">
      <c r="A9" s="150" t="s">
        <v>27</v>
      </c>
      <c r="B9" s="150" t="s">
        <v>29</v>
      </c>
      <c r="C9" s="151">
        <f t="shared" si="0"/>
        <v>0</v>
      </c>
      <c r="D9" s="152">
        <f t="shared" si="0"/>
        <v>0</v>
      </c>
      <c r="E9" s="151">
        <f t="shared" si="1"/>
        <v>0</v>
      </c>
      <c r="F9" s="152">
        <f t="shared" si="2"/>
        <v>0</v>
      </c>
      <c r="G9" s="151">
        <f t="shared" si="3"/>
        <v>0</v>
      </c>
      <c r="H9" s="152">
        <f t="shared" si="3"/>
        <v>0</v>
      </c>
      <c r="I9" s="151"/>
      <c r="J9" s="152"/>
      <c r="K9" s="151"/>
      <c r="L9" s="152"/>
      <c r="M9" s="151"/>
      <c r="N9" s="152"/>
      <c r="O9" s="151"/>
      <c r="P9" s="152"/>
      <c r="Q9" s="151"/>
      <c r="R9" s="152"/>
      <c r="S9" s="151"/>
      <c r="T9" s="152"/>
      <c r="U9" s="151"/>
      <c r="V9" s="152"/>
      <c r="W9" s="151"/>
      <c r="X9" s="152"/>
      <c r="Y9" s="151"/>
      <c r="Z9" s="152"/>
      <c r="AA9" s="151"/>
      <c r="AB9" s="152"/>
      <c r="AC9" s="151"/>
      <c r="AD9" s="152"/>
      <c r="AE9" s="151"/>
      <c r="AF9" s="152"/>
      <c r="AG9" s="151"/>
      <c r="AH9" s="152"/>
      <c r="AI9" s="151"/>
      <c r="AJ9" s="152"/>
      <c r="AK9" s="151"/>
      <c r="AL9" s="152"/>
      <c r="AM9" s="151"/>
      <c r="AN9" s="152"/>
      <c r="AO9" s="151"/>
      <c r="AP9" s="152"/>
      <c r="AQ9" s="151"/>
      <c r="AR9" s="152"/>
      <c r="AS9" s="151"/>
      <c r="AT9" s="152"/>
      <c r="AU9" s="151"/>
      <c r="AV9" s="152"/>
      <c r="AW9" s="151"/>
      <c r="AX9" s="152"/>
      <c r="AY9" s="151"/>
      <c r="AZ9" s="152"/>
      <c r="BA9" s="151"/>
      <c r="BB9" s="152"/>
      <c r="BC9" s="151"/>
      <c r="BD9" s="152"/>
      <c r="BE9" s="151"/>
      <c r="BF9" s="152"/>
      <c r="BG9" s="151"/>
      <c r="BH9" s="152"/>
      <c r="BI9" s="151"/>
      <c r="BJ9" s="152"/>
      <c r="BK9" s="151"/>
      <c r="BL9" s="152"/>
      <c r="BM9" s="151"/>
      <c r="BN9" s="152"/>
      <c r="BO9" s="151"/>
      <c r="BP9" s="152"/>
      <c r="BQ9" s="151"/>
      <c r="BR9" s="152"/>
      <c r="BS9" s="151"/>
      <c r="BT9" s="152"/>
      <c r="BU9" s="151"/>
      <c r="BV9" s="152"/>
      <c r="BW9" s="151"/>
      <c r="BX9" s="152"/>
      <c r="BY9" s="151"/>
      <c r="BZ9" s="152"/>
      <c r="CA9" s="151"/>
      <c r="CB9" s="152"/>
      <c r="CC9" s="151"/>
      <c r="CD9" s="152"/>
      <c r="CE9" s="151"/>
      <c r="CF9" s="152"/>
      <c r="CG9" s="151"/>
      <c r="CH9" s="152"/>
      <c r="CI9" s="151"/>
      <c r="CJ9" s="152"/>
      <c r="CK9" s="151"/>
      <c r="CL9" s="152"/>
      <c r="CM9" s="151"/>
      <c r="CN9" s="152"/>
      <c r="CO9" s="151"/>
      <c r="CP9" s="152"/>
      <c r="CQ9" s="151"/>
      <c r="CR9" s="152"/>
      <c r="CS9" s="151"/>
      <c r="CT9" s="152"/>
      <c r="CU9" s="151"/>
      <c r="CV9" s="152"/>
      <c r="CW9" s="151"/>
      <c r="CX9" s="152"/>
      <c r="CY9" s="151"/>
      <c r="CZ9" s="152"/>
      <c r="DA9" s="151"/>
      <c r="DB9" s="152"/>
      <c r="DC9" s="151"/>
      <c r="DD9" s="152"/>
      <c r="DE9" s="151"/>
      <c r="DF9" s="152"/>
      <c r="DG9" s="151"/>
      <c r="DH9" s="152"/>
      <c r="DI9" s="151"/>
      <c r="DJ9" s="152"/>
      <c r="DK9" s="151"/>
      <c r="DL9" s="152"/>
      <c r="DM9" s="151"/>
      <c r="DN9" s="152"/>
      <c r="DO9" s="151"/>
      <c r="DP9" s="152"/>
      <c r="DQ9" s="151"/>
      <c r="DR9" s="152"/>
      <c r="DS9" s="151"/>
      <c r="DT9" s="152"/>
      <c r="DU9" s="151"/>
      <c r="DV9" s="152"/>
    </row>
    <row r="10" spans="1:126" x14ac:dyDescent="0.2">
      <c r="A10" s="150" t="s">
        <v>30</v>
      </c>
      <c r="B10" s="150" t="s">
        <v>32</v>
      </c>
      <c r="C10" s="151">
        <f t="shared" si="0"/>
        <v>350</v>
      </c>
      <c r="D10" s="152">
        <f t="shared" si="0"/>
        <v>350</v>
      </c>
      <c r="E10" s="151">
        <f t="shared" si="1"/>
        <v>350</v>
      </c>
      <c r="F10" s="152">
        <f t="shared" si="2"/>
        <v>350</v>
      </c>
      <c r="G10" s="151">
        <f t="shared" si="3"/>
        <v>0</v>
      </c>
      <c r="H10" s="152">
        <f t="shared" si="3"/>
        <v>0</v>
      </c>
      <c r="I10" s="151"/>
      <c r="J10" s="152"/>
      <c r="K10" s="151"/>
      <c r="L10" s="152"/>
      <c r="M10" s="151"/>
      <c r="N10" s="152"/>
      <c r="O10" s="151"/>
      <c r="P10" s="152"/>
      <c r="Q10" s="151">
        <v>350</v>
      </c>
      <c r="R10" s="152">
        <v>350</v>
      </c>
      <c r="S10" s="151"/>
      <c r="T10" s="152"/>
      <c r="U10" s="151"/>
      <c r="V10" s="152"/>
      <c r="W10" s="151"/>
      <c r="X10" s="152"/>
      <c r="Y10" s="151"/>
      <c r="Z10" s="152"/>
      <c r="AA10" s="151"/>
      <c r="AB10" s="152"/>
      <c r="AC10" s="151"/>
      <c r="AD10" s="152"/>
      <c r="AE10" s="151"/>
      <c r="AF10" s="152"/>
      <c r="AG10" s="151"/>
      <c r="AH10" s="152"/>
      <c r="AI10" s="151"/>
      <c r="AJ10" s="152"/>
      <c r="AK10" s="151"/>
      <c r="AL10" s="152"/>
      <c r="AM10" s="151"/>
      <c r="AN10" s="152"/>
      <c r="AO10" s="151"/>
      <c r="AP10" s="152"/>
      <c r="AQ10" s="151"/>
      <c r="AR10" s="152"/>
      <c r="AS10" s="151"/>
      <c r="AT10" s="152"/>
      <c r="AU10" s="151"/>
      <c r="AV10" s="152"/>
      <c r="AW10" s="151"/>
      <c r="AX10" s="152"/>
      <c r="AY10" s="151"/>
      <c r="AZ10" s="152"/>
      <c r="BA10" s="151"/>
      <c r="BB10" s="152"/>
      <c r="BC10" s="151"/>
      <c r="BD10" s="152"/>
      <c r="BE10" s="151"/>
      <c r="BF10" s="152"/>
      <c r="BG10" s="151"/>
      <c r="BH10" s="152"/>
      <c r="BI10" s="151"/>
      <c r="BJ10" s="152"/>
      <c r="BK10" s="151"/>
      <c r="BL10" s="152"/>
      <c r="BM10" s="151"/>
      <c r="BN10" s="152"/>
      <c r="BO10" s="151"/>
      <c r="BP10" s="152"/>
      <c r="BQ10" s="151"/>
      <c r="BR10" s="152"/>
      <c r="BS10" s="151"/>
      <c r="BT10" s="152"/>
      <c r="BU10" s="151"/>
      <c r="BV10" s="152"/>
      <c r="BW10" s="151"/>
      <c r="BX10" s="152"/>
      <c r="BY10" s="151"/>
      <c r="BZ10" s="152"/>
      <c r="CA10" s="151"/>
      <c r="CB10" s="152"/>
      <c r="CC10" s="151"/>
      <c r="CD10" s="152"/>
      <c r="CE10" s="151"/>
      <c r="CF10" s="152"/>
      <c r="CG10" s="151"/>
      <c r="CH10" s="152"/>
      <c r="CI10" s="151"/>
      <c r="CJ10" s="152"/>
      <c r="CK10" s="151"/>
      <c r="CL10" s="152"/>
      <c r="CM10" s="151"/>
      <c r="CN10" s="152"/>
      <c r="CO10" s="151"/>
      <c r="CP10" s="152"/>
      <c r="CQ10" s="151"/>
      <c r="CR10" s="152"/>
      <c r="CS10" s="151"/>
      <c r="CT10" s="152"/>
      <c r="CU10" s="151"/>
      <c r="CV10" s="152"/>
      <c r="CW10" s="151"/>
      <c r="CX10" s="152"/>
      <c r="CY10" s="151"/>
      <c r="CZ10" s="152"/>
      <c r="DA10" s="151"/>
      <c r="DB10" s="152"/>
      <c r="DC10" s="151"/>
      <c r="DD10" s="152"/>
      <c r="DE10" s="151"/>
      <c r="DF10" s="152"/>
      <c r="DG10" s="151"/>
      <c r="DH10" s="152"/>
      <c r="DI10" s="151"/>
      <c r="DJ10" s="152"/>
      <c r="DK10" s="151"/>
      <c r="DL10" s="152"/>
      <c r="DM10" s="151"/>
      <c r="DN10" s="152"/>
      <c r="DO10" s="151"/>
      <c r="DP10" s="152"/>
      <c r="DQ10" s="151"/>
      <c r="DR10" s="152"/>
      <c r="DS10" s="151"/>
      <c r="DT10" s="152"/>
      <c r="DU10" s="151"/>
      <c r="DV10" s="152"/>
    </row>
    <row r="11" spans="1:126" x14ac:dyDescent="0.2">
      <c r="A11" s="150" t="s">
        <v>33</v>
      </c>
      <c r="B11" s="150" t="s">
        <v>35</v>
      </c>
      <c r="C11" s="151">
        <f t="shared" si="0"/>
        <v>0</v>
      </c>
      <c r="D11" s="152">
        <f t="shared" si="0"/>
        <v>144</v>
      </c>
      <c r="E11" s="151">
        <f t="shared" si="1"/>
        <v>0</v>
      </c>
      <c r="F11" s="152">
        <f t="shared" si="2"/>
        <v>144</v>
      </c>
      <c r="G11" s="151">
        <f t="shared" si="3"/>
        <v>0</v>
      </c>
      <c r="H11" s="152">
        <f t="shared" si="3"/>
        <v>0</v>
      </c>
      <c r="I11" s="151"/>
      <c r="J11" s="152"/>
      <c r="K11" s="151"/>
      <c r="L11" s="152"/>
      <c r="M11" s="151"/>
      <c r="N11" s="152"/>
      <c r="O11" s="151"/>
      <c r="P11" s="152"/>
      <c r="Q11" s="151"/>
      <c r="R11" s="152">
        <v>84</v>
      </c>
      <c r="S11" s="151"/>
      <c r="T11" s="152"/>
      <c r="U11" s="151"/>
      <c r="V11" s="152"/>
      <c r="W11" s="151"/>
      <c r="X11" s="152"/>
      <c r="Y11" s="151"/>
      <c r="Z11" s="152"/>
      <c r="AA11" s="151"/>
      <c r="AB11" s="152"/>
      <c r="AC11" s="151"/>
      <c r="AD11" s="152"/>
      <c r="AE11" s="151"/>
      <c r="AF11" s="152">
        <v>60</v>
      </c>
      <c r="AG11" s="151"/>
      <c r="AH11" s="152"/>
      <c r="AI11" s="151"/>
      <c r="AJ11" s="152"/>
      <c r="AK11" s="151"/>
      <c r="AL11" s="152"/>
      <c r="AM11" s="151"/>
      <c r="AN11" s="152"/>
      <c r="AO11" s="151"/>
      <c r="AP11" s="152"/>
      <c r="AQ11" s="151"/>
      <c r="AR11" s="152"/>
      <c r="AS11" s="151"/>
      <c r="AT11" s="152"/>
      <c r="AU11" s="151"/>
      <c r="AV11" s="152"/>
      <c r="AW11" s="151"/>
      <c r="AX11" s="152"/>
      <c r="AY11" s="151"/>
      <c r="AZ11" s="152"/>
      <c r="BA11" s="151"/>
      <c r="BB11" s="152"/>
      <c r="BC11" s="151"/>
      <c r="BD11" s="152"/>
      <c r="BE11" s="151"/>
      <c r="BF11" s="152"/>
      <c r="BG11" s="151"/>
      <c r="BH11" s="152"/>
      <c r="BI11" s="151"/>
      <c r="BJ11" s="152"/>
      <c r="BK11" s="151"/>
      <c r="BL11" s="152"/>
      <c r="BM11" s="151"/>
      <c r="BN11" s="152"/>
      <c r="BO11" s="151"/>
      <c r="BP11" s="152"/>
      <c r="BQ11" s="151"/>
      <c r="BR11" s="152"/>
      <c r="BS11" s="151"/>
      <c r="BT11" s="152"/>
      <c r="BU11" s="151"/>
      <c r="BV11" s="152"/>
      <c r="BW11" s="151"/>
      <c r="BX11" s="152"/>
      <c r="BY11" s="151"/>
      <c r="BZ11" s="152"/>
      <c r="CA11" s="151"/>
      <c r="CB11" s="152"/>
      <c r="CC11" s="151"/>
      <c r="CD11" s="152"/>
      <c r="CE11" s="151"/>
      <c r="CF11" s="152"/>
      <c r="CG11" s="151"/>
      <c r="CH11" s="152"/>
      <c r="CI11" s="151"/>
      <c r="CJ11" s="152"/>
      <c r="CK11" s="151"/>
      <c r="CL11" s="152"/>
      <c r="CM11" s="151"/>
      <c r="CN11" s="152"/>
      <c r="CO11" s="151"/>
      <c r="CP11" s="152"/>
      <c r="CQ11" s="151"/>
      <c r="CR11" s="152"/>
      <c r="CS11" s="151"/>
      <c r="CT11" s="152"/>
      <c r="CU11" s="151"/>
      <c r="CV11" s="152"/>
      <c r="CW11" s="151"/>
      <c r="CX11" s="152"/>
      <c r="CY11" s="151"/>
      <c r="CZ11" s="152"/>
      <c r="DA11" s="151"/>
      <c r="DB11" s="152"/>
      <c r="DC11" s="151"/>
      <c r="DD11" s="152"/>
      <c r="DE11" s="151"/>
      <c r="DF11" s="152"/>
      <c r="DG11" s="151"/>
      <c r="DH11" s="152"/>
      <c r="DI11" s="151"/>
      <c r="DJ11" s="152"/>
      <c r="DK11" s="151"/>
      <c r="DL11" s="152"/>
      <c r="DM11" s="151"/>
      <c r="DN11" s="152"/>
      <c r="DO11" s="151"/>
      <c r="DP11" s="152"/>
      <c r="DQ11" s="151"/>
      <c r="DR11" s="152"/>
      <c r="DS11" s="151"/>
      <c r="DT11" s="152"/>
      <c r="DU11" s="151"/>
      <c r="DV11" s="152"/>
    </row>
    <row r="12" spans="1:126" x14ac:dyDescent="0.2">
      <c r="A12" s="150" t="s">
        <v>36</v>
      </c>
      <c r="B12" s="150" t="s">
        <v>38</v>
      </c>
      <c r="C12" s="151">
        <f t="shared" si="0"/>
        <v>0</v>
      </c>
      <c r="D12" s="152">
        <f t="shared" si="0"/>
        <v>0</v>
      </c>
      <c r="E12" s="151">
        <f t="shared" si="1"/>
        <v>0</v>
      </c>
      <c r="F12" s="152">
        <f t="shared" si="2"/>
        <v>0</v>
      </c>
      <c r="G12" s="151">
        <f t="shared" si="3"/>
        <v>0</v>
      </c>
      <c r="H12" s="152">
        <f t="shared" si="3"/>
        <v>0</v>
      </c>
      <c r="I12" s="151"/>
      <c r="J12" s="152"/>
      <c r="K12" s="151"/>
      <c r="L12" s="152"/>
      <c r="M12" s="151"/>
      <c r="N12" s="152"/>
      <c r="O12" s="151"/>
      <c r="P12" s="152"/>
      <c r="Q12" s="151"/>
      <c r="R12" s="152"/>
      <c r="S12" s="151"/>
      <c r="T12" s="152"/>
      <c r="U12" s="151"/>
      <c r="V12" s="152"/>
      <c r="W12" s="151"/>
      <c r="X12" s="152"/>
      <c r="Y12" s="151"/>
      <c r="Z12" s="152"/>
      <c r="AA12" s="151"/>
      <c r="AB12" s="152"/>
      <c r="AC12" s="151"/>
      <c r="AD12" s="152"/>
      <c r="AE12" s="151"/>
      <c r="AF12" s="152"/>
      <c r="AG12" s="151"/>
      <c r="AH12" s="152"/>
      <c r="AI12" s="151"/>
      <c r="AJ12" s="152"/>
      <c r="AK12" s="151"/>
      <c r="AL12" s="152"/>
      <c r="AM12" s="151"/>
      <c r="AN12" s="152"/>
      <c r="AO12" s="151"/>
      <c r="AP12" s="152"/>
      <c r="AQ12" s="151"/>
      <c r="AR12" s="152"/>
      <c r="AS12" s="151"/>
      <c r="AT12" s="152"/>
      <c r="AU12" s="151"/>
      <c r="AV12" s="152"/>
      <c r="AW12" s="151"/>
      <c r="AX12" s="152"/>
      <c r="AY12" s="151"/>
      <c r="AZ12" s="152"/>
      <c r="BA12" s="151"/>
      <c r="BB12" s="152"/>
      <c r="BC12" s="151"/>
      <c r="BD12" s="152"/>
      <c r="BE12" s="151"/>
      <c r="BF12" s="152"/>
      <c r="BG12" s="151"/>
      <c r="BH12" s="152"/>
      <c r="BI12" s="151"/>
      <c r="BJ12" s="152"/>
      <c r="BK12" s="151"/>
      <c r="BL12" s="152"/>
      <c r="BM12" s="151"/>
      <c r="BN12" s="152"/>
      <c r="BO12" s="151"/>
      <c r="BP12" s="152"/>
      <c r="BQ12" s="151"/>
      <c r="BR12" s="152"/>
      <c r="BS12" s="151"/>
      <c r="BT12" s="152"/>
      <c r="BU12" s="151"/>
      <c r="BV12" s="152"/>
      <c r="BW12" s="151"/>
      <c r="BX12" s="152"/>
      <c r="BY12" s="151"/>
      <c r="BZ12" s="152"/>
      <c r="CA12" s="151"/>
      <c r="CB12" s="152"/>
      <c r="CC12" s="151"/>
      <c r="CD12" s="152"/>
      <c r="CE12" s="151"/>
      <c r="CF12" s="152"/>
      <c r="CG12" s="151"/>
      <c r="CH12" s="152"/>
      <c r="CI12" s="151"/>
      <c r="CJ12" s="152"/>
      <c r="CK12" s="151"/>
      <c r="CL12" s="152"/>
      <c r="CM12" s="151"/>
      <c r="CN12" s="152"/>
      <c r="CO12" s="151"/>
      <c r="CP12" s="152"/>
      <c r="CQ12" s="151"/>
      <c r="CR12" s="152"/>
      <c r="CS12" s="151"/>
      <c r="CT12" s="152"/>
      <c r="CU12" s="151"/>
      <c r="CV12" s="152"/>
      <c r="CW12" s="151"/>
      <c r="CX12" s="152"/>
      <c r="CY12" s="151"/>
      <c r="CZ12" s="152"/>
      <c r="DA12" s="151"/>
      <c r="DB12" s="152"/>
      <c r="DC12" s="151"/>
      <c r="DD12" s="152"/>
      <c r="DE12" s="151"/>
      <c r="DF12" s="152"/>
      <c r="DG12" s="151"/>
      <c r="DH12" s="152"/>
      <c r="DI12" s="151"/>
      <c r="DJ12" s="152"/>
      <c r="DK12" s="151"/>
      <c r="DL12" s="152"/>
      <c r="DM12" s="151"/>
      <c r="DN12" s="152"/>
      <c r="DO12" s="151"/>
      <c r="DP12" s="152"/>
      <c r="DQ12" s="151"/>
      <c r="DR12" s="152"/>
      <c r="DS12" s="151"/>
      <c r="DT12" s="152"/>
      <c r="DU12" s="151"/>
      <c r="DV12" s="152"/>
    </row>
    <row r="13" spans="1:126" x14ac:dyDescent="0.2">
      <c r="A13" s="150" t="s">
        <v>39</v>
      </c>
      <c r="B13" s="150" t="s">
        <v>41</v>
      </c>
      <c r="C13" s="151">
        <f t="shared" si="0"/>
        <v>0</v>
      </c>
      <c r="D13" s="152">
        <f t="shared" si="0"/>
        <v>0</v>
      </c>
      <c r="E13" s="151">
        <f t="shared" si="1"/>
        <v>0</v>
      </c>
      <c r="F13" s="152">
        <f t="shared" si="2"/>
        <v>0</v>
      </c>
      <c r="G13" s="151">
        <f t="shared" si="3"/>
        <v>0</v>
      </c>
      <c r="H13" s="152">
        <f t="shared" si="3"/>
        <v>0</v>
      </c>
      <c r="I13" s="151"/>
      <c r="J13" s="152"/>
      <c r="K13" s="151"/>
      <c r="L13" s="152"/>
      <c r="M13" s="151"/>
      <c r="N13" s="152"/>
      <c r="O13" s="151"/>
      <c r="P13" s="152"/>
      <c r="Q13" s="151"/>
      <c r="R13" s="152"/>
      <c r="S13" s="151"/>
      <c r="T13" s="152"/>
      <c r="U13" s="151"/>
      <c r="V13" s="152"/>
      <c r="W13" s="151"/>
      <c r="X13" s="152"/>
      <c r="Y13" s="151"/>
      <c r="Z13" s="152"/>
      <c r="AA13" s="151"/>
      <c r="AB13" s="152"/>
      <c r="AC13" s="151"/>
      <c r="AD13" s="152"/>
      <c r="AE13" s="151"/>
      <c r="AF13" s="152"/>
      <c r="AG13" s="151"/>
      <c r="AH13" s="152"/>
      <c r="AI13" s="151"/>
      <c r="AJ13" s="152"/>
      <c r="AK13" s="151"/>
      <c r="AL13" s="152"/>
      <c r="AM13" s="151"/>
      <c r="AN13" s="152"/>
      <c r="AO13" s="151"/>
      <c r="AP13" s="152"/>
      <c r="AQ13" s="151"/>
      <c r="AR13" s="152"/>
      <c r="AS13" s="151"/>
      <c r="AT13" s="152"/>
      <c r="AU13" s="151"/>
      <c r="AV13" s="152"/>
      <c r="AW13" s="151"/>
      <c r="AX13" s="152"/>
      <c r="AY13" s="151"/>
      <c r="AZ13" s="152"/>
      <c r="BA13" s="151"/>
      <c r="BB13" s="152"/>
      <c r="BC13" s="151"/>
      <c r="BD13" s="152"/>
      <c r="BE13" s="151"/>
      <c r="BF13" s="152"/>
      <c r="BG13" s="151"/>
      <c r="BH13" s="152"/>
      <c r="BI13" s="151"/>
      <c r="BJ13" s="152"/>
      <c r="BK13" s="151"/>
      <c r="BL13" s="152"/>
      <c r="BM13" s="151"/>
      <c r="BN13" s="152"/>
      <c r="BO13" s="151"/>
      <c r="BP13" s="152"/>
      <c r="BQ13" s="151"/>
      <c r="BR13" s="152"/>
      <c r="BS13" s="151"/>
      <c r="BT13" s="152"/>
      <c r="BU13" s="151"/>
      <c r="BV13" s="152"/>
      <c r="BW13" s="151"/>
      <c r="BX13" s="152"/>
      <c r="BY13" s="151"/>
      <c r="BZ13" s="152"/>
      <c r="CA13" s="151"/>
      <c r="CB13" s="152"/>
      <c r="CC13" s="151"/>
      <c r="CD13" s="152"/>
      <c r="CE13" s="151"/>
      <c r="CF13" s="152"/>
      <c r="CG13" s="151"/>
      <c r="CH13" s="152"/>
      <c r="CI13" s="151"/>
      <c r="CJ13" s="152"/>
      <c r="CK13" s="151"/>
      <c r="CL13" s="152"/>
      <c r="CM13" s="151"/>
      <c r="CN13" s="152"/>
      <c r="CO13" s="151"/>
      <c r="CP13" s="152"/>
      <c r="CQ13" s="151"/>
      <c r="CR13" s="152"/>
      <c r="CS13" s="151"/>
      <c r="CT13" s="152"/>
      <c r="CU13" s="151"/>
      <c r="CV13" s="152"/>
      <c r="CW13" s="151"/>
      <c r="CX13" s="152"/>
      <c r="CY13" s="151"/>
      <c r="CZ13" s="152"/>
      <c r="DA13" s="151"/>
      <c r="DB13" s="152"/>
      <c r="DC13" s="151"/>
      <c r="DD13" s="152"/>
      <c r="DE13" s="151"/>
      <c r="DF13" s="152"/>
      <c r="DG13" s="151"/>
      <c r="DH13" s="152"/>
      <c r="DI13" s="151"/>
      <c r="DJ13" s="152"/>
      <c r="DK13" s="151"/>
      <c r="DL13" s="152"/>
      <c r="DM13" s="151"/>
      <c r="DN13" s="152"/>
      <c r="DO13" s="151"/>
      <c r="DP13" s="152"/>
      <c r="DQ13" s="151"/>
      <c r="DR13" s="152"/>
      <c r="DS13" s="151"/>
      <c r="DT13" s="152"/>
      <c r="DU13" s="151"/>
      <c r="DV13" s="152"/>
    </row>
    <row r="14" spans="1:126" x14ac:dyDescent="0.2">
      <c r="A14" s="150" t="s">
        <v>42</v>
      </c>
      <c r="B14" s="150" t="s">
        <v>873</v>
      </c>
      <c r="C14" s="151">
        <f>E14+G14+I14</f>
        <v>15643</v>
      </c>
      <c r="D14" s="152">
        <f t="shared" si="0"/>
        <v>23414</v>
      </c>
      <c r="E14" s="151">
        <f t="shared" si="1"/>
        <v>100</v>
      </c>
      <c r="F14" s="152">
        <f t="shared" si="2"/>
        <v>100</v>
      </c>
      <c r="G14" s="151">
        <f t="shared" si="3"/>
        <v>15543</v>
      </c>
      <c r="H14" s="152">
        <f t="shared" si="3"/>
        <v>23314</v>
      </c>
      <c r="I14" s="151"/>
      <c r="J14" s="152"/>
      <c r="K14" s="151"/>
      <c r="L14" s="152"/>
      <c r="M14" s="151"/>
      <c r="N14" s="152"/>
      <c r="O14" s="151"/>
      <c r="P14" s="152"/>
      <c r="Q14" s="151">
        <v>100</v>
      </c>
      <c r="R14" s="152">
        <v>100</v>
      </c>
      <c r="S14" s="151"/>
      <c r="T14" s="152"/>
      <c r="U14" s="151"/>
      <c r="V14" s="152"/>
      <c r="W14" s="151"/>
      <c r="X14" s="152"/>
      <c r="Y14" s="151"/>
      <c r="Z14" s="152"/>
      <c r="AA14" s="151"/>
      <c r="AB14" s="152"/>
      <c r="AC14" s="151"/>
      <c r="AD14" s="152"/>
      <c r="AE14" s="151"/>
      <c r="AF14" s="152"/>
      <c r="AG14" s="151"/>
      <c r="AH14" s="152"/>
      <c r="AI14" s="151"/>
      <c r="AJ14" s="152"/>
      <c r="AK14" s="151"/>
      <c r="AL14" s="152"/>
      <c r="AM14" s="151"/>
      <c r="AN14" s="152"/>
      <c r="AO14" s="151"/>
      <c r="AP14" s="152"/>
      <c r="AQ14" s="151"/>
      <c r="AR14" s="152"/>
      <c r="AS14" s="151"/>
      <c r="AT14" s="152"/>
      <c r="AU14" s="151"/>
      <c r="AV14" s="152"/>
      <c r="AW14" s="151"/>
      <c r="AX14" s="152"/>
      <c r="AY14" s="151"/>
      <c r="AZ14" s="152"/>
      <c r="BA14" s="151"/>
      <c r="BB14" s="152"/>
      <c r="BC14" s="151"/>
      <c r="BD14" s="152"/>
      <c r="BE14" s="151"/>
      <c r="BF14" s="152"/>
      <c r="BG14" s="151"/>
      <c r="BH14" s="152"/>
      <c r="BI14" s="151"/>
      <c r="BJ14" s="152"/>
      <c r="BK14" s="151"/>
      <c r="BL14" s="152"/>
      <c r="BM14" s="151"/>
      <c r="BN14" s="152"/>
      <c r="BO14" s="151"/>
      <c r="BP14" s="152"/>
      <c r="BQ14" s="151"/>
      <c r="BR14" s="152"/>
      <c r="BS14" s="151"/>
      <c r="BT14" s="152"/>
      <c r="BU14" s="151"/>
      <c r="BV14" s="152"/>
      <c r="BW14" s="151"/>
      <c r="BX14" s="152"/>
      <c r="BY14" s="151"/>
      <c r="BZ14" s="152"/>
      <c r="CA14" s="151"/>
      <c r="CB14" s="152"/>
      <c r="CC14" s="151"/>
      <c r="CD14" s="152"/>
      <c r="CE14" s="151"/>
      <c r="CF14" s="152"/>
      <c r="CG14" s="151"/>
      <c r="CH14" s="152"/>
      <c r="CI14" s="151"/>
      <c r="CJ14" s="152"/>
      <c r="CK14" s="151"/>
      <c r="CL14" s="152"/>
      <c r="CM14" s="151"/>
      <c r="CN14" s="152"/>
      <c r="CO14" s="151"/>
      <c r="CP14" s="152"/>
      <c r="CQ14" s="151"/>
      <c r="CR14" s="152"/>
      <c r="CS14" s="151"/>
      <c r="CT14" s="152"/>
      <c r="CU14" s="151"/>
      <c r="CV14" s="152"/>
      <c r="CW14" s="151"/>
      <c r="CX14" s="152"/>
      <c r="CY14" s="151"/>
      <c r="CZ14" s="152"/>
      <c r="DA14" s="151"/>
      <c r="DB14" s="152"/>
      <c r="DC14" s="151"/>
      <c r="DD14" s="152"/>
      <c r="DE14" s="151"/>
      <c r="DF14" s="152"/>
      <c r="DG14" s="151"/>
      <c r="DH14" s="152"/>
      <c r="DI14" s="151"/>
      <c r="DJ14" s="152"/>
      <c r="DK14" s="151"/>
      <c r="DL14" s="152"/>
      <c r="DM14" s="151"/>
      <c r="DN14" s="152"/>
      <c r="DO14" s="151"/>
      <c r="DP14" s="152"/>
      <c r="DQ14" s="151"/>
      <c r="DR14" s="152"/>
      <c r="DS14" s="151">
        <v>15543</v>
      </c>
      <c r="DT14" s="152">
        <v>23314</v>
      </c>
      <c r="DU14" s="151"/>
      <c r="DV14" s="152"/>
    </row>
    <row r="15" spans="1:126" x14ac:dyDescent="0.2">
      <c r="A15" s="150" t="s">
        <v>48</v>
      </c>
      <c r="B15" s="150" t="s">
        <v>50</v>
      </c>
      <c r="C15" s="151">
        <f>E15+G15+I15</f>
        <v>0</v>
      </c>
      <c r="D15" s="152">
        <f t="shared" si="0"/>
        <v>44181</v>
      </c>
      <c r="E15" s="151">
        <f t="shared" si="1"/>
        <v>0</v>
      </c>
      <c r="F15" s="152">
        <f t="shared" si="2"/>
        <v>44181</v>
      </c>
      <c r="G15" s="151">
        <f t="shared" si="3"/>
        <v>0</v>
      </c>
      <c r="H15" s="152">
        <f t="shared" si="3"/>
        <v>0</v>
      </c>
      <c r="I15" s="151"/>
      <c r="J15" s="152"/>
      <c r="K15" s="151"/>
      <c r="L15" s="152"/>
      <c r="M15" s="151"/>
      <c r="N15" s="152"/>
      <c r="O15" s="151"/>
      <c r="P15" s="152"/>
      <c r="Q15" s="151"/>
      <c r="R15" s="152"/>
      <c r="S15" s="151"/>
      <c r="T15" s="152"/>
      <c r="U15" s="151"/>
      <c r="V15" s="152"/>
      <c r="W15" s="151"/>
      <c r="X15" s="152"/>
      <c r="Y15" s="151"/>
      <c r="Z15" s="152"/>
      <c r="AA15" s="151"/>
      <c r="AB15" s="152"/>
      <c r="AC15" s="151"/>
      <c r="AD15" s="152"/>
      <c r="AE15" s="151"/>
      <c r="AF15" s="152">
        <f>23776+6660+1696+6282+5767</f>
        <v>44181</v>
      </c>
      <c r="AG15" s="151"/>
      <c r="AH15" s="152"/>
      <c r="AI15" s="151"/>
      <c r="AJ15" s="152"/>
      <c r="AK15" s="151"/>
      <c r="AL15" s="152"/>
      <c r="AM15" s="151"/>
      <c r="AN15" s="152"/>
      <c r="AO15" s="151"/>
      <c r="AP15" s="152"/>
      <c r="AQ15" s="151"/>
      <c r="AR15" s="152"/>
      <c r="AS15" s="151"/>
      <c r="AT15" s="152"/>
      <c r="AU15" s="151"/>
      <c r="AV15" s="152"/>
      <c r="AW15" s="151"/>
      <c r="AX15" s="152"/>
      <c r="AY15" s="151"/>
      <c r="AZ15" s="152"/>
      <c r="BA15" s="151"/>
      <c r="BB15" s="152"/>
      <c r="BC15" s="151"/>
      <c r="BD15" s="152"/>
      <c r="BE15" s="151"/>
      <c r="BF15" s="152"/>
      <c r="BG15" s="151"/>
      <c r="BH15" s="152"/>
      <c r="BI15" s="151"/>
      <c r="BJ15" s="152"/>
      <c r="BK15" s="151"/>
      <c r="BL15" s="152"/>
      <c r="BM15" s="151"/>
      <c r="BN15" s="152"/>
      <c r="BO15" s="151"/>
      <c r="BP15" s="152"/>
      <c r="BQ15" s="151"/>
      <c r="BR15" s="152"/>
      <c r="BS15" s="151"/>
      <c r="BT15" s="152"/>
      <c r="BU15" s="151"/>
      <c r="BV15" s="152"/>
      <c r="BW15" s="151"/>
      <c r="BX15" s="152"/>
      <c r="BY15" s="151"/>
      <c r="BZ15" s="152"/>
      <c r="CA15" s="151"/>
      <c r="CB15" s="152"/>
      <c r="CC15" s="151"/>
      <c r="CD15" s="152"/>
      <c r="CE15" s="151"/>
      <c r="CF15" s="152"/>
      <c r="CG15" s="151"/>
      <c r="CH15" s="152"/>
      <c r="CI15" s="151"/>
      <c r="CJ15" s="152"/>
      <c r="CK15" s="151"/>
      <c r="CL15" s="152"/>
      <c r="CM15" s="151"/>
      <c r="CN15" s="152"/>
      <c r="CO15" s="151"/>
      <c r="CP15" s="152"/>
      <c r="CQ15" s="151"/>
      <c r="CR15" s="152"/>
      <c r="CS15" s="151"/>
      <c r="CT15" s="152"/>
      <c r="CU15" s="151"/>
      <c r="CV15" s="152"/>
      <c r="CW15" s="151"/>
      <c r="CX15" s="152"/>
      <c r="CY15" s="151"/>
      <c r="CZ15" s="152"/>
      <c r="DA15" s="151"/>
      <c r="DB15" s="152"/>
      <c r="DC15" s="151"/>
      <c r="DD15" s="152"/>
      <c r="DE15" s="151"/>
      <c r="DF15" s="152"/>
      <c r="DG15" s="151"/>
      <c r="DH15" s="152"/>
      <c r="DI15" s="151"/>
      <c r="DJ15" s="152"/>
      <c r="DK15" s="151"/>
      <c r="DL15" s="152"/>
      <c r="DM15" s="151"/>
      <c r="DN15" s="152"/>
      <c r="DO15" s="151"/>
      <c r="DP15" s="152"/>
      <c r="DQ15" s="151"/>
      <c r="DR15" s="152"/>
      <c r="DS15" s="151"/>
      <c r="DT15" s="152"/>
      <c r="DU15" s="151"/>
      <c r="DV15" s="152"/>
    </row>
    <row r="16" spans="1:126" x14ac:dyDescent="0.2">
      <c r="A16" s="150" t="s">
        <v>51</v>
      </c>
      <c r="B16" s="150" t="s">
        <v>874</v>
      </c>
      <c r="C16" s="151">
        <f>E16+G16+I16</f>
        <v>150</v>
      </c>
      <c r="D16" s="152">
        <f t="shared" si="0"/>
        <v>20000</v>
      </c>
      <c r="E16" s="151">
        <f t="shared" si="1"/>
        <v>150</v>
      </c>
      <c r="F16" s="152">
        <f t="shared" si="2"/>
        <v>20000</v>
      </c>
      <c r="G16" s="151">
        <f t="shared" si="3"/>
        <v>0</v>
      </c>
      <c r="H16" s="152">
        <f t="shared" si="3"/>
        <v>0</v>
      </c>
      <c r="I16" s="151"/>
      <c r="J16" s="152"/>
      <c r="K16" s="151"/>
      <c r="L16" s="152"/>
      <c r="M16" s="151"/>
      <c r="N16" s="152"/>
      <c r="O16" s="151"/>
      <c r="P16" s="152"/>
      <c r="Q16" s="151">
        <v>150</v>
      </c>
      <c r="R16" s="152">
        <v>0</v>
      </c>
      <c r="S16" s="151"/>
      <c r="T16" s="152"/>
      <c r="U16" s="151"/>
      <c r="V16" s="152"/>
      <c r="W16" s="151"/>
      <c r="X16" s="152"/>
      <c r="Y16" s="151"/>
      <c r="Z16" s="152"/>
      <c r="AA16" s="151"/>
      <c r="AB16" s="152"/>
      <c r="AC16" s="151"/>
      <c r="AD16" s="152"/>
      <c r="AE16" s="151"/>
      <c r="AF16" s="152">
        <v>20000</v>
      </c>
      <c r="AG16" s="151"/>
      <c r="AH16" s="152"/>
      <c r="AI16" s="151"/>
      <c r="AJ16" s="152"/>
      <c r="AK16" s="151"/>
      <c r="AL16" s="152"/>
      <c r="AM16" s="151"/>
      <c r="AN16" s="152"/>
      <c r="AO16" s="151"/>
      <c r="AP16" s="152"/>
      <c r="AQ16" s="151"/>
      <c r="AR16" s="152"/>
      <c r="AS16" s="151"/>
      <c r="AT16" s="152"/>
      <c r="AU16" s="151"/>
      <c r="AV16" s="152"/>
      <c r="AW16" s="151"/>
      <c r="AX16" s="152"/>
      <c r="AY16" s="151"/>
      <c r="AZ16" s="152"/>
      <c r="BA16" s="151"/>
      <c r="BB16" s="152"/>
      <c r="BC16" s="151"/>
      <c r="BD16" s="152"/>
      <c r="BE16" s="151"/>
      <c r="BF16" s="152"/>
      <c r="BG16" s="151"/>
      <c r="BH16" s="152"/>
      <c r="BI16" s="151"/>
      <c r="BJ16" s="152"/>
      <c r="BK16" s="151"/>
      <c r="BL16" s="152"/>
      <c r="BM16" s="151"/>
      <c r="BN16" s="152"/>
      <c r="BO16" s="151"/>
      <c r="BP16" s="152"/>
      <c r="BQ16" s="151"/>
      <c r="BR16" s="152"/>
      <c r="BS16" s="151"/>
      <c r="BT16" s="152"/>
      <c r="BU16" s="151"/>
      <c r="BV16" s="152"/>
      <c r="BW16" s="151"/>
      <c r="BX16" s="152"/>
      <c r="BY16" s="151"/>
      <c r="BZ16" s="152"/>
      <c r="CA16" s="151"/>
      <c r="CB16" s="152"/>
      <c r="CC16" s="151"/>
      <c r="CD16" s="152"/>
      <c r="CE16" s="151"/>
      <c r="CF16" s="152"/>
      <c r="CG16" s="151"/>
      <c r="CH16" s="152"/>
      <c r="CI16" s="151"/>
      <c r="CJ16" s="152"/>
      <c r="CK16" s="151"/>
      <c r="CL16" s="152"/>
      <c r="CM16" s="151"/>
      <c r="CN16" s="152"/>
      <c r="CO16" s="151"/>
      <c r="CP16" s="152"/>
      <c r="CQ16" s="151"/>
      <c r="CR16" s="152"/>
      <c r="CS16" s="151"/>
      <c r="CT16" s="152"/>
      <c r="CU16" s="151"/>
      <c r="CV16" s="152"/>
      <c r="CW16" s="151"/>
      <c r="CX16" s="152"/>
      <c r="CY16" s="151"/>
      <c r="CZ16" s="152"/>
      <c r="DA16" s="151"/>
      <c r="DB16" s="152"/>
      <c r="DC16" s="151"/>
      <c r="DD16" s="152"/>
      <c r="DE16" s="151"/>
      <c r="DF16" s="152"/>
      <c r="DG16" s="151"/>
      <c r="DH16" s="152"/>
      <c r="DI16" s="151"/>
      <c r="DJ16" s="152"/>
      <c r="DK16" s="151"/>
      <c r="DL16" s="152"/>
      <c r="DM16" s="151"/>
      <c r="DN16" s="152"/>
      <c r="DO16" s="151"/>
      <c r="DP16" s="152"/>
      <c r="DQ16" s="151"/>
      <c r="DR16" s="152"/>
      <c r="DS16" s="151"/>
      <c r="DT16" s="152"/>
      <c r="DU16" s="151"/>
      <c r="DV16" s="152"/>
    </row>
    <row r="17" spans="1:126" x14ac:dyDescent="0.2">
      <c r="A17" s="150" t="s">
        <v>54</v>
      </c>
      <c r="B17" s="150" t="s">
        <v>285</v>
      </c>
      <c r="C17" s="151">
        <f>E17+G17+I17</f>
        <v>2650</v>
      </c>
      <c r="D17" s="152">
        <f t="shared" si="0"/>
        <v>31413</v>
      </c>
      <c r="E17" s="151">
        <f t="shared" si="1"/>
        <v>1050</v>
      </c>
      <c r="F17" s="152">
        <f t="shared" si="2"/>
        <v>572</v>
      </c>
      <c r="G17" s="151">
        <f t="shared" si="3"/>
        <v>1600</v>
      </c>
      <c r="H17" s="152">
        <f>AL17+AN17+AP17+AR17+AT17+AV17+AX17+AZ17+BB17+BD17+BF17+BH17+BJ17+BL17+BN17+BP17+BR17+BT17+BV17+BX17+BZ17+CB17+CD17+CF17+CH17+CJ17+CL17+CN17+CP17+CR17+CT17+CV17+CX17+DB17+CZ17+DD17+DF17+DH17+DJ17+DL17+DN17+DP17+DR17+DT17+DV17</f>
        <v>30841</v>
      </c>
      <c r="I17" s="151"/>
      <c r="J17" s="152"/>
      <c r="K17" s="151"/>
      <c r="L17" s="152"/>
      <c r="M17" s="151"/>
      <c r="N17" s="152"/>
      <c r="O17" s="151"/>
      <c r="P17" s="152"/>
      <c r="Q17" s="151">
        <v>50</v>
      </c>
      <c r="R17" s="152">
        <v>50</v>
      </c>
      <c r="S17" s="151"/>
      <c r="T17" s="152"/>
      <c r="U17" s="151"/>
      <c r="V17" s="152"/>
      <c r="W17" s="151"/>
      <c r="X17" s="152"/>
      <c r="Y17" s="151"/>
      <c r="Z17" s="152"/>
      <c r="AA17" s="151"/>
      <c r="AB17" s="152"/>
      <c r="AC17" s="151"/>
      <c r="AD17" s="152"/>
      <c r="AE17" s="151">
        <v>1000</v>
      </c>
      <c r="AF17" s="152">
        <v>522</v>
      </c>
      <c r="AG17" s="151"/>
      <c r="AH17" s="152"/>
      <c r="AI17" s="151"/>
      <c r="AJ17" s="152"/>
      <c r="AK17" s="151"/>
      <c r="AL17" s="152"/>
      <c r="AM17" s="151"/>
      <c r="AN17" s="152"/>
      <c r="AO17" s="151"/>
      <c r="AP17" s="152"/>
      <c r="AQ17" s="151"/>
      <c r="AR17" s="152">
        <v>1000</v>
      </c>
      <c r="AS17" s="151"/>
      <c r="AT17" s="152">
        <f>2000+1200</f>
        <v>3200</v>
      </c>
      <c r="AU17" s="151"/>
      <c r="AV17" s="152"/>
      <c r="AW17" s="151"/>
      <c r="AX17" s="152"/>
      <c r="AY17" s="151"/>
      <c r="AZ17" s="152"/>
      <c r="BA17" s="151"/>
      <c r="BB17" s="152"/>
      <c r="BC17" s="151"/>
      <c r="BD17" s="152"/>
      <c r="BE17" s="151"/>
      <c r="BF17" s="152"/>
      <c r="BG17" s="151"/>
      <c r="BH17" s="152"/>
      <c r="BI17" s="151"/>
      <c r="BJ17" s="152"/>
      <c r="BK17" s="151"/>
      <c r="BL17" s="152"/>
      <c r="BM17" s="151"/>
      <c r="BN17" s="152"/>
      <c r="BO17" s="151"/>
      <c r="BP17" s="152"/>
      <c r="BQ17" s="151"/>
      <c r="BR17" s="152"/>
      <c r="BS17" s="151"/>
      <c r="BT17" s="152"/>
      <c r="BU17" s="151"/>
      <c r="BV17" s="152"/>
      <c r="BW17" s="151"/>
      <c r="BX17" s="152"/>
      <c r="BY17" s="151"/>
      <c r="BZ17" s="152"/>
      <c r="CA17" s="151"/>
      <c r="CB17" s="152"/>
      <c r="CC17" s="151"/>
      <c r="CD17" s="152"/>
      <c r="CE17" s="151"/>
      <c r="CF17" s="152"/>
      <c r="CG17" s="151"/>
      <c r="CH17" s="152"/>
      <c r="CI17" s="151"/>
      <c r="CJ17" s="152"/>
      <c r="CK17" s="151"/>
      <c r="CL17" s="152"/>
      <c r="CM17" s="151"/>
      <c r="CN17" s="152"/>
      <c r="CO17" s="151"/>
      <c r="CP17" s="152"/>
      <c r="CQ17" s="151"/>
      <c r="CR17" s="152"/>
      <c r="CS17" s="151"/>
      <c r="CT17" s="152">
        <v>12000</v>
      </c>
      <c r="CU17" s="151"/>
      <c r="CV17" s="152"/>
      <c r="CW17" s="151"/>
      <c r="CX17" s="152"/>
      <c r="CY17" s="151"/>
      <c r="CZ17" s="152"/>
      <c r="DA17" s="151"/>
      <c r="DB17" s="152"/>
      <c r="DC17" s="151"/>
      <c r="DD17" s="152"/>
      <c r="DE17" s="151"/>
      <c r="DF17" s="152"/>
      <c r="DG17" s="151">
        <v>1600</v>
      </c>
      <c r="DH17" s="152">
        <v>14641</v>
      </c>
      <c r="DI17" s="151"/>
      <c r="DJ17" s="152"/>
      <c r="DK17" s="151"/>
      <c r="DL17" s="152"/>
      <c r="DM17" s="151"/>
      <c r="DN17" s="152"/>
      <c r="DO17" s="151"/>
      <c r="DP17" s="152"/>
      <c r="DQ17" s="151"/>
      <c r="DR17" s="152"/>
      <c r="DS17" s="151"/>
      <c r="DT17" s="152"/>
      <c r="DU17" s="151"/>
      <c r="DV17" s="152"/>
    </row>
    <row r="18" spans="1:126" s="156" customFormat="1" x14ac:dyDescent="0.2">
      <c r="A18" s="153" t="s">
        <v>875</v>
      </c>
      <c r="B18" s="153" t="s">
        <v>286</v>
      </c>
      <c r="C18" s="154">
        <f t="shared" ref="C18:BO18" si="4">SUM(C2:C17)</f>
        <v>39976</v>
      </c>
      <c r="D18" s="155">
        <f>SUM(D2:D17)</f>
        <v>162200</v>
      </c>
      <c r="E18" s="154">
        <f t="shared" si="4"/>
        <v>22833</v>
      </c>
      <c r="F18" s="155">
        <f t="shared" si="4"/>
        <v>108045</v>
      </c>
      <c r="G18" s="154">
        <f t="shared" si="4"/>
        <v>17143</v>
      </c>
      <c r="H18" s="155">
        <f t="shared" si="4"/>
        <v>54155</v>
      </c>
      <c r="I18" s="154">
        <f t="shared" si="4"/>
        <v>0</v>
      </c>
      <c r="J18" s="155">
        <f t="shared" si="4"/>
        <v>0</v>
      </c>
      <c r="K18" s="154">
        <f t="shared" si="4"/>
        <v>0</v>
      </c>
      <c r="L18" s="155">
        <f t="shared" si="4"/>
        <v>0</v>
      </c>
      <c r="M18" s="154">
        <f t="shared" si="4"/>
        <v>0</v>
      </c>
      <c r="N18" s="155">
        <f t="shared" si="4"/>
        <v>0</v>
      </c>
      <c r="O18" s="154">
        <f t="shared" si="4"/>
        <v>0</v>
      </c>
      <c r="P18" s="155">
        <f t="shared" si="4"/>
        <v>0</v>
      </c>
      <c r="Q18" s="154">
        <f t="shared" si="4"/>
        <v>21833</v>
      </c>
      <c r="R18" s="155">
        <f t="shared" si="4"/>
        <v>23553</v>
      </c>
      <c r="S18" s="154">
        <f t="shared" si="4"/>
        <v>0</v>
      </c>
      <c r="T18" s="155">
        <f>SUM(T2:T17)</f>
        <v>0</v>
      </c>
      <c r="U18" s="154">
        <f t="shared" si="4"/>
        <v>0</v>
      </c>
      <c r="V18" s="155">
        <f>SUM(V2:V17)</f>
        <v>0</v>
      </c>
      <c r="W18" s="154">
        <f t="shared" si="4"/>
        <v>0</v>
      </c>
      <c r="X18" s="155">
        <f t="shared" si="4"/>
        <v>0</v>
      </c>
      <c r="Y18" s="154">
        <f t="shared" si="4"/>
        <v>0</v>
      </c>
      <c r="Z18" s="155">
        <f t="shared" si="4"/>
        <v>0</v>
      </c>
      <c r="AA18" s="154">
        <f t="shared" si="4"/>
        <v>0</v>
      </c>
      <c r="AB18" s="155">
        <f>SUM(AB2:AB17)</f>
        <v>0</v>
      </c>
      <c r="AC18" s="154">
        <f t="shared" si="4"/>
        <v>0</v>
      </c>
      <c r="AD18" s="155">
        <f>SUM(AD2:AD17)</f>
        <v>0</v>
      </c>
      <c r="AE18" s="154">
        <f t="shared" si="4"/>
        <v>1000</v>
      </c>
      <c r="AF18" s="155">
        <f>SUM(AF2:AF17)</f>
        <v>76176</v>
      </c>
      <c r="AG18" s="154"/>
      <c r="AH18" s="155">
        <f t="shared" si="4"/>
        <v>8316</v>
      </c>
      <c r="AI18" s="154">
        <f t="shared" si="4"/>
        <v>0</v>
      </c>
      <c r="AJ18" s="155">
        <f>SUM(AJ2:AJ17)</f>
        <v>0</v>
      </c>
      <c r="AK18" s="154">
        <f t="shared" si="4"/>
        <v>0</v>
      </c>
      <c r="AL18" s="155">
        <f t="shared" si="4"/>
        <v>0</v>
      </c>
      <c r="AM18" s="154">
        <f t="shared" si="4"/>
        <v>0</v>
      </c>
      <c r="AN18" s="155"/>
      <c r="AO18" s="154">
        <f t="shared" si="4"/>
        <v>0</v>
      </c>
      <c r="AP18" s="155">
        <f>SUM(AP2:AP17)</f>
        <v>0</v>
      </c>
      <c r="AQ18" s="154">
        <f t="shared" si="4"/>
        <v>0</v>
      </c>
      <c r="AR18" s="155">
        <f>SUM(AR2:AR17)</f>
        <v>1000</v>
      </c>
      <c r="AS18" s="154">
        <f t="shared" si="4"/>
        <v>0</v>
      </c>
      <c r="AT18" s="155">
        <f>SUM(AT2:AT17)</f>
        <v>3200</v>
      </c>
      <c r="AU18" s="154">
        <f t="shared" si="4"/>
        <v>0</v>
      </c>
      <c r="AV18" s="155">
        <f>SUM(AV2:AV17)</f>
        <v>0</v>
      </c>
      <c r="AW18" s="154">
        <f t="shared" si="4"/>
        <v>0</v>
      </c>
      <c r="AX18" s="155">
        <f>SUM(AX2:AX17)</f>
        <v>0</v>
      </c>
      <c r="AY18" s="154">
        <f t="shared" si="4"/>
        <v>0</v>
      </c>
      <c r="AZ18" s="155">
        <f>SUM(AZ2:AZ17)</f>
        <v>0</v>
      </c>
      <c r="BA18" s="154">
        <f t="shared" si="4"/>
        <v>0</v>
      </c>
      <c r="BB18" s="155">
        <f>SUM(BB2:BB17)</f>
        <v>0</v>
      </c>
      <c r="BC18" s="154">
        <f t="shared" si="4"/>
        <v>0</v>
      </c>
      <c r="BD18" s="155">
        <f>SUM(BD2:BD17)</f>
        <v>0</v>
      </c>
      <c r="BE18" s="154">
        <f t="shared" si="4"/>
        <v>0</v>
      </c>
      <c r="BF18" s="155">
        <f>SUM(BF2:BF17)</f>
        <v>0</v>
      </c>
      <c r="BG18" s="154">
        <f t="shared" si="4"/>
        <v>0</v>
      </c>
      <c r="BH18" s="155">
        <f>SUM(BH2:BH17)</f>
        <v>0</v>
      </c>
      <c r="BI18" s="154">
        <f t="shared" si="4"/>
        <v>0</v>
      </c>
      <c r="BJ18" s="155">
        <f>SUM(BJ2:BJ17)</f>
        <v>0</v>
      </c>
      <c r="BK18" s="154">
        <f t="shared" si="4"/>
        <v>0</v>
      </c>
      <c r="BL18" s="155">
        <f>SUM(BL2:BL17)</f>
        <v>0</v>
      </c>
      <c r="BM18" s="154">
        <f t="shared" si="4"/>
        <v>0</v>
      </c>
      <c r="BN18" s="155">
        <f>SUM(BN2:BN17)</f>
        <v>0</v>
      </c>
      <c r="BO18" s="154">
        <f t="shared" si="4"/>
        <v>0</v>
      </c>
      <c r="BP18" s="155">
        <f>SUM(BP2:BP17)</f>
        <v>0</v>
      </c>
      <c r="BQ18" s="154">
        <f t="shared" ref="BQ18:DU18" si="5">SUM(BQ2:BQ17)</f>
        <v>0</v>
      </c>
      <c r="BR18" s="155">
        <f>SUM(BR2:BR17)</f>
        <v>0</v>
      </c>
      <c r="BS18" s="154">
        <f t="shared" si="5"/>
        <v>0</v>
      </c>
      <c r="BT18" s="155">
        <f>SUM(BT2:BT17)</f>
        <v>0</v>
      </c>
      <c r="BU18" s="154">
        <f t="shared" si="5"/>
        <v>0</v>
      </c>
      <c r="BV18" s="155">
        <f>SUM(BV2:BV17)</f>
        <v>0</v>
      </c>
      <c r="BW18" s="154">
        <f t="shared" si="5"/>
        <v>0</v>
      </c>
      <c r="BX18" s="155">
        <f>SUM(BX2:BX17)</f>
        <v>0</v>
      </c>
      <c r="BY18" s="154">
        <f t="shared" si="5"/>
        <v>0</v>
      </c>
      <c r="BZ18" s="155">
        <f>SUM(BZ2:BZ17)</f>
        <v>0</v>
      </c>
      <c r="CA18" s="154">
        <f t="shared" si="5"/>
        <v>0</v>
      </c>
      <c r="CB18" s="155">
        <f>SUM(CB2:CB17)</f>
        <v>0</v>
      </c>
      <c r="CC18" s="154">
        <f t="shared" si="5"/>
        <v>0</v>
      </c>
      <c r="CD18" s="155">
        <f>SUM(CD2:CD17)</f>
        <v>0</v>
      </c>
      <c r="CE18" s="154">
        <f t="shared" si="5"/>
        <v>0</v>
      </c>
      <c r="CF18" s="155">
        <f>SUM(CF2:CF17)</f>
        <v>0</v>
      </c>
      <c r="CG18" s="154">
        <f t="shared" si="5"/>
        <v>0</v>
      </c>
      <c r="CH18" s="155">
        <f>SUM(CH2:CH17)</f>
        <v>0</v>
      </c>
      <c r="CI18" s="154">
        <f t="shared" si="5"/>
        <v>0</v>
      </c>
      <c r="CJ18" s="155">
        <f>SUM(CJ2:CJ17)</f>
        <v>0</v>
      </c>
      <c r="CK18" s="154">
        <f t="shared" si="5"/>
        <v>0</v>
      </c>
      <c r="CL18" s="155">
        <f>SUM(CL2:CL17)</f>
        <v>0</v>
      </c>
      <c r="CM18" s="154">
        <f t="shared" si="5"/>
        <v>0</v>
      </c>
      <c r="CN18" s="155">
        <f>SUM(CN2:CN17)</f>
        <v>0</v>
      </c>
      <c r="CO18" s="154">
        <f t="shared" si="5"/>
        <v>0</v>
      </c>
      <c r="CP18" s="155">
        <f>SUM(CP2:CP17)</f>
        <v>0</v>
      </c>
      <c r="CQ18" s="154">
        <f t="shared" si="5"/>
        <v>0</v>
      </c>
      <c r="CR18" s="155">
        <f>SUM(CR2:CR17)</f>
        <v>0</v>
      </c>
      <c r="CS18" s="154">
        <f t="shared" si="5"/>
        <v>0</v>
      </c>
      <c r="CT18" s="155">
        <f t="shared" si="5"/>
        <v>12000</v>
      </c>
      <c r="CU18" s="154">
        <f t="shared" si="5"/>
        <v>0</v>
      </c>
      <c r="CV18" s="155">
        <f>SUM(CV2:CV17)</f>
        <v>0</v>
      </c>
      <c r="CW18" s="154">
        <f t="shared" si="5"/>
        <v>0</v>
      </c>
      <c r="CX18" s="155">
        <f>SUM(CX2:CX17)</f>
        <v>0</v>
      </c>
      <c r="CY18" s="154">
        <f t="shared" si="5"/>
        <v>0</v>
      </c>
      <c r="CZ18" s="155"/>
      <c r="DA18" s="154">
        <f t="shared" si="5"/>
        <v>0</v>
      </c>
      <c r="DB18" s="155"/>
      <c r="DC18" s="154">
        <f t="shared" si="5"/>
        <v>0</v>
      </c>
      <c r="DD18" s="155">
        <f>SUM(DD2:DD17)</f>
        <v>0</v>
      </c>
      <c r="DE18" s="154">
        <f t="shared" si="5"/>
        <v>0</v>
      </c>
      <c r="DF18" s="155">
        <f>SUM(DF2:DF17)</f>
        <v>0</v>
      </c>
      <c r="DG18" s="154">
        <f t="shared" si="5"/>
        <v>1600</v>
      </c>
      <c r="DH18" s="155">
        <f>SUM(DH2:DH17)</f>
        <v>14641</v>
      </c>
      <c r="DI18" s="154">
        <f t="shared" si="5"/>
        <v>0</v>
      </c>
      <c r="DJ18" s="155">
        <f>SUM(DJ2:DJ17)</f>
        <v>0</v>
      </c>
      <c r="DK18" s="154">
        <f t="shared" si="5"/>
        <v>0</v>
      </c>
      <c r="DL18" s="155">
        <f>SUM(DL2:DL17)</f>
        <v>0</v>
      </c>
      <c r="DM18" s="154">
        <f t="shared" si="5"/>
        <v>0</v>
      </c>
      <c r="DN18" s="155">
        <f>SUM(DN2:DN17)</f>
        <v>0</v>
      </c>
      <c r="DO18" s="154">
        <f t="shared" si="5"/>
        <v>0</v>
      </c>
      <c r="DP18" s="155">
        <f>SUM(DP2:DP17)</f>
        <v>0</v>
      </c>
      <c r="DQ18" s="154">
        <f t="shared" si="5"/>
        <v>0</v>
      </c>
      <c r="DR18" s="155"/>
      <c r="DS18" s="154">
        <f t="shared" si="5"/>
        <v>15543</v>
      </c>
      <c r="DT18" s="155">
        <f>SUM(DT2:DT17)</f>
        <v>23314</v>
      </c>
      <c r="DU18" s="154">
        <f t="shared" si="5"/>
        <v>0</v>
      </c>
      <c r="DV18" s="155">
        <f>SUM(DV2:DV17)</f>
        <v>0</v>
      </c>
    </row>
    <row r="19" spans="1:126" s="156" customFormat="1" x14ac:dyDescent="0.2">
      <c r="A19" s="153" t="s">
        <v>876</v>
      </c>
      <c r="B19" s="153" t="s">
        <v>287</v>
      </c>
      <c r="C19" s="154">
        <f>E19+G19+I19</f>
        <v>7350</v>
      </c>
      <c r="D19" s="155">
        <f>F19+H19+J19</f>
        <v>41861</v>
      </c>
      <c r="E19" s="154">
        <f>K19+M19+O18:O19+Q19+S19+U19+W19+Y19+AA19+AC19+AE19+AI19</f>
        <v>6379</v>
      </c>
      <c r="F19" s="155">
        <f>L19+N19+P18:P19+R19+T19+V19+X19+Z19+AB19+AD19+AF19+AJ19+AH19</f>
        <v>29235</v>
      </c>
      <c r="G19" s="154">
        <f t="shared" si="3"/>
        <v>971</v>
      </c>
      <c r="H19" s="155">
        <f t="shared" si="3"/>
        <v>12626</v>
      </c>
      <c r="I19" s="154"/>
      <c r="J19" s="155">
        <v>0</v>
      </c>
      <c r="K19" s="154"/>
      <c r="L19" s="155"/>
      <c r="M19" s="154"/>
      <c r="N19" s="155">
        <v>0</v>
      </c>
      <c r="O19" s="154">
        <f>ROUND(O17*1.19*0.43,0)</f>
        <v>0</v>
      </c>
      <c r="P19" s="155">
        <v>0</v>
      </c>
      <c r="Q19" s="154">
        <f>ROUND((Q17*1.19*0.43)+((Q2+Q5+Q14+Q16*0.9)*0.27)+(Q8*1.19*0.3),0)</f>
        <v>5867</v>
      </c>
      <c r="R19" s="155">
        <f>ROUND((R2+R3+R4+R5+R6+R7+R14+R15+R16)*0.27+R8*1.19*0.3+R17*1.19*0.43,0)</f>
        <v>6313</v>
      </c>
      <c r="S19" s="154"/>
      <c r="T19" s="155"/>
      <c r="U19" s="154"/>
      <c r="V19" s="155"/>
      <c r="W19" s="154"/>
      <c r="X19" s="155">
        <v>0</v>
      </c>
      <c r="Y19" s="154"/>
      <c r="Z19" s="155">
        <v>0</v>
      </c>
      <c r="AA19" s="154"/>
      <c r="AB19" s="155"/>
      <c r="AC19" s="154"/>
      <c r="AD19" s="155"/>
      <c r="AE19" s="154">
        <f>ROUND(AE18*1.19*(0.27+0.16),0)</f>
        <v>512</v>
      </c>
      <c r="AF19" s="155">
        <f>ROUND((AF2+AF3+AF4+AF5+AF6+AF7+AF15+AF14+AF16)*0.27+AF17*1.19*0.43,0)</f>
        <v>20677</v>
      </c>
      <c r="AG19" s="154"/>
      <c r="AH19" s="155">
        <f>ROUND((AH2+AH3+AH4+AH5+AH6+AH7+AH14+AH15+AH16)*0.27+AH8*1.19*0.3+AH17*1.19*0.43,0)</f>
        <v>2245</v>
      </c>
      <c r="AI19" s="154"/>
      <c r="AJ19" s="155"/>
      <c r="AK19" s="154"/>
      <c r="AL19" s="155">
        <v>0</v>
      </c>
      <c r="AM19" s="154"/>
      <c r="AN19" s="155"/>
      <c r="AO19" s="154"/>
      <c r="AP19" s="155"/>
      <c r="AQ19" s="154"/>
      <c r="AR19" s="155">
        <v>500</v>
      </c>
      <c r="AS19" s="154"/>
      <c r="AT19" s="155">
        <v>0</v>
      </c>
      <c r="AU19" s="154"/>
      <c r="AV19" s="155"/>
      <c r="AW19" s="154"/>
      <c r="AX19" s="155"/>
      <c r="AY19" s="154"/>
      <c r="AZ19" s="155"/>
      <c r="BA19" s="154"/>
      <c r="BB19" s="155"/>
      <c r="BC19" s="154"/>
      <c r="BD19" s="155"/>
      <c r="BE19" s="154"/>
      <c r="BF19" s="155"/>
      <c r="BG19" s="154"/>
      <c r="BH19" s="155"/>
      <c r="BI19" s="154"/>
      <c r="BJ19" s="155"/>
      <c r="BK19" s="154"/>
      <c r="BL19" s="155"/>
      <c r="BM19" s="154"/>
      <c r="BN19" s="155"/>
      <c r="BO19" s="154"/>
      <c r="BP19" s="155"/>
      <c r="BQ19" s="154"/>
      <c r="BR19" s="155"/>
      <c r="BS19" s="154"/>
      <c r="BT19" s="155"/>
      <c r="BU19" s="154"/>
      <c r="BV19" s="155"/>
      <c r="BW19" s="154"/>
      <c r="BX19" s="155"/>
      <c r="BY19" s="154"/>
      <c r="BZ19" s="155"/>
      <c r="CA19" s="154"/>
      <c r="CB19" s="155"/>
      <c r="CC19" s="154"/>
      <c r="CD19" s="155"/>
      <c r="CE19" s="154"/>
      <c r="CF19" s="155"/>
      <c r="CG19" s="154"/>
      <c r="CH19" s="155"/>
      <c r="CI19" s="154"/>
      <c r="CJ19" s="155"/>
      <c r="CK19" s="154"/>
      <c r="CL19" s="155"/>
      <c r="CM19" s="154"/>
      <c r="CN19" s="155"/>
      <c r="CO19" s="154"/>
      <c r="CP19" s="155"/>
      <c r="CQ19" s="154"/>
      <c r="CR19" s="155"/>
      <c r="CS19" s="154"/>
      <c r="CT19" s="155">
        <f>ROUND(CT17*0.27,0)</f>
        <v>3240</v>
      </c>
      <c r="CU19" s="154"/>
      <c r="CV19" s="155"/>
      <c r="CW19" s="154"/>
      <c r="CX19" s="155"/>
      <c r="CY19" s="154"/>
      <c r="CZ19" s="155"/>
      <c r="DA19" s="154"/>
      <c r="DB19" s="155"/>
      <c r="DC19" s="154"/>
      <c r="DD19" s="155"/>
      <c r="DE19" s="154"/>
      <c r="DF19" s="155"/>
      <c r="DG19" s="154">
        <v>971</v>
      </c>
      <c r="DH19" s="155">
        <v>8886</v>
      </c>
      <c r="DI19" s="154"/>
      <c r="DJ19" s="155"/>
      <c r="DK19" s="154"/>
      <c r="DL19" s="155"/>
      <c r="DM19" s="154"/>
      <c r="DN19" s="155"/>
      <c r="DO19" s="154"/>
      <c r="DP19" s="155"/>
      <c r="DQ19" s="154"/>
      <c r="DR19" s="155"/>
      <c r="DS19" s="154"/>
      <c r="DT19" s="155"/>
      <c r="DU19" s="154"/>
      <c r="DV19" s="155"/>
    </row>
    <row r="20" spans="1:126" x14ac:dyDescent="0.2">
      <c r="A20" s="150" t="s">
        <v>67</v>
      </c>
      <c r="B20" s="150" t="s">
        <v>877</v>
      </c>
      <c r="C20" s="151">
        <f>E20+G20+I20</f>
        <v>50</v>
      </c>
      <c r="D20" s="152">
        <f t="shared" ref="D20:D42" si="6">F20+H20+J20</f>
        <v>211</v>
      </c>
      <c r="E20" s="151">
        <f>K20+M20+O19:O20+Q20+S20+U20+W20+Y20+AA20+AC20+AE20+AI20</f>
        <v>50</v>
      </c>
      <c r="F20" s="152">
        <f t="shared" ref="F20:F42" si="7">L20+N20+P19:P20+R20+T20+V20+X20+Z20+AB20+AD20+AF20+AJ20+AH20</f>
        <v>211</v>
      </c>
      <c r="G20" s="151">
        <f t="shared" si="3"/>
        <v>0</v>
      </c>
      <c r="H20" s="152">
        <f t="shared" si="3"/>
        <v>0</v>
      </c>
      <c r="I20" s="151"/>
      <c r="J20" s="152"/>
      <c r="K20" s="151"/>
      <c r="L20" s="152"/>
      <c r="M20" s="151"/>
      <c r="N20" s="152"/>
      <c r="O20" s="151"/>
      <c r="P20" s="152"/>
      <c r="Q20" s="151">
        <v>30</v>
      </c>
      <c r="R20" s="152">
        <f>30+53+41+52</f>
        <v>176</v>
      </c>
      <c r="S20" s="151"/>
      <c r="T20" s="152"/>
      <c r="U20" s="151"/>
      <c r="V20" s="152"/>
      <c r="W20" s="151"/>
      <c r="X20" s="152"/>
      <c r="Y20" s="151"/>
      <c r="Z20" s="152"/>
      <c r="AA20" s="151"/>
      <c r="AB20" s="152"/>
      <c r="AC20" s="151"/>
      <c r="AD20" s="152"/>
      <c r="AE20" s="151">
        <v>20</v>
      </c>
      <c r="AF20" s="152">
        <v>35</v>
      </c>
      <c r="AG20" s="151"/>
      <c r="AH20" s="152"/>
      <c r="AI20" s="151"/>
      <c r="AJ20" s="152"/>
      <c r="AK20" s="151"/>
      <c r="AL20" s="152"/>
      <c r="AM20" s="151"/>
      <c r="AN20" s="152"/>
      <c r="AO20" s="151"/>
      <c r="AP20" s="152"/>
      <c r="AQ20" s="151"/>
      <c r="AR20" s="152"/>
      <c r="AS20" s="151"/>
      <c r="AT20" s="152"/>
      <c r="AU20" s="151"/>
      <c r="AV20" s="152"/>
      <c r="AW20" s="151"/>
      <c r="AX20" s="152"/>
      <c r="AY20" s="151"/>
      <c r="AZ20" s="152"/>
      <c r="BA20" s="151"/>
      <c r="BB20" s="152"/>
      <c r="BC20" s="151"/>
      <c r="BD20" s="152"/>
      <c r="BE20" s="151"/>
      <c r="BF20" s="152"/>
      <c r="BG20" s="151"/>
      <c r="BH20" s="152"/>
      <c r="BI20" s="151"/>
      <c r="BJ20" s="152"/>
      <c r="BK20" s="151"/>
      <c r="BL20" s="152"/>
      <c r="BM20" s="151"/>
      <c r="BN20" s="152"/>
      <c r="BO20" s="151"/>
      <c r="BP20" s="152"/>
      <c r="BQ20" s="151"/>
      <c r="BR20" s="152"/>
      <c r="BS20" s="151"/>
      <c r="BT20" s="152"/>
      <c r="BU20" s="151"/>
      <c r="BV20" s="152"/>
      <c r="BW20" s="151"/>
      <c r="BX20" s="152"/>
      <c r="BY20" s="151"/>
      <c r="BZ20" s="152"/>
      <c r="CA20" s="151"/>
      <c r="CB20" s="152"/>
      <c r="CC20" s="151"/>
      <c r="CD20" s="152"/>
      <c r="CE20" s="151"/>
      <c r="CF20" s="152"/>
      <c r="CG20" s="151"/>
      <c r="CH20" s="152"/>
      <c r="CI20" s="151"/>
      <c r="CJ20" s="152"/>
      <c r="CK20" s="151"/>
      <c r="CL20" s="152"/>
      <c r="CM20" s="151"/>
      <c r="CN20" s="152"/>
      <c r="CO20" s="151"/>
      <c r="CP20" s="152"/>
      <c r="CQ20" s="151"/>
      <c r="CR20" s="152"/>
      <c r="CS20" s="151"/>
      <c r="CT20" s="152"/>
      <c r="CU20" s="151"/>
      <c r="CV20" s="152"/>
      <c r="CW20" s="151"/>
      <c r="CX20" s="152"/>
      <c r="CY20" s="151"/>
      <c r="CZ20" s="152"/>
      <c r="DA20" s="151"/>
      <c r="DB20" s="152"/>
      <c r="DC20" s="151"/>
      <c r="DD20" s="152"/>
      <c r="DE20" s="151"/>
      <c r="DF20" s="152"/>
      <c r="DG20" s="151"/>
      <c r="DH20" s="152"/>
      <c r="DI20" s="151"/>
      <c r="DJ20" s="152"/>
      <c r="DK20" s="151"/>
      <c r="DL20" s="152"/>
      <c r="DM20" s="151"/>
      <c r="DN20" s="152"/>
      <c r="DO20" s="151"/>
      <c r="DP20" s="152"/>
      <c r="DQ20" s="151"/>
      <c r="DR20" s="152"/>
      <c r="DS20" s="151"/>
      <c r="DT20" s="152"/>
      <c r="DU20" s="151"/>
      <c r="DV20" s="152"/>
    </row>
    <row r="21" spans="1:126" x14ac:dyDescent="0.2">
      <c r="A21" s="150" t="s">
        <v>76</v>
      </c>
      <c r="B21" s="150" t="s">
        <v>878</v>
      </c>
      <c r="C21" s="151">
        <f>E21+G21+I21</f>
        <v>2865</v>
      </c>
      <c r="D21" s="152">
        <f t="shared" si="6"/>
        <v>8002</v>
      </c>
      <c r="E21" s="151">
        <f>K21+M21+O20:O21+Q21+S21+U21+W21+Y21+AA21+AC21+AE21+AI21</f>
        <v>960</v>
      </c>
      <c r="F21" s="152">
        <f t="shared" si="7"/>
        <v>2152</v>
      </c>
      <c r="G21" s="151">
        <f t="shared" si="3"/>
        <v>1905</v>
      </c>
      <c r="H21" s="152">
        <f t="shared" si="3"/>
        <v>5850</v>
      </c>
      <c r="I21" s="151"/>
      <c r="J21" s="152"/>
      <c r="K21" s="151"/>
      <c r="L21" s="152"/>
      <c r="M21" s="151"/>
      <c r="N21" s="152"/>
      <c r="O21" s="151"/>
      <c r="P21" s="152"/>
      <c r="Q21" s="151">
        <v>180</v>
      </c>
      <c r="R21" s="152">
        <v>250</v>
      </c>
      <c r="S21" s="151"/>
      <c r="T21" s="152"/>
      <c r="U21" s="151"/>
      <c r="V21" s="152"/>
      <c r="W21" s="151"/>
      <c r="X21" s="152"/>
      <c r="Y21" s="151"/>
      <c r="Z21" s="152"/>
      <c r="AA21" s="151"/>
      <c r="AB21" s="152"/>
      <c r="AC21" s="151">
        <v>280</v>
      </c>
      <c r="AD21" s="152">
        <v>280</v>
      </c>
      <c r="AE21" s="151">
        <v>500</v>
      </c>
      <c r="AF21" s="152">
        <f>1500+122</f>
        <v>1622</v>
      </c>
      <c r="AG21" s="151"/>
      <c r="AH21" s="152"/>
      <c r="AI21" s="151"/>
      <c r="AJ21" s="152"/>
      <c r="AK21" s="151"/>
      <c r="AL21" s="152"/>
      <c r="AM21" s="151"/>
      <c r="AN21" s="152"/>
      <c r="AO21" s="151"/>
      <c r="AP21" s="152"/>
      <c r="AQ21" s="151"/>
      <c r="AR21" s="152"/>
      <c r="AS21" s="151"/>
      <c r="AT21" s="152"/>
      <c r="AU21" s="151"/>
      <c r="AV21" s="152"/>
      <c r="AW21" s="151"/>
      <c r="AX21" s="152"/>
      <c r="AY21" s="151"/>
      <c r="AZ21" s="152"/>
      <c r="BA21" s="151"/>
      <c r="BB21" s="152"/>
      <c r="BC21" s="151"/>
      <c r="BD21" s="152"/>
      <c r="BE21" s="151"/>
      <c r="BF21" s="152"/>
      <c r="BG21" s="151"/>
      <c r="BH21" s="152"/>
      <c r="BI21" s="151"/>
      <c r="BJ21" s="152"/>
      <c r="BK21" s="151"/>
      <c r="BL21" s="152"/>
      <c r="BM21" s="151"/>
      <c r="BN21" s="152"/>
      <c r="BO21" s="151"/>
      <c r="BP21" s="152"/>
      <c r="BQ21" s="151"/>
      <c r="BR21" s="152"/>
      <c r="BS21" s="151"/>
      <c r="BT21" s="152"/>
      <c r="BU21" s="151"/>
      <c r="BV21" s="152"/>
      <c r="BW21" s="151"/>
      <c r="BX21" s="152"/>
      <c r="BY21" s="151"/>
      <c r="BZ21" s="152"/>
      <c r="CA21" s="151"/>
      <c r="CB21" s="152"/>
      <c r="CC21" s="151"/>
      <c r="CD21" s="152"/>
      <c r="CE21" s="151"/>
      <c r="CF21" s="152"/>
      <c r="CG21" s="151"/>
      <c r="CH21" s="152"/>
      <c r="CI21" s="151"/>
      <c r="CJ21" s="152"/>
      <c r="CK21" s="151"/>
      <c r="CL21" s="152"/>
      <c r="CM21" s="151"/>
      <c r="CN21" s="152"/>
      <c r="CO21" s="151"/>
      <c r="CP21" s="152"/>
      <c r="CQ21" s="151"/>
      <c r="CR21" s="152"/>
      <c r="CS21" s="151"/>
      <c r="CT21" s="152"/>
      <c r="CU21" s="151"/>
      <c r="CV21" s="152"/>
      <c r="CW21" s="151"/>
      <c r="CX21" s="152"/>
      <c r="CY21" s="151"/>
      <c r="CZ21" s="152"/>
      <c r="DA21" s="151"/>
      <c r="DB21" s="152"/>
      <c r="DC21" s="151"/>
      <c r="DD21" s="152"/>
      <c r="DE21" s="151"/>
      <c r="DF21" s="152"/>
      <c r="DG21" s="151"/>
      <c r="DH21" s="152">
        <v>850</v>
      </c>
      <c r="DI21" s="151"/>
      <c r="DJ21" s="152"/>
      <c r="DK21" s="151"/>
      <c r="DL21" s="152"/>
      <c r="DM21" s="151">
        <v>1905</v>
      </c>
      <c r="DN21" s="152">
        <v>5000</v>
      </c>
      <c r="DO21" s="151"/>
      <c r="DP21" s="152"/>
      <c r="DQ21" s="151"/>
      <c r="DR21" s="152"/>
      <c r="DS21" s="151"/>
      <c r="DT21" s="152"/>
      <c r="DU21" s="151"/>
      <c r="DV21" s="152"/>
    </row>
    <row r="22" spans="1:126" x14ac:dyDescent="0.2">
      <c r="A22" s="150" t="s">
        <v>85</v>
      </c>
      <c r="B22" s="150" t="s">
        <v>88</v>
      </c>
      <c r="C22" s="151">
        <f>E22+G22+I22</f>
        <v>0</v>
      </c>
      <c r="D22" s="152">
        <f t="shared" si="6"/>
        <v>0</v>
      </c>
      <c r="E22" s="151">
        <f>K22+M22+O21:O22+Q22+S22+U22+W22+Y22+AA22+AC22+AE22+AI22</f>
        <v>0</v>
      </c>
      <c r="F22" s="152">
        <f t="shared" si="7"/>
        <v>0</v>
      </c>
      <c r="G22" s="151">
        <f t="shared" si="3"/>
        <v>0</v>
      </c>
      <c r="H22" s="152">
        <f t="shared" si="3"/>
        <v>0</v>
      </c>
      <c r="I22" s="151"/>
      <c r="J22" s="152"/>
      <c r="K22" s="151"/>
      <c r="L22" s="152"/>
      <c r="M22" s="151"/>
      <c r="N22" s="152"/>
      <c r="O22" s="151"/>
      <c r="P22" s="152"/>
      <c r="Q22" s="151">
        <v>0</v>
      </c>
      <c r="R22" s="152">
        <v>0</v>
      </c>
      <c r="S22" s="151"/>
      <c r="T22" s="152"/>
      <c r="U22" s="151"/>
      <c r="V22" s="152"/>
      <c r="W22" s="151"/>
      <c r="X22" s="152"/>
      <c r="Y22" s="151"/>
      <c r="Z22" s="152"/>
      <c r="AA22" s="151"/>
      <c r="AB22" s="152"/>
      <c r="AC22" s="151"/>
      <c r="AD22" s="152"/>
      <c r="AE22" s="151"/>
      <c r="AF22" s="152"/>
      <c r="AG22" s="151"/>
      <c r="AH22" s="152"/>
      <c r="AI22" s="151"/>
      <c r="AJ22" s="152"/>
      <c r="AK22" s="151"/>
      <c r="AL22" s="152"/>
      <c r="AM22" s="151"/>
      <c r="AN22" s="152"/>
      <c r="AO22" s="151"/>
      <c r="AP22" s="152"/>
      <c r="AQ22" s="151"/>
      <c r="AR22" s="152"/>
      <c r="AS22" s="151"/>
      <c r="AT22" s="152"/>
      <c r="AU22" s="151"/>
      <c r="AV22" s="152"/>
      <c r="AW22" s="151"/>
      <c r="AX22" s="152"/>
      <c r="AY22" s="151"/>
      <c r="AZ22" s="152"/>
      <c r="BA22" s="151"/>
      <c r="BB22" s="152"/>
      <c r="BC22" s="151"/>
      <c r="BD22" s="152"/>
      <c r="BE22" s="151"/>
      <c r="BF22" s="152"/>
      <c r="BG22" s="151"/>
      <c r="BH22" s="152"/>
      <c r="BI22" s="151"/>
      <c r="BJ22" s="152"/>
      <c r="BK22" s="151"/>
      <c r="BL22" s="152"/>
      <c r="BM22" s="151"/>
      <c r="BN22" s="152"/>
      <c r="BO22" s="151"/>
      <c r="BP22" s="152"/>
      <c r="BQ22" s="151"/>
      <c r="BR22" s="152"/>
      <c r="BS22" s="151"/>
      <c r="BT22" s="152"/>
      <c r="BU22" s="151"/>
      <c r="BV22" s="152"/>
      <c r="BW22" s="151"/>
      <c r="BX22" s="152"/>
      <c r="BY22" s="151"/>
      <c r="BZ22" s="152"/>
      <c r="CA22" s="151"/>
      <c r="CB22" s="152"/>
      <c r="CC22" s="151"/>
      <c r="CD22" s="152"/>
      <c r="CE22" s="151"/>
      <c r="CF22" s="152"/>
      <c r="CG22" s="151"/>
      <c r="CH22" s="152"/>
      <c r="CI22" s="151"/>
      <c r="CJ22" s="152"/>
      <c r="CK22" s="151"/>
      <c r="CL22" s="152"/>
      <c r="CM22" s="151"/>
      <c r="CN22" s="152"/>
      <c r="CO22" s="151"/>
      <c r="CP22" s="152"/>
      <c r="CQ22" s="151"/>
      <c r="CR22" s="152"/>
      <c r="CS22" s="151"/>
      <c r="CT22" s="152"/>
      <c r="CU22" s="151"/>
      <c r="CV22" s="152"/>
      <c r="CW22" s="151"/>
      <c r="CX22" s="152"/>
      <c r="CY22" s="151"/>
      <c r="CZ22" s="152"/>
      <c r="DA22" s="151"/>
      <c r="DB22" s="152"/>
      <c r="DC22" s="151"/>
      <c r="DD22" s="152"/>
      <c r="DE22" s="151"/>
      <c r="DF22" s="152"/>
      <c r="DG22" s="151"/>
      <c r="DH22" s="152"/>
      <c r="DI22" s="151"/>
      <c r="DJ22" s="152"/>
      <c r="DK22" s="151"/>
      <c r="DL22" s="152"/>
      <c r="DM22" s="151"/>
      <c r="DN22" s="152"/>
      <c r="DO22" s="151"/>
      <c r="DP22" s="152"/>
      <c r="DQ22" s="151"/>
      <c r="DR22" s="152"/>
      <c r="DS22" s="151"/>
      <c r="DT22" s="152"/>
      <c r="DU22" s="151"/>
      <c r="DV22" s="152"/>
    </row>
    <row r="23" spans="1:126" x14ac:dyDescent="0.2">
      <c r="A23" s="157" t="s">
        <v>90</v>
      </c>
      <c r="B23" s="157" t="s">
        <v>879</v>
      </c>
      <c r="C23" s="158">
        <f t="shared" ref="C23:H23" si="8">SUM(C20:C22)</f>
        <v>2915</v>
      </c>
      <c r="D23" s="159">
        <f t="shared" si="8"/>
        <v>8213</v>
      </c>
      <c r="E23" s="158">
        <f t="shared" si="8"/>
        <v>1010</v>
      </c>
      <c r="F23" s="159">
        <f t="shared" si="8"/>
        <v>2363</v>
      </c>
      <c r="G23" s="158">
        <f t="shared" si="8"/>
        <v>1905</v>
      </c>
      <c r="H23" s="159">
        <f t="shared" si="8"/>
        <v>5850</v>
      </c>
      <c r="I23" s="158"/>
      <c r="J23" s="159"/>
      <c r="K23" s="158">
        <f t="shared" ref="K23:AO23" si="9">SUM(K20:K22)</f>
        <v>0</v>
      </c>
      <c r="L23" s="159">
        <f t="shared" si="9"/>
        <v>0</v>
      </c>
      <c r="M23" s="158">
        <f t="shared" si="9"/>
        <v>0</v>
      </c>
      <c r="N23" s="159">
        <f t="shared" si="9"/>
        <v>0</v>
      </c>
      <c r="O23" s="158">
        <f t="shared" si="9"/>
        <v>0</v>
      </c>
      <c r="P23" s="159">
        <f t="shared" si="9"/>
        <v>0</v>
      </c>
      <c r="Q23" s="158">
        <f t="shared" si="9"/>
        <v>210</v>
      </c>
      <c r="R23" s="159">
        <f t="shared" si="9"/>
        <v>426</v>
      </c>
      <c r="S23" s="158">
        <f t="shared" si="9"/>
        <v>0</v>
      </c>
      <c r="T23" s="159">
        <f>SUM(T20:T22)</f>
        <v>0</v>
      </c>
      <c r="U23" s="158">
        <f t="shared" si="9"/>
        <v>0</v>
      </c>
      <c r="V23" s="159">
        <f>SUM(V20:V22)</f>
        <v>0</v>
      </c>
      <c r="W23" s="158">
        <f t="shared" si="9"/>
        <v>0</v>
      </c>
      <c r="X23" s="159">
        <f t="shared" si="9"/>
        <v>0</v>
      </c>
      <c r="Y23" s="158">
        <f t="shared" si="9"/>
        <v>0</v>
      </c>
      <c r="Z23" s="159">
        <f>SUM(Z20:Z22)</f>
        <v>0</v>
      </c>
      <c r="AA23" s="158">
        <f t="shared" si="9"/>
        <v>0</v>
      </c>
      <c r="AB23" s="159">
        <f>SUM(AB20:AB22)</f>
        <v>0</v>
      </c>
      <c r="AC23" s="158">
        <f t="shared" si="9"/>
        <v>280</v>
      </c>
      <c r="AD23" s="159">
        <f>SUM(AD20:AD22)</f>
        <v>280</v>
      </c>
      <c r="AE23" s="158">
        <f t="shared" si="9"/>
        <v>520</v>
      </c>
      <c r="AF23" s="159">
        <f>SUM(AF20:AF22)</f>
        <v>1657</v>
      </c>
      <c r="AG23" s="158"/>
      <c r="AH23" s="159"/>
      <c r="AI23" s="158">
        <f>SUM(AI20:AI22)</f>
        <v>0</v>
      </c>
      <c r="AJ23" s="159">
        <f>SUM(AJ20:AJ22)</f>
        <v>0</v>
      </c>
      <c r="AK23" s="158">
        <f t="shared" si="9"/>
        <v>0</v>
      </c>
      <c r="AL23" s="159">
        <f>SUM(AL20:AL22)</f>
        <v>0</v>
      </c>
      <c r="AM23" s="158">
        <f t="shared" si="9"/>
        <v>0</v>
      </c>
      <c r="AN23" s="159"/>
      <c r="AO23" s="158">
        <f t="shared" si="9"/>
        <v>0</v>
      </c>
      <c r="AP23" s="159">
        <f>SUM(AP20:AP22)</f>
        <v>0</v>
      </c>
      <c r="AQ23" s="158">
        <f t="shared" ref="AQ23:DO23" si="10">SUM(AQ20:AQ22)</f>
        <v>0</v>
      </c>
      <c r="AR23" s="159">
        <f>SUM(AR20:AR22)</f>
        <v>0</v>
      </c>
      <c r="AS23" s="158">
        <f t="shared" si="10"/>
        <v>0</v>
      </c>
      <c r="AT23" s="159">
        <f>SUM(AT20:AT22)</f>
        <v>0</v>
      </c>
      <c r="AU23" s="158">
        <f t="shared" si="10"/>
        <v>0</v>
      </c>
      <c r="AV23" s="159">
        <f>SUM(AV20:AV22)</f>
        <v>0</v>
      </c>
      <c r="AW23" s="158">
        <f t="shared" si="10"/>
        <v>0</v>
      </c>
      <c r="AX23" s="159">
        <f>SUM(AX20:AX22)</f>
        <v>0</v>
      </c>
      <c r="AY23" s="158">
        <f t="shared" si="10"/>
        <v>0</v>
      </c>
      <c r="AZ23" s="159">
        <f>SUM(AZ20:AZ22)</f>
        <v>0</v>
      </c>
      <c r="BA23" s="158">
        <f t="shared" si="10"/>
        <v>0</v>
      </c>
      <c r="BB23" s="159">
        <f>SUM(BB20:BB22)</f>
        <v>0</v>
      </c>
      <c r="BC23" s="158">
        <f t="shared" si="10"/>
        <v>0</v>
      </c>
      <c r="BD23" s="159">
        <f>SUM(BD20:BD22)</f>
        <v>0</v>
      </c>
      <c r="BE23" s="158">
        <f t="shared" si="10"/>
        <v>0</v>
      </c>
      <c r="BF23" s="159">
        <f>SUM(BF20:BF22)</f>
        <v>0</v>
      </c>
      <c r="BG23" s="158">
        <f t="shared" si="10"/>
        <v>0</v>
      </c>
      <c r="BH23" s="159">
        <f>SUM(BH20:BH22)</f>
        <v>0</v>
      </c>
      <c r="BI23" s="158">
        <f t="shared" si="10"/>
        <v>0</v>
      </c>
      <c r="BJ23" s="159">
        <f>SUM(BJ20:BJ22)</f>
        <v>0</v>
      </c>
      <c r="BK23" s="158">
        <f t="shared" si="10"/>
        <v>0</v>
      </c>
      <c r="BL23" s="159">
        <f>SUM(BL20:BL22)</f>
        <v>0</v>
      </c>
      <c r="BM23" s="158">
        <f t="shared" si="10"/>
        <v>0</v>
      </c>
      <c r="BN23" s="159">
        <f>SUM(BN20:BN22)</f>
        <v>0</v>
      </c>
      <c r="BO23" s="158">
        <f t="shared" si="10"/>
        <v>0</v>
      </c>
      <c r="BP23" s="159">
        <f>SUM(BP20:BP22)</f>
        <v>0</v>
      </c>
      <c r="BQ23" s="158">
        <f t="shared" si="10"/>
        <v>0</v>
      </c>
      <c r="BR23" s="159">
        <f>SUM(BR20:BR22)</f>
        <v>0</v>
      </c>
      <c r="BS23" s="158">
        <f t="shared" si="10"/>
        <v>0</v>
      </c>
      <c r="BT23" s="159">
        <f>SUM(BT20:BT22)</f>
        <v>0</v>
      </c>
      <c r="BU23" s="158">
        <f t="shared" si="10"/>
        <v>0</v>
      </c>
      <c r="BV23" s="159">
        <f>SUM(BV20:BV22)</f>
        <v>0</v>
      </c>
      <c r="BW23" s="158">
        <f t="shared" si="10"/>
        <v>0</v>
      </c>
      <c r="BX23" s="159">
        <f>SUM(BX20:BX22)</f>
        <v>0</v>
      </c>
      <c r="BY23" s="158">
        <f t="shared" si="10"/>
        <v>0</v>
      </c>
      <c r="BZ23" s="159">
        <f>SUM(BZ20:BZ22)</f>
        <v>0</v>
      </c>
      <c r="CA23" s="158">
        <f t="shared" si="10"/>
        <v>0</v>
      </c>
      <c r="CB23" s="159">
        <f>SUM(CB20:CB22)</f>
        <v>0</v>
      </c>
      <c r="CC23" s="158">
        <f t="shared" si="10"/>
        <v>0</v>
      </c>
      <c r="CD23" s="159">
        <f>SUM(CD20:CD22)</f>
        <v>0</v>
      </c>
      <c r="CE23" s="158">
        <f>SUM(CE20:CE22)</f>
        <v>0</v>
      </c>
      <c r="CF23" s="159">
        <f>SUM(CF20:CF22)</f>
        <v>0</v>
      </c>
      <c r="CG23" s="158">
        <f t="shared" si="10"/>
        <v>0</v>
      </c>
      <c r="CH23" s="159">
        <f>SUM(CH20:CH22)</f>
        <v>0</v>
      </c>
      <c r="CI23" s="158">
        <f t="shared" si="10"/>
        <v>0</v>
      </c>
      <c r="CJ23" s="159">
        <f>SUM(CJ20:CJ22)</f>
        <v>0</v>
      </c>
      <c r="CK23" s="158">
        <f t="shared" si="10"/>
        <v>0</v>
      </c>
      <c r="CL23" s="159">
        <f>SUM(CL20:CL22)</f>
        <v>0</v>
      </c>
      <c r="CM23" s="158">
        <f t="shared" si="10"/>
        <v>0</v>
      </c>
      <c r="CN23" s="159">
        <f>SUM(CN20:CN22)</f>
        <v>0</v>
      </c>
      <c r="CO23" s="158">
        <f t="shared" si="10"/>
        <v>0</v>
      </c>
      <c r="CP23" s="159">
        <f>SUM(CP20:CP22)</f>
        <v>0</v>
      </c>
      <c r="CQ23" s="158">
        <f t="shared" si="10"/>
        <v>0</v>
      </c>
      <c r="CR23" s="159">
        <f>SUM(CR20:CR22)</f>
        <v>0</v>
      </c>
      <c r="CS23" s="158">
        <f t="shared" si="10"/>
        <v>0</v>
      </c>
      <c r="CT23" s="159">
        <f>SUM(CT20:CT22)</f>
        <v>0</v>
      </c>
      <c r="CU23" s="158">
        <f t="shared" si="10"/>
        <v>0</v>
      </c>
      <c r="CV23" s="159">
        <f>SUM(CV20:CV22)</f>
        <v>0</v>
      </c>
      <c r="CW23" s="158">
        <f t="shared" si="10"/>
        <v>0</v>
      </c>
      <c r="CX23" s="159">
        <f>SUM(CX20:CX22)</f>
        <v>0</v>
      </c>
      <c r="CY23" s="158">
        <f t="shared" si="10"/>
        <v>0</v>
      </c>
      <c r="CZ23" s="159"/>
      <c r="DA23" s="158">
        <f t="shared" si="10"/>
        <v>0</v>
      </c>
      <c r="DB23" s="159"/>
      <c r="DC23" s="158">
        <f t="shared" si="10"/>
        <v>0</v>
      </c>
      <c r="DD23" s="159">
        <f>SUM(DD20:DD22)</f>
        <v>0</v>
      </c>
      <c r="DE23" s="158">
        <f t="shared" si="10"/>
        <v>0</v>
      </c>
      <c r="DF23" s="159">
        <f>SUM(DF20:DF22)</f>
        <v>0</v>
      </c>
      <c r="DG23" s="158">
        <f t="shared" si="10"/>
        <v>0</v>
      </c>
      <c r="DH23" s="159">
        <f>SUM(DH20:DH22)</f>
        <v>850</v>
      </c>
      <c r="DI23" s="158">
        <f t="shared" si="10"/>
        <v>0</v>
      </c>
      <c r="DJ23" s="159">
        <f>SUM(DJ20:DJ22)</f>
        <v>0</v>
      </c>
      <c r="DK23" s="158">
        <f t="shared" si="10"/>
        <v>0</v>
      </c>
      <c r="DL23" s="159">
        <f>SUM(DL20:DL22)</f>
        <v>0</v>
      </c>
      <c r="DM23" s="158">
        <f t="shared" si="10"/>
        <v>1905</v>
      </c>
      <c r="DN23" s="159">
        <f>SUM(DN20:DN22)</f>
        <v>5000</v>
      </c>
      <c r="DO23" s="158">
        <f t="shared" si="10"/>
        <v>0</v>
      </c>
      <c r="DP23" s="159">
        <f>SUM(DP20:DP22)</f>
        <v>0</v>
      </c>
      <c r="DQ23" s="158"/>
      <c r="DR23" s="159"/>
      <c r="DS23" s="158"/>
      <c r="DT23" s="159"/>
      <c r="DU23" s="158"/>
      <c r="DV23" s="159"/>
    </row>
    <row r="24" spans="1:126" x14ac:dyDescent="0.2">
      <c r="A24" s="150" t="s">
        <v>93</v>
      </c>
      <c r="B24" s="150" t="s">
        <v>95</v>
      </c>
      <c r="C24" s="151">
        <f>E24+G24+I24</f>
        <v>15489</v>
      </c>
      <c r="D24" s="152">
        <f t="shared" si="6"/>
        <v>16301</v>
      </c>
      <c r="E24" s="151">
        <f>K24+M24+O23:O24+Q24+S24+U24+W24+Y24+AA24+AC24+AE24+AI24</f>
        <v>15489</v>
      </c>
      <c r="F24" s="152">
        <f t="shared" si="7"/>
        <v>16301</v>
      </c>
      <c r="G24" s="151">
        <f t="shared" si="3"/>
        <v>0</v>
      </c>
      <c r="H24" s="152">
        <f t="shared" si="3"/>
        <v>0</v>
      </c>
      <c r="I24" s="151"/>
      <c r="J24" s="152"/>
      <c r="K24" s="151">
        <v>200</v>
      </c>
      <c r="L24" s="152">
        <v>120</v>
      </c>
      <c r="M24" s="151"/>
      <c r="N24" s="152"/>
      <c r="O24" s="151"/>
      <c r="P24" s="152"/>
      <c r="Q24" s="151">
        <v>164</v>
      </c>
      <c r="R24" s="152">
        <v>450</v>
      </c>
      <c r="S24" s="151"/>
      <c r="T24" s="152"/>
      <c r="U24" s="151"/>
      <c r="V24" s="152"/>
      <c r="W24" s="151"/>
      <c r="X24" s="152"/>
      <c r="Y24" s="151"/>
      <c r="Z24" s="152"/>
      <c r="AA24" s="151"/>
      <c r="AB24" s="152"/>
      <c r="AC24" s="151"/>
      <c r="AD24" s="152"/>
      <c r="AE24" s="151">
        <v>15125</v>
      </c>
      <c r="AF24" s="152">
        <v>15731</v>
      </c>
      <c r="AG24" s="151"/>
      <c r="AH24" s="152"/>
      <c r="AI24" s="151"/>
      <c r="AJ24" s="152"/>
      <c r="AK24" s="151"/>
      <c r="AL24" s="152"/>
      <c r="AM24" s="151"/>
      <c r="AN24" s="152"/>
      <c r="AO24" s="151"/>
      <c r="AP24" s="152"/>
      <c r="AQ24" s="151"/>
      <c r="AR24" s="152"/>
      <c r="AS24" s="151"/>
      <c r="AT24" s="152"/>
      <c r="AU24" s="151"/>
      <c r="AV24" s="152"/>
      <c r="AW24" s="151"/>
      <c r="AX24" s="152"/>
      <c r="AY24" s="151"/>
      <c r="AZ24" s="152"/>
      <c r="BA24" s="151"/>
      <c r="BB24" s="152"/>
      <c r="BC24" s="151"/>
      <c r="BD24" s="152"/>
      <c r="BE24" s="151"/>
      <c r="BF24" s="152"/>
      <c r="BG24" s="151"/>
      <c r="BH24" s="152"/>
      <c r="BI24" s="151"/>
      <c r="BJ24" s="152"/>
      <c r="BK24" s="151"/>
      <c r="BL24" s="152"/>
      <c r="BM24" s="151"/>
      <c r="BN24" s="152"/>
      <c r="BO24" s="151"/>
      <c r="BP24" s="152"/>
      <c r="BQ24" s="151"/>
      <c r="BR24" s="152"/>
      <c r="BS24" s="151"/>
      <c r="BT24" s="152"/>
      <c r="BU24" s="151"/>
      <c r="BV24" s="152"/>
      <c r="BW24" s="151"/>
      <c r="BX24" s="152"/>
      <c r="BY24" s="151"/>
      <c r="BZ24" s="152"/>
      <c r="CA24" s="151"/>
      <c r="CB24" s="152"/>
      <c r="CC24" s="151"/>
      <c r="CD24" s="152"/>
      <c r="CE24" s="151"/>
      <c r="CF24" s="152"/>
      <c r="CG24" s="151"/>
      <c r="CH24" s="152"/>
      <c r="CI24" s="151"/>
      <c r="CJ24" s="152"/>
      <c r="CK24" s="151"/>
      <c r="CL24" s="152"/>
      <c r="CM24" s="151"/>
      <c r="CN24" s="152"/>
      <c r="CO24" s="151"/>
      <c r="CP24" s="152"/>
      <c r="CQ24" s="151"/>
      <c r="CR24" s="152"/>
      <c r="CS24" s="151"/>
      <c r="CT24" s="152"/>
      <c r="CU24" s="151"/>
      <c r="CV24" s="152"/>
      <c r="CW24" s="151"/>
      <c r="CX24" s="152"/>
      <c r="CY24" s="151"/>
      <c r="CZ24" s="152"/>
      <c r="DA24" s="151"/>
      <c r="DB24" s="152"/>
      <c r="DC24" s="151"/>
      <c r="DD24" s="152"/>
      <c r="DE24" s="151"/>
      <c r="DF24" s="152"/>
      <c r="DG24" s="151"/>
      <c r="DH24" s="152"/>
      <c r="DI24" s="151"/>
      <c r="DJ24" s="152"/>
      <c r="DK24" s="151"/>
      <c r="DL24" s="152"/>
      <c r="DM24" s="151"/>
      <c r="DN24" s="152"/>
      <c r="DO24" s="151"/>
      <c r="DP24" s="152"/>
      <c r="DQ24" s="151"/>
      <c r="DR24" s="152"/>
      <c r="DS24" s="151"/>
      <c r="DT24" s="152"/>
      <c r="DU24" s="151"/>
      <c r="DV24" s="152"/>
    </row>
    <row r="25" spans="1:126" x14ac:dyDescent="0.2">
      <c r="A25" s="150" t="s">
        <v>102</v>
      </c>
      <c r="B25" s="150" t="s">
        <v>106</v>
      </c>
      <c r="C25" s="151">
        <f>E25+G25+I25</f>
        <v>150</v>
      </c>
      <c r="D25" s="152">
        <f t="shared" si="6"/>
        <v>160</v>
      </c>
      <c r="E25" s="151">
        <f>K25+M25+O24:O25+Q25+S25+U25+W25+Y25+AA25+AC25+AE25+AI25</f>
        <v>150</v>
      </c>
      <c r="F25" s="152">
        <f t="shared" si="7"/>
        <v>160</v>
      </c>
      <c r="G25" s="151">
        <f t="shared" si="3"/>
        <v>0</v>
      </c>
      <c r="H25" s="152">
        <f t="shared" si="3"/>
        <v>0</v>
      </c>
      <c r="I25" s="151"/>
      <c r="J25" s="152"/>
      <c r="K25" s="151"/>
      <c r="L25" s="152"/>
      <c r="M25" s="151"/>
      <c r="N25" s="152"/>
      <c r="O25" s="151"/>
      <c r="P25" s="152"/>
      <c r="Q25" s="151">
        <v>120</v>
      </c>
      <c r="R25" s="152">
        <v>160</v>
      </c>
      <c r="S25" s="151"/>
      <c r="T25" s="152"/>
      <c r="U25" s="151"/>
      <c r="V25" s="152"/>
      <c r="W25" s="151"/>
      <c r="X25" s="152"/>
      <c r="Y25" s="151"/>
      <c r="Z25" s="152"/>
      <c r="AA25" s="151"/>
      <c r="AB25" s="152"/>
      <c r="AC25" s="151"/>
      <c r="AD25" s="152"/>
      <c r="AE25" s="151">
        <v>30</v>
      </c>
      <c r="AF25" s="152">
        <v>0</v>
      </c>
      <c r="AG25" s="151"/>
      <c r="AH25" s="152"/>
      <c r="AI25" s="151"/>
      <c r="AJ25" s="152"/>
      <c r="AK25" s="151"/>
      <c r="AL25" s="152"/>
      <c r="AM25" s="151"/>
      <c r="AN25" s="152"/>
      <c r="AO25" s="151"/>
      <c r="AP25" s="152"/>
      <c r="AQ25" s="151"/>
      <c r="AR25" s="152"/>
      <c r="AS25" s="151"/>
      <c r="AT25" s="152"/>
      <c r="AU25" s="151"/>
      <c r="AV25" s="152"/>
      <c r="AW25" s="151"/>
      <c r="AX25" s="152"/>
      <c r="AY25" s="151"/>
      <c r="AZ25" s="152"/>
      <c r="BA25" s="151"/>
      <c r="BB25" s="152"/>
      <c r="BC25" s="151"/>
      <c r="BD25" s="152"/>
      <c r="BE25" s="151"/>
      <c r="BF25" s="152"/>
      <c r="BG25" s="151"/>
      <c r="BH25" s="152"/>
      <c r="BI25" s="151"/>
      <c r="BJ25" s="152"/>
      <c r="BK25" s="151"/>
      <c r="BL25" s="152"/>
      <c r="BM25" s="151"/>
      <c r="BN25" s="152"/>
      <c r="BO25" s="151"/>
      <c r="BP25" s="152"/>
      <c r="BQ25" s="151"/>
      <c r="BR25" s="152"/>
      <c r="BS25" s="151"/>
      <c r="BT25" s="152"/>
      <c r="BU25" s="151"/>
      <c r="BV25" s="152"/>
      <c r="BW25" s="151"/>
      <c r="BX25" s="152"/>
      <c r="BY25" s="151"/>
      <c r="BZ25" s="152"/>
      <c r="CA25" s="151"/>
      <c r="CB25" s="152"/>
      <c r="CC25" s="151"/>
      <c r="CD25" s="152"/>
      <c r="CE25" s="151"/>
      <c r="CF25" s="152"/>
      <c r="CG25" s="151"/>
      <c r="CH25" s="152"/>
      <c r="CI25" s="151"/>
      <c r="CJ25" s="152"/>
      <c r="CK25" s="151"/>
      <c r="CL25" s="152"/>
      <c r="CM25" s="151"/>
      <c r="CN25" s="152"/>
      <c r="CO25" s="151"/>
      <c r="CP25" s="152"/>
      <c r="CQ25" s="151"/>
      <c r="CR25" s="152"/>
      <c r="CS25" s="151"/>
      <c r="CT25" s="152"/>
      <c r="CU25" s="151"/>
      <c r="CV25" s="152"/>
      <c r="CW25" s="151"/>
      <c r="CX25" s="152"/>
      <c r="CY25" s="151"/>
      <c r="CZ25" s="152"/>
      <c r="DA25" s="151"/>
      <c r="DB25" s="152"/>
      <c r="DC25" s="151"/>
      <c r="DD25" s="152"/>
      <c r="DE25" s="151"/>
      <c r="DF25" s="152"/>
      <c r="DG25" s="151"/>
      <c r="DH25" s="152"/>
      <c r="DI25" s="151"/>
      <c r="DJ25" s="152"/>
      <c r="DK25" s="151"/>
      <c r="DL25" s="152"/>
      <c r="DM25" s="151"/>
      <c r="DN25" s="152"/>
      <c r="DO25" s="151"/>
      <c r="DP25" s="152"/>
      <c r="DQ25" s="151"/>
      <c r="DR25" s="152"/>
      <c r="DS25" s="151"/>
      <c r="DT25" s="152"/>
      <c r="DU25" s="151"/>
      <c r="DV25" s="152"/>
    </row>
    <row r="26" spans="1:126" x14ac:dyDescent="0.2">
      <c r="A26" s="157" t="s">
        <v>107</v>
      </c>
      <c r="B26" s="157" t="s">
        <v>880</v>
      </c>
      <c r="C26" s="158">
        <f t="shared" ref="C26:H26" si="11">SUM(C24:C25)</f>
        <v>15639</v>
      </c>
      <c r="D26" s="159">
        <f t="shared" si="11"/>
        <v>16461</v>
      </c>
      <c r="E26" s="158">
        <f t="shared" si="11"/>
        <v>15639</v>
      </c>
      <c r="F26" s="159">
        <f t="shared" si="11"/>
        <v>16461</v>
      </c>
      <c r="G26" s="158">
        <f t="shared" si="11"/>
        <v>0</v>
      </c>
      <c r="H26" s="159">
        <f t="shared" si="11"/>
        <v>0</v>
      </c>
      <c r="I26" s="158"/>
      <c r="J26" s="159"/>
      <c r="K26" s="158">
        <f t="shared" ref="K26:AO26" si="12">SUM(K24:K25)</f>
        <v>200</v>
      </c>
      <c r="L26" s="159">
        <f t="shared" si="12"/>
        <v>120</v>
      </c>
      <c r="M26" s="158">
        <f t="shared" si="12"/>
        <v>0</v>
      </c>
      <c r="N26" s="159">
        <f t="shared" si="12"/>
        <v>0</v>
      </c>
      <c r="O26" s="158">
        <f t="shared" si="12"/>
        <v>0</v>
      </c>
      <c r="P26" s="159">
        <f t="shared" si="12"/>
        <v>0</v>
      </c>
      <c r="Q26" s="158">
        <f t="shared" si="12"/>
        <v>284</v>
      </c>
      <c r="R26" s="159">
        <f t="shared" si="12"/>
        <v>610</v>
      </c>
      <c r="S26" s="158">
        <f t="shared" si="12"/>
        <v>0</v>
      </c>
      <c r="T26" s="159">
        <f>SUM(T24:T25)</f>
        <v>0</v>
      </c>
      <c r="U26" s="158">
        <f t="shared" si="12"/>
        <v>0</v>
      </c>
      <c r="V26" s="159">
        <f>SUM(V24:V25)</f>
        <v>0</v>
      </c>
      <c r="W26" s="158">
        <f t="shared" si="12"/>
        <v>0</v>
      </c>
      <c r="X26" s="159">
        <f t="shared" si="12"/>
        <v>0</v>
      </c>
      <c r="Y26" s="158">
        <f t="shared" si="12"/>
        <v>0</v>
      </c>
      <c r="Z26" s="159">
        <f>SUM(Z24:Z25)</f>
        <v>0</v>
      </c>
      <c r="AA26" s="158">
        <f t="shared" si="12"/>
        <v>0</v>
      </c>
      <c r="AB26" s="159">
        <f>SUM(AB24:AB25)</f>
        <v>0</v>
      </c>
      <c r="AC26" s="158">
        <f t="shared" si="12"/>
        <v>0</v>
      </c>
      <c r="AD26" s="159">
        <f>SUM(AD24:AD25)</f>
        <v>0</v>
      </c>
      <c r="AE26" s="158">
        <f t="shared" si="12"/>
        <v>15155</v>
      </c>
      <c r="AF26" s="159">
        <f>SUM(AF24:AF25)</f>
        <v>15731</v>
      </c>
      <c r="AG26" s="158"/>
      <c r="AH26" s="159"/>
      <c r="AI26" s="158">
        <f>SUM(AI24:AI25)</f>
        <v>0</v>
      </c>
      <c r="AJ26" s="159">
        <f>SUM(AJ24:AJ25)</f>
        <v>0</v>
      </c>
      <c r="AK26" s="158">
        <f t="shared" si="12"/>
        <v>0</v>
      </c>
      <c r="AL26" s="159">
        <f>SUM(AL24:AL25)</f>
        <v>0</v>
      </c>
      <c r="AM26" s="158">
        <f t="shared" si="12"/>
        <v>0</v>
      </c>
      <c r="AN26" s="159"/>
      <c r="AO26" s="158">
        <f t="shared" si="12"/>
        <v>0</v>
      </c>
      <c r="AP26" s="159">
        <f>SUM(AP24:AP25)</f>
        <v>0</v>
      </c>
      <c r="AQ26" s="158">
        <f t="shared" ref="AQ26:DO26" si="13">SUM(AQ24:AQ25)</f>
        <v>0</v>
      </c>
      <c r="AR26" s="159">
        <f>SUM(AR24:AR25)</f>
        <v>0</v>
      </c>
      <c r="AS26" s="158">
        <f t="shared" si="13"/>
        <v>0</v>
      </c>
      <c r="AT26" s="159">
        <f>SUM(AT24:AT25)</f>
        <v>0</v>
      </c>
      <c r="AU26" s="158">
        <f t="shared" si="13"/>
        <v>0</v>
      </c>
      <c r="AV26" s="159">
        <f>SUM(AV24:AV25)</f>
        <v>0</v>
      </c>
      <c r="AW26" s="158">
        <f t="shared" si="13"/>
        <v>0</v>
      </c>
      <c r="AX26" s="159">
        <f>SUM(AX24:AX25)</f>
        <v>0</v>
      </c>
      <c r="AY26" s="158">
        <f t="shared" si="13"/>
        <v>0</v>
      </c>
      <c r="AZ26" s="159">
        <f>SUM(AZ24:AZ25)</f>
        <v>0</v>
      </c>
      <c r="BA26" s="158">
        <f t="shared" si="13"/>
        <v>0</v>
      </c>
      <c r="BB26" s="159">
        <f>SUM(BB24:BB25)</f>
        <v>0</v>
      </c>
      <c r="BC26" s="158">
        <f t="shared" si="13"/>
        <v>0</v>
      </c>
      <c r="BD26" s="159">
        <f>SUM(BD24:BD25)</f>
        <v>0</v>
      </c>
      <c r="BE26" s="158">
        <f t="shared" si="13"/>
        <v>0</v>
      </c>
      <c r="BF26" s="159">
        <f>SUM(BF24:BF25)</f>
        <v>0</v>
      </c>
      <c r="BG26" s="158">
        <f t="shared" si="13"/>
        <v>0</v>
      </c>
      <c r="BH26" s="159">
        <f>SUM(BH24:BH25)</f>
        <v>0</v>
      </c>
      <c r="BI26" s="158">
        <f t="shared" si="13"/>
        <v>0</v>
      </c>
      <c r="BJ26" s="159">
        <f>SUM(BJ24:BJ25)</f>
        <v>0</v>
      </c>
      <c r="BK26" s="158">
        <f t="shared" si="13"/>
        <v>0</v>
      </c>
      <c r="BL26" s="159">
        <f>SUM(BL24:BL25)</f>
        <v>0</v>
      </c>
      <c r="BM26" s="158">
        <f t="shared" si="13"/>
        <v>0</v>
      </c>
      <c r="BN26" s="159">
        <f>SUM(BN24:BN25)</f>
        <v>0</v>
      </c>
      <c r="BO26" s="158">
        <f t="shared" si="13"/>
        <v>0</v>
      </c>
      <c r="BP26" s="159">
        <f>SUM(BP24:BP25)</f>
        <v>0</v>
      </c>
      <c r="BQ26" s="158">
        <f t="shared" si="13"/>
        <v>0</v>
      </c>
      <c r="BR26" s="159">
        <f>SUM(BR24:BR25)</f>
        <v>0</v>
      </c>
      <c r="BS26" s="158">
        <f t="shared" si="13"/>
        <v>0</v>
      </c>
      <c r="BT26" s="159">
        <f>SUM(BT24:BT25)</f>
        <v>0</v>
      </c>
      <c r="BU26" s="158">
        <f t="shared" si="13"/>
        <v>0</v>
      </c>
      <c r="BV26" s="159">
        <f>SUM(BV24:BV25)</f>
        <v>0</v>
      </c>
      <c r="BW26" s="158">
        <f t="shared" si="13"/>
        <v>0</v>
      </c>
      <c r="BX26" s="159">
        <f>SUM(BX24:BX25)</f>
        <v>0</v>
      </c>
      <c r="BY26" s="158">
        <f t="shared" si="13"/>
        <v>0</v>
      </c>
      <c r="BZ26" s="159">
        <f>SUM(BZ24:BZ25)</f>
        <v>0</v>
      </c>
      <c r="CA26" s="158">
        <f t="shared" si="13"/>
        <v>0</v>
      </c>
      <c r="CB26" s="159">
        <f>SUM(CB24:CB25)</f>
        <v>0</v>
      </c>
      <c r="CC26" s="158">
        <f t="shared" si="13"/>
        <v>0</v>
      </c>
      <c r="CD26" s="159">
        <f>SUM(CD24:CD25)</f>
        <v>0</v>
      </c>
      <c r="CE26" s="158">
        <f>SUM(CE24:CE25)</f>
        <v>0</v>
      </c>
      <c r="CF26" s="159">
        <f>SUM(CF24:CF25)</f>
        <v>0</v>
      </c>
      <c r="CG26" s="158">
        <f t="shared" si="13"/>
        <v>0</v>
      </c>
      <c r="CH26" s="159">
        <f>SUM(CH24:CH25)</f>
        <v>0</v>
      </c>
      <c r="CI26" s="158">
        <f t="shared" si="13"/>
        <v>0</v>
      </c>
      <c r="CJ26" s="159">
        <f>SUM(CJ24:CJ25)</f>
        <v>0</v>
      </c>
      <c r="CK26" s="158">
        <f t="shared" si="13"/>
        <v>0</v>
      </c>
      <c r="CL26" s="159">
        <f>SUM(CL24:CL25)</f>
        <v>0</v>
      </c>
      <c r="CM26" s="158">
        <f t="shared" si="13"/>
        <v>0</v>
      </c>
      <c r="CN26" s="159">
        <f>SUM(CN24:CN25)</f>
        <v>0</v>
      </c>
      <c r="CO26" s="158">
        <f t="shared" si="13"/>
        <v>0</v>
      </c>
      <c r="CP26" s="159">
        <f>SUM(CP24:CP25)</f>
        <v>0</v>
      </c>
      <c r="CQ26" s="158">
        <f t="shared" si="13"/>
        <v>0</v>
      </c>
      <c r="CR26" s="159">
        <f>SUM(CR24:CR25)</f>
        <v>0</v>
      </c>
      <c r="CS26" s="158">
        <f t="shared" si="13"/>
        <v>0</v>
      </c>
      <c r="CT26" s="159">
        <f>SUM(CT24:CT25)</f>
        <v>0</v>
      </c>
      <c r="CU26" s="158">
        <f t="shared" si="13"/>
        <v>0</v>
      </c>
      <c r="CV26" s="159">
        <f>SUM(CV24:CV25)</f>
        <v>0</v>
      </c>
      <c r="CW26" s="158">
        <f t="shared" si="13"/>
        <v>0</v>
      </c>
      <c r="CX26" s="159">
        <f>SUM(CX24:CX25)</f>
        <v>0</v>
      </c>
      <c r="CY26" s="158">
        <f t="shared" si="13"/>
        <v>0</v>
      </c>
      <c r="CZ26" s="159"/>
      <c r="DA26" s="158">
        <f t="shared" si="13"/>
        <v>0</v>
      </c>
      <c r="DB26" s="159"/>
      <c r="DC26" s="158">
        <f t="shared" si="13"/>
        <v>0</v>
      </c>
      <c r="DD26" s="159">
        <f>SUM(DD24:DD25)</f>
        <v>0</v>
      </c>
      <c r="DE26" s="158">
        <f t="shared" si="13"/>
        <v>0</v>
      </c>
      <c r="DF26" s="159">
        <f>SUM(DF24:DF25)</f>
        <v>0</v>
      </c>
      <c r="DG26" s="158">
        <f t="shared" si="13"/>
        <v>0</v>
      </c>
      <c r="DH26" s="159">
        <f>SUM(DH24:DH25)</f>
        <v>0</v>
      </c>
      <c r="DI26" s="158">
        <f t="shared" si="13"/>
        <v>0</v>
      </c>
      <c r="DJ26" s="159">
        <f>SUM(DJ24:DJ25)</f>
        <v>0</v>
      </c>
      <c r="DK26" s="158">
        <f t="shared" si="13"/>
        <v>0</v>
      </c>
      <c r="DL26" s="159">
        <f>SUM(DL24:DL25)</f>
        <v>0</v>
      </c>
      <c r="DM26" s="158">
        <f t="shared" si="13"/>
        <v>0</v>
      </c>
      <c r="DN26" s="159">
        <f>SUM(DN24:DN25)</f>
        <v>0</v>
      </c>
      <c r="DO26" s="158">
        <f t="shared" si="13"/>
        <v>0</v>
      </c>
      <c r="DP26" s="159">
        <f>SUM(DP24:DP25)</f>
        <v>0</v>
      </c>
      <c r="DQ26" s="158"/>
      <c r="DR26" s="159"/>
      <c r="DS26" s="158"/>
      <c r="DT26" s="159"/>
      <c r="DU26" s="158"/>
      <c r="DV26" s="159"/>
    </row>
    <row r="27" spans="1:126" x14ac:dyDescent="0.2">
      <c r="A27" s="150" t="s">
        <v>110</v>
      </c>
      <c r="B27" s="150" t="s">
        <v>881</v>
      </c>
      <c r="C27" s="151">
        <f t="shared" ref="C27:C33" si="14">E27+G27+I27</f>
        <v>10500</v>
      </c>
      <c r="D27" s="152">
        <f t="shared" si="6"/>
        <v>11300</v>
      </c>
      <c r="E27" s="151">
        <f t="shared" ref="E27:E33" si="15">K27+M27+O26:O27+Q27+S27+U27+W27+Y27+AA27+AC27+AE27+AI27</f>
        <v>10500</v>
      </c>
      <c r="F27" s="152">
        <f t="shared" si="7"/>
        <v>11300</v>
      </c>
      <c r="G27" s="151">
        <f t="shared" si="3"/>
        <v>0</v>
      </c>
      <c r="H27" s="152">
        <f t="shared" si="3"/>
        <v>0</v>
      </c>
      <c r="I27" s="151"/>
      <c r="J27" s="152"/>
      <c r="K27" s="151"/>
      <c r="L27" s="152"/>
      <c r="M27" s="151"/>
      <c r="N27" s="152"/>
      <c r="O27" s="151">
        <v>200</v>
      </c>
      <c r="P27" s="152">
        <v>200</v>
      </c>
      <c r="Q27" s="151"/>
      <c r="R27" s="152"/>
      <c r="S27" s="151"/>
      <c r="T27" s="152"/>
      <c r="U27" s="151"/>
      <c r="V27" s="152"/>
      <c r="W27" s="151">
        <v>1900</v>
      </c>
      <c r="X27" s="152">
        <v>1900</v>
      </c>
      <c r="Y27" s="151"/>
      <c r="Z27" s="152"/>
      <c r="AA27" s="151"/>
      <c r="AB27" s="152"/>
      <c r="AC27" s="151"/>
      <c r="AD27" s="152"/>
      <c r="AE27" s="151">
        <v>8400</v>
      </c>
      <c r="AF27" s="152">
        <v>9200</v>
      </c>
      <c r="AG27" s="151"/>
      <c r="AH27" s="152"/>
      <c r="AI27" s="151"/>
      <c r="AJ27" s="152"/>
      <c r="AK27" s="151"/>
      <c r="AL27" s="152"/>
      <c r="AM27" s="151"/>
      <c r="AN27" s="152"/>
      <c r="AO27" s="151"/>
      <c r="AP27" s="152"/>
      <c r="AQ27" s="151"/>
      <c r="AR27" s="152"/>
      <c r="AS27" s="151"/>
      <c r="AT27" s="152"/>
      <c r="AU27" s="151"/>
      <c r="AV27" s="152"/>
      <c r="AW27" s="151"/>
      <c r="AX27" s="152"/>
      <c r="AY27" s="151"/>
      <c r="AZ27" s="152"/>
      <c r="BA27" s="151"/>
      <c r="BB27" s="152"/>
      <c r="BC27" s="151"/>
      <c r="BD27" s="152"/>
      <c r="BE27" s="151"/>
      <c r="BF27" s="152"/>
      <c r="BG27" s="151"/>
      <c r="BH27" s="152"/>
      <c r="BI27" s="151"/>
      <c r="BJ27" s="152"/>
      <c r="BK27" s="151"/>
      <c r="BL27" s="152"/>
      <c r="BM27" s="151"/>
      <c r="BN27" s="152"/>
      <c r="BO27" s="151"/>
      <c r="BP27" s="152"/>
      <c r="BQ27" s="151"/>
      <c r="BR27" s="152"/>
      <c r="BS27" s="151"/>
      <c r="BT27" s="152"/>
      <c r="BU27" s="151"/>
      <c r="BV27" s="152"/>
      <c r="BW27" s="151"/>
      <c r="BX27" s="152"/>
      <c r="BY27" s="151"/>
      <c r="BZ27" s="152"/>
      <c r="CA27" s="151"/>
      <c r="CB27" s="152"/>
      <c r="CC27" s="151"/>
      <c r="CD27" s="152"/>
      <c r="CE27" s="151"/>
      <c r="CF27" s="152"/>
      <c r="CG27" s="151"/>
      <c r="CH27" s="152"/>
      <c r="CI27" s="151"/>
      <c r="CJ27" s="152"/>
      <c r="CK27" s="151"/>
      <c r="CL27" s="152"/>
      <c r="CM27" s="151"/>
      <c r="CN27" s="152"/>
      <c r="CO27" s="151"/>
      <c r="CP27" s="152"/>
      <c r="CQ27" s="151"/>
      <c r="CR27" s="152"/>
      <c r="CS27" s="151"/>
      <c r="CT27" s="152"/>
      <c r="CU27" s="151"/>
      <c r="CV27" s="152"/>
      <c r="CW27" s="151"/>
      <c r="CX27" s="152"/>
      <c r="CY27" s="151"/>
      <c r="CZ27" s="152"/>
      <c r="DA27" s="151"/>
      <c r="DB27" s="152"/>
      <c r="DC27" s="151"/>
      <c r="DD27" s="152"/>
      <c r="DE27" s="151"/>
      <c r="DF27" s="152"/>
      <c r="DG27" s="151"/>
      <c r="DH27" s="152"/>
      <c r="DI27" s="151"/>
      <c r="DJ27" s="152"/>
      <c r="DK27" s="151"/>
      <c r="DL27" s="152"/>
      <c r="DM27" s="151"/>
      <c r="DN27" s="152"/>
      <c r="DO27" s="151"/>
      <c r="DP27" s="152"/>
      <c r="DQ27" s="151"/>
      <c r="DR27" s="152"/>
      <c r="DS27" s="151"/>
      <c r="DT27" s="152"/>
      <c r="DU27" s="151"/>
      <c r="DV27" s="152"/>
    </row>
    <row r="28" spans="1:126" x14ac:dyDescent="0.2">
      <c r="A28" s="150" t="s">
        <v>116</v>
      </c>
      <c r="B28" s="150" t="s">
        <v>118</v>
      </c>
      <c r="C28" s="151">
        <f t="shared" si="14"/>
        <v>0</v>
      </c>
      <c r="D28" s="152">
        <f t="shared" si="6"/>
        <v>0</v>
      </c>
      <c r="E28" s="151">
        <f t="shared" si="15"/>
        <v>0</v>
      </c>
      <c r="F28" s="152">
        <f t="shared" si="7"/>
        <v>0</v>
      </c>
      <c r="G28" s="151">
        <f t="shared" si="3"/>
        <v>0</v>
      </c>
      <c r="H28" s="152">
        <f t="shared" si="3"/>
        <v>0</v>
      </c>
      <c r="I28" s="151"/>
      <c r="J28" s="152"/>
      <c r="K28" s="151"/>
      <c r="L28" s="152"/>
      <c r="M28" s="151"/>
      <c r="N28" s="152"/>
      <c r="O28" s="151"/>
      <c r="P28" s="152"/>
      <c r="Q28" s="151"/>
      <c r="R28" s="152"/>
      <c r="S28" s="151"/>
      <c r="T28" s="152"/>
      <c r="U28" s="151"/>
      <c r="V28" s="152"/>
      <c r="W28" s="151"/>
      <c r="X28" s="152"/>
      <c r="Y28" s="151"/>
      <c r="Z28" s="152"/>
      <c r="AA28" s="151"/>
      <c r="AB28" s="152"/>
      <c r="AC28" s="151"/>
      <c r="AD28" s="152"/>
      <c r="AE28" s="151"/>
      <c r="AF28" s="152"/>
      <c r="AG28" s="151"/>
      <c r="AH28" s="152"/>
      <c r="AI28" s="151"/>
      <c r="AJ28" s="152"/>
      <c r="AK28" s="151"/>
      <c r="AL28" s="152"/>
      <c r="AM28" s="151"/>
      <c r="AN28" s="152"/>
      <c r="AO28" s="151"/>
      <c r="AP28" s="152"/>
      <c r="AQ28" s="151"/>
      <c r="AR28" s="152"/>
      <c r="AS28" s="151"/>
      <c r="AT28" s="152"/>
      <c r="AU28" s="151"/>
      <c r="AV28" s="152"/>
      <c r="AW28" s="151"/>
      <c r="AX28" s="152"/>
      <c r="AY28" s="151"/>
      <c r="AZ28" s="152"/>
      <c r="BA28" s="151"/>
      <c r="BB28" s="152"/>
      <c r="BC28" s="151"/>
      <c r="BD28" s="152"/>
      <c r="BE28" s="151"/>
      <c r="BF28" s="152"/>
      <c r="BG28" s="151"/>
      <c r="BH28" s="152"/>
      <c r="BI28" s="151"/>
      <c r="BJ28" s="152"/>
      <c r="BK28" s="151"/>
      <c r="BL28" s="152"/>
      <c r="BM28" s="151"/>
      <c r="BN28" s="152"/>
      <c r="BO28" s="151"/>
      <c r="BP28" s="152"/>
      <c r="BQ28" s="151"/>
      <c r="BR28" s="152"/>
      <c r="BS28" s="151"/>
      <c r="BT28" s="152"/>
      <c r="BU28" s="151"/>
      <c r="BV28" s="152"/>
      <c r="BW28" s="151"/>
      <c r="BX28" s="152"/>
      <c r="BY28" s="151"/>
      <c r="BZ28" s="152"/>
      <c r="CA28" s="151"/>
      <c r="CB28" s="152"/>
      <c r="CC28" s="151"/>
      <c r="CD28" s="152"/>
      <c r="CE28" s="151"/>
      <c r="CF28" s="152"/>
      <c r="CG28" s="151"/>
      <c r="CH28" s="152"/>
      <c r="CI28" s="151"/>
      <c r="CJ28" s="152"/>
      <c r="CK28" s="151"/>
      <c r="CL28" s="152"/>
      <c r="CM28" s="151"/>
      <c r="CN28" s="152"/>
      <c r="CO28" s="151"/>
      <c r="CP28" s="152"/>
      <c r="CQ28" s="151"/>
      <c r="CR28" s="152"/>
      <c r="CS28" s="151"/>
      <c r="CT28" s="152"/>
      <c r="CU28" s="151"/>
      <c r="CV28" s="152"/>
      <c r="CW28" s="151"/>
      <c r="CX28" s="152"/>
      <c r="CY28" s="151"/>
      <c r="CZ28" s="152"/>
      <c r="DA28" s="151"/>
      <c r="DB28" s="152"/>
      <c r="DC28" s="151"/>
      <c r="DD28" s="152"/>
      <c r="DE28" s="151"/>
      <c r="DF28" s="152"/>
      <c r="DG28" s="151"/>
      <c r="DH28" s="152"/>
      <c r="DI28" s="151"/>
      <c r="DJ28" s="152"/>
      <c r="DK28" s="151"/>
      <c r="DL28" s="152"/>
      <c r="DM28" s="151"/>
      <c r="DN28" s="152"/>
      <c r="DO28" s="151"/>
      <c r="DP28" s="152"/>
      <c r="DQ28" s="151"/>
      <c r="DR28" s="152"/>
      <c r="DS28" s="151"/>
      <c r="DT28" s="152"/>
      <c r="DU28" s="151"/>
      <c r="DV28" s="152"/>
    </row>
    <row r="29" spans="1:126" x14ac:dyDescent="0.2">
      <c r="A29" s="150" t="s">
        <v>119</v>
      </c>
      <c r="B29" s="150" t="s">
        <v>882</v>
      </c>
      <c r="C29" s="151">
        <f t="shared" si="14"/>
        <v>33387</v>
      </c>
      <c r="D29" s="152">
        <f t="shared" si="6"/>
        <v>18388</v>
      </c>
      <c r="E29" s="151">
        <f t="shared" si="15"/>
        <v>33387</v>
      </c>
      <c r="F29" s="152">
        <f t="shared" si="7"/>
        <v>18288</v>
      </c>
      <c r="G29" s="151">
        <f t="shared" si="3"/>
        <v>0</v>
      </c>
      <c r="H29" s="152">
        <f t="shared" si="3"/>
        <v>100</v>
      </c>
      <c r="I29" s="151"/>
      <c r="J29" s="152"/>
      <c r="K29" s="151"/>
      <c r="L29" s="152"/>
      <c r="M29" s="151"/>
      <c r="N29" s="152"/>
      <c r="O29" s="151">
        <v>2400</v>
      </c>
      <c r="P29" s="152">
        <f>1080+876</f>
        <v>1956</v>
      </c>
      <c r="Q29" s="151"/>
      <c r="R29" s="152"/>
      <c r="S29" s="151"/>
      <c r="T29" s="152"/>
      <c r="U29" s="151"/>
      <c r="V29" s="152"/>
      <c r="W29" s="151"/>
      <c r="X29" s="152"/>
      <c r="Y29" s="151"/>
      <c r="Z29" s="152"/>
      <c r="AA29" s="151"/>
      <c r="AB29" s="152"/>
      <c r="AC29" s="151"/>
      <c r="AD29" s="152"/>
      <c r="AE29" s="151">
        <v>30987</v>
      </c>
      <c r="AF29" s="152">
        <v>16332</v>
      </c>
      <c r="AG29" s="151"/>
      <c r="AH29" s="152"/>
      <c r="AI29" s="151"/>
      <c r="AJ29" s="152"/>
      <c r="AK29" s="151"/>
      <c r="AL29" s="152"/>
      <c r="AM29" s="151"/>
      <c r="AN29" s="152"/>
      <c r="AO29" s="151"/>
      <c r="AP29" s="152"/>
      <c r="AQ29" s="151"/>
      <c r="AR29" s="152"/>
      <c r="AS29" s="151"/>
      <c r="AT29" s="152"/>
      <c r="AU29" s="151"/>
      <c r="AV29" s="152"/>
      <c r="AW29" s="151"/>
      <c r="AX29" s="152"/>
      <c r="AY29" s="151"/>
      <c r="AZ29" s="152"/>
      <c r="BA29" s="151"/>
      <c r="BB29" s="152"/>
      <c r="BC29" s="151"/>
      <c r="BD29" s="152"/>
      <c r="BE29" s="151"/>
      <c r="BF29" s="152"/>
      <c r="BG29" s="151"/>
      <c r="BH29" s="152"/>
      <c r="BI29" s="151"/>
      <c r="BJ29" s="152"/>
      <c r="BK29" s="151"/>
      <c r="BL29" s="152"/>
      <c r="BM29" s="151"/>
      <c r="BN29" s="152"/>
      <c r="BO29" s="151"/>
      <c r="BP29" s="152"/>
      <c r="BQ29" s="151"/>
      <c r="BR29" s="152"/>
      <c r="BS29" s="151"/>
      <c r="BT29" s="152"/>
      <c r="BU29" s="151"/>
      <c r="BV29" s="152"/>
      <c r="BW29" s="151"/>
      <c r="BX29" s="152"/>
      <c r="BY29" s="151"/>
      <c r="BZ29" s="152"/>
      <c r="CA29" s="151"/>
      <c r="CB29" s="152"/>
      <c r="CC29" s="151"/>
      <c r="CD29" s="152"/>
      <c r="CE29" s="151"/>
      <c r="CF29" s="152"/>
      <c r="CG29" s="151"/>
      <c r="CH29" s="152"/>
      <c r="CI29" s="151"/>
      <c r="CJ29" s="152"/>
      <c r="CK29" s="151"/>
      <c r="CL29" s="152"/>
      <c r="CM29" s="151"/>
      <c r="CN29" s="152"/>
      <c r="CO29" s="151"/>
      <c r="CP29" s="152"/>
      <c r="CQ29" s="151"/>
      <c r="CR29" s="152"/>
      <c r="CS29" s="151"/>
      <c r="CT29" s="152"/>
      <c r="CU29" s="151"/>
      <c r="CV29" s="152"/>
      <c r="CW29" s="151"/>
      <c r="CX29" s="152"/>
      <c r="CY29" s="151"/>
      <c r="CZ29" s="152"/>
      <c r="DA29" s="151"/>
      <c r="DB29" s="152"/>
      <c r="DC29" s="151"/>
      <c r="DD29" s="152"/>
      <c r="DE29" s="151"/>
      <c r="DF29" s="152"/>
      <c r="DG29" s="151"/>
      <c r="DH29" s="152">
        <v>100</v>
      </c>
      <c r="DI29" s="151"/>
      <c r="DJ29" s="152"/>
      <c r="DK29" s="151"/>
      <c r="DL29" s="152"/>
      <c r="DM29" s="151"/>
      <c r="DN29" s="152"/>
      <c r="DO29" s="151"/>
      <c r="DP29" s="152"/>
      <c r="DQ29" s="151"/>
      <c r="DR29" s="152"/>
      <c r="DS29" s="151"/>
      <c r="DT29" s="152"/>
      <c r="DU29" s="151"/>
      <c r="DV29" s="152"/>
    </row>
    <row r="30" spans="1:126" x14ac:dyDescent="0.2">
      <c r="A30" s="150" t="s">
        <v>124</v>
      </c>
      <c r="B30" s="150" t="s">
        <v>126</v>
      </c>
      <c r="C30" s="151">
        <f t="shared" si="14"/>
        <v>2236</v>
      </c>
      <c r="D30" s="152">
        <f t="shared" si="6"/>
        <v>1286</v>
      </c>
      <c r="E30" s="151">
        <f t="shared" si="15"/>
        <v>600</v>
      </c>
      <c r="F30" s="152">
        <f t="shared" si="7"/>
        <v>1286</v>
      </c>
      <c r="G30" s="151">
        <f t="shared" si="3"/>
        <v>1636</v>
      </c>
      <c r="H30" s="152">
        <f t="shared" si="3"/>
        <v>0</v>
      </c>
      <c r="I30" s="151"/>
      <c r="J30" s="152"/>
      <c r="K30" s="151"/>
      <c r="L30" s="152"/>
      <c r="M30" s="151"/>
      <c r="N30" s="152"/>
      <c r="O30" s="151"/>
      <c r="P30" s="152"/>
      <c r="Q30" s="151"/>
      <c r="R30" s="152">
        <v>30</v>
      </c>
      <c r="S30" s="151"/>
      <c r="T30" s="152"/>
      <c r="U30" s="151"/>
      <c r="V30" s="152"/>
      <c r="W30" s="151"/>
      <c r="X30" s="152"/>
      <c r="Y30" s="151"/>
      <c r="Z30" s="152"/>
      <c r="AA30" s="151"/>
      <c r="AB30" s="152"/>
      <c r="AC30" s="151"/>
      <c r="AD30" s="152"/>
      <c r="AE30" s="151">
        <v>600</v>
      </c>
      <c r="AF30" s="152">
        <v>1256</v>
      </c>
      <c r="AG30" s="151"/>
      <c r="AH30" s="152"/>
      <c r="AI30" s="151"/>
      <c r="AJ30" s="152"/>
      <c r="AK30" s="151"/>
      <c r="AL30" s="152"/>
      <c r="AM30" s="151"/>
      <c r="AN30" s="152"/>
      <c r="AO30" s="151"/>
      <c r="AP30" s="152"/>
      <c r="AQ30" s="151"/>
      <c r="AR30" s="152"/>
      <c r="AS30" s="151"/>
      <c r="AT30" s="152"/>
      <c r="AU30" s="151"/>
      <c r="AV30" s="152"/>
      <c r="AW30" s="151"/>
      <c r="AX30" s="152"/>
      <c r="AY30" s="151"/>
      <c r="AZ30" s="152"/>
      <c r="BA30" s="151"/>
      <c r="BB30" s="152"/>
      <c r="BC30" s="151"/>
      <c r="BD30" s="152"/>
      <c r="BE30" s="151"/>
      <c r="BF30" s="152"/>
      <c r="BG30" s="151"/>
      <c r="BH30" s="152"/>
      <c r="BI30" s="151"/>
      <c r="BJ30" s="152"/>
      <c r="BK30" s="151">
        <f>4*298+37*12</f>
        <v>1636</v>
      </c>
      <c r="BL30" s="152">
        <v>0</v>
      </c>
      <c r="BM30" s="151"/>
      <c r="BN30" s="152"/>
      <c r="BO30" s="151"/>
      <c r="BP30" s="152"/>
      <c r="BQ30" s="151"/>
      <c r="BR30" s="152"/>
      <c r="BS30" s="151"/>
      <c r="BT30" s="152"/>
      <c r="BU30" s="151"/>
      <c r="BV30" s="152"/>
      <c r="BW30" s="151"/>
      <c r="BX30" s="152"/>
      <c r="BY30" s="151"/>
      <c r="BZ30" s="152"/>
      <c r="CA30" s="151"/>
      <c r="CB30" s="152"/>
      <c r="CC30" s="151"/>
      <c r="CD30" s="152"/>
      <c r="CE30" s="151"/>
      <c r="CF30" s="152"/>
      <c r="CG30" s="151"/>
      <c r="CH30" s="152"/>
      <c r="CI30" s="151"/>
      <c r="CJ30" s="152"/>
      <c r="CK30" s="151"/>
      <c r="CL30" s="152"/>
      <c r="CM30" s="151"/>
      <c r="CN30" s="152"/>
      <c r="CO30" s="151"/>
      <c r="CP30" s="152"/>
      <c r="CQ30" s="151"/>
      <c r="CR30" s="152"/>
      <c r="CS30" s="151"/>
      <c r="CT30" s="152"/>
      <c r="CU30" s="151"/>
      <c r="CV30" s="152"/>
      <c r="CW30" s="151"/>
      <c r="CX30" s="152"/>
      <c r="CY30" s="151"/>
      <c r="CZ30" s="152"/>
      <c r="DA30" s="151"/>
      <c r="DB30" s="152"/>
      <c r="DC30" s="151"/>
      <c r="DD30" s="152"/>
      <c r="DE30" s="151"/>
      <c r="DF30" s="152"/>
      <c r="DG30" s="151"/>
      <c r="DH30" s="152"/>
      <c r="DI30" s="151"/>
      <c r="DJ30" s="152"/>
      <c r="DK30" s="151"/>
      <c r="DL30" s="152"/>
      <c r="DM30" s="151"/>
      <c r="DN30" s="152"/>
      <c r="DO30" s="151"/>
      <c r="DP30" s="152"/>
      <c r="DQ30" s="151"/>
      <c r="DR30" s="152"/>
      <c r="DS30" s="151"/>
      <c r="DT30" s="152"/>
      <c r="DU30" s="151"/>
      <c r="DV30" s="152"/>
    </row>
    <row r="31" spans="1:126" x14ac:dyDescent="0.2">
      <c r="A31" s="150" t="s">
        <v>127</v>
      </c>
      <c r="B31" s="150" t="s">
        <v>883</v>
      </c>
      <c r="C31" s="151">
        <f t="shared" si="14"/>
        <v>1500</v>
      </c>
      <c r="D31" s="152">
        <f t="shared" si="6"/>
        <v>1825</v>
      </c>
      <c r="E31" s="151">
        <f t="shared" si="15"/>
        <v>1500</v>
      </c>
      <c r="F31" s="152">
        <f t="shared" si="7"/>
        <v>1825</v>
      </c>
      <c r="G31" s="151">
        <f t="shared" si="3"/>
        <v>0</v>
      </c>
      <c r="H31" s="152">
        <f t="shared" si="3"/>
        <v>0</v>
      </c>
      <c r="I31" s="151"/>
      <c r="J31" s="152"/>
      <c r="K31" s="151"/>
      <c r="L31" s="152"/>
      <c r="M31" s="151"/>
      <c r="N31" s="152"/>
      <c r="O31" s="151"/>
      <c r="P31" s="152"/>
      <c r="Q31" s="151"/>
      <c r="R31" s="152">
        <v>25</v>
      </c>
      <c r="S31" s="151"/>
      <c r="T31" s="152"/>
      <c r="U31" s="151"/>
      <c r="V31" s="152"/>
      <c r="W31" s="151"/>
      <c r="X31" s="152"/>
      <c r="Y31" s="151"/>
      <c r="Z31" s="152"/>
      <c r="AA31" s="151"/>
      <c r="AB31" s="152"/>
      <c r="AC31" s="151"/>
      <c r="AD31" s="152"/>
      <c r="AE31" s="151">
        <v>1500</v>
      </c>
      <c r="AF31" s="152">
        <v>1800</v>
      </c>
      <c r="AG31" s="151"/>
      <c r="AH31" s="152"/>
      <c r="AI31" s="151"/>
      <c r="AJ31" s="152"/>
      <c r="AK31" s="151"/>
      <c r="AL31" s="152"/>
      <c r="AM31" s="151"/>
      <c r="AN31" s="152"/>
      <c r="AO31" s="151"/>
      <c r="AP31" s="152"/>
      <c r="AQ31" s="151"/>
      <c r="AR31" s="152"/>
      <c r="AS31" s="151"/>
      <c r="AT31" s="152"/>
      <c r="AU31" s="151"/>
      <c r="AV31" s="152"/>
      <c r="AW31" s="151"/>
      <c r="AX31" s="152"/>
      <c r="AY31" s="151"/>
      <c r="AZ31" s="152"/>
      <c r="BA31" s="151"/>
      <c r="BB31" s="152"/>
      <c r="BC31" s="151"/>
      <c r="BD31" s="152"/>
      <c r="BE31" s="151"/>
      <c r="BF31" s="152"/>
      <c r="BG31" s="151"/>
      <c r="BH31" s="152"/>
      <c r="BI31" s="151"/>
      <c r="BJ31" s="152"/>
      <c r="BK31" s="151"/>
      <c r="BL31" s="152"/>
      <c r="BM31" s="151"/>
      <c r="BN31" s="152"/>
      <c r="BO31" s="151"/>
      <c r="BP31" s="152"/>
      <c r="BQ31" s="151"/>
      <c r="BR31" s="152"/>
      <c r="BS31" s="151"/>
      <c r="BT31" s="152"/>
      <c r="BU31" s="151"/>
      <c r="BV31" s="152"/>
      <c r="BW31" s="151"/>
      <c r="BX31" s="152"/>
      <c r="BY31" s="151"/>
      <c r="BZ31" s="152"/>
      <c r="CA31" s="151"/>
      <c r="CB31" s="152"/>
      <c r="CC31" s="151"/>
      <c r="CD31" s="152"/>
      <c r="CE31" s="151"/>
      <c r="CF31" s="152"/>
      <c r="CG31" s="151"/>
      <c r="CH31" s="152"/>
      <c r="CI31" s="151"/>
      <c r="CJ31" s="152"/>
      <c r="CK31" s="151"/>
      <c r="CL31" s="152"/>
      <c r="CM31" s="151"/>
      <c r="CN31" s="152"/>
      <c r="CO31" s="151"/>
      <c r="CP31" s="152"/>
      <c r="CQ31" s="151"/>
      <c r="CR31" s="152"/>
      <c r="CS31" s="151"/>
      <c r="CT31" s="152"/>
      <c r="CU31" s="151"/>
      <c r="CV31" s="152"/>
      <c r="CW31" s="151"/>
      <c r="CX31" s="152"/>
      <c r="CY31" s="151"/>
      <c r="CZ31" s="152"/>
      <c r="DA31" s="151"/>
      <c r="DB31" s="152"/>
      <c r="DC31" s="151"/>
      <c r="DD31" s="152"/>
      <c r="DE31" s="151"/>
      <c r="DF31" s="152"/>
      <c r="DG31" s="151"/>
      <c r="DH31" s="152"/>
      <c r="DI31" s="151"/>
      <c r="DJ31" s="152"/>
      <c r="DK31" s="151"/>
      <c r="DL31" s="152"/>
      <c r="DM31" s="151"/>
      <c r="DN31" s="152"/>
      <c r="DO31" s="151"/>
      <c r="DP31" s="152"/>
      <c r="DQ31" s="151"/>
      <c r="DR31" s="152"/>
      <c r="DS31" s="151"/>
      <c r="DT31" s="152"/>
      <c r="DU31" s="151"/>
      <c r="DV31" s="152"/>
    </row>
    <row r="32" spans="1:126" x14ac:dyDescent="0.2">
      <c r="A32" s="150" t="s">
        <v>132</v>
      </c>
      <c r="B32" s="150" t="s">
        <v>134</v>
      </c>
      <c r="C32" s="151">
        <f t="shared" si="14"/>
        <v>60967</v>
      </c>
      <c r="D32" s="152">
        <f t="shared" si="6"/>
        <v>75194</v>
      </c>
      <c r="E32" s="151">
        <f t="shared" si="15"/>
        <v>48012</v>
      </c>
      <c r="F32" s="152">
        <f t="shared" si="7"/>
        <v>56922</v>
      </c>
      <c r="G32" s="151">
        <f t="shared" si="3"/>
        <v>12955</v>
      </c>
      <c r="H32" s="152">
        <f t="shared" si="3"/>
        <v>18272</v>
      </c>
      <c r="I32" s="151"/>
      <c r="J32" s="152"/>
      <c r="K32" s="151">
        <f>6600+1350+200</f>
        <v>8150</v>
      </c>
      <c r="L32" s="152">
        <f>6600+500</f>
        <v>7100</v>
      </c>
      <c r="M32" s="151"/>
      <c r="N32" s="152"/>
      <c r="O32" s="151">
        <v>16640</v>
      </c>
      <c r="P32" s="152">
        <f>14300+1480</f>
        <v>15780</v>
      </c>
      <c r="Q32" s="151">
        <v>50</v>
      </c>
      <c r="R32" s="152">
        <v>50</v>
      </c>
      <c r="S32" s="151"/>
      <c r="T32" s="152"/>
      <c r="U32" s="151"/>
      <c r="V32" s="152"/>
      <c r="W32" s="151"/>
      <c r="X32" s="152"/>
      <c r="Y32" s="151"/>
      <c r="Z32" s="152"/>
      <c r="AA32" s="151"/>
      <c r="AB32" s="152"/>
      <c r="AC32" s="151"/>
      <c r="AD32" s="152"/>
      <c r="AE32" s="151">
        <v>23172</v>
      </c>
      <c r="AF32" s="152">
        <v>33992</v>
      </c>
      <c r="AG32" s="151"/>
      <c r="AH32" s="152"/>
      <c r="AI32" s="151"/>
      <c r="AJ32" s="152"/>
      <c r="AK32" s="151">
        <v>3744</v>
      </c>
      <c r="AL32" s="152">
        <v>3744</v>
      </c>
      <c r="AM32" s="151"/>
      <c r="AN32" s="152"/>
      <c r="AO32" s="151"/>
      <c r="AP32" s="152"/>
      <c r="AQ32" s="151"/>
      <c r="AR32" s="152"/>
      <c r="AS32" s="151"/>
      <c r="AT32" s="152"/>
      <c r="AU32" s="151"/>
      <c r="AV32" s="152"/>
      <c r="AW32" s="151">
        <v>2811</v>
      </c>
      <c r="AX32" s="152">
        <v>2811</v>
      </c>
      <c r="AY32" s="151">
        <v>1595</v>
      </c>
      <c r="AZ32" s="152">
        <v>1595</v>
      </c>
      <c r="BA32" s="151"/>
      <c r="BB32" s="152"/>
      <c r="BC32" s="151">
        <v>875</v>
      </c>
      <c r="BD32" s="152">
        <v>1750</v>
      </c>
      <c r="BE32" s="151">
        <v>720</v>
      </c>
      <c r="BF32" s="152">
        <v>1440</v>
      </c>
      <c r="BG32" s="151"/>
      <c r="BH32" s="152"/>
      <c r="BI32" s="151"/>
      <c r="BJ32" s="152"/>
      <c r="BK32" s="151"/>
      <c r="BL32" s="152"/>
      <c r="BM32" s="151">
        <v>1200</v>
      </c>
      <c r="BN32" s="152">
        <v>1500</v>
      </c>
      <c r="BO32" s="151"/>
      <c r="BP32" s="152"/>
      <c r="BQ32" s="151"/>
      <c r="BR32" s="152"/>
      <c r="BS32" s="151"/>
      <c r="BT32" s="152"/>
      <c r="BU32" s="151"/>
      <c r="BV32" s="152"/>
      <c r="BW32" s="151"/>
      <c r="BX32" s="152"/>
      <c r="BY32" s="151"/>
      <c r="BZ32" s="152"/>
      <c r="CA32" s="151"/>
      <c r="CB32" s="152"/>
      <c r="CC32" s="151"/>
      <c r="CD32" s="152"/>
      <c r="CE32" s="151"/>
      <c r="CF32" s="152"/>
      <c r="CG32" s="151"/>
      <c r="CH32" s="152"/>
      <c r="CI32" s="151"/>
      <c r="CJ32" s="152"/>
      <c r="CK32" s="151"/>
      <c r="CL32" s="152"/>
      <c r="CM32" s="151"/>
      <c r="CN32" s="152"/>
      <c r="CO32" s="151"/>
      <c r="CP32" s="152"/>
      <c r="CQ32" s="151"/>
      <c r="CR32" s="152"/>
      <c r="CS32" s="151"/>
      <c r="CT32" s="152">
        <v>512</v>
      </c>
      <c r="CU32" s="151"/>
      <c r="CV32" s="152"/>
      <c r="CW32" s="151"/>
      <c r="CX32" s="152"/>
      <c r="CY32" s="151"/>
      <c r="CZ32" s="152"/>
      <c r="DA32" s="151"/>
      <c r="DB32" s="152"/>
      <c r="DC32" s="151">
        <v>1710</v>
      </c>
      <c r="DD32" s="152">
        <v>2470</v>
      </c>
      <c r="DE32" s="151"/>
      <c r="DF32" s="152"/>
      <c r="DG32" s="151"/>
      <c r="DH32" s="152">
        <f>800+1500</f>
        <v>2300</v>
      </c>
      <c r="DI32" s="151"/>
      <c r="DJ32" s="152"/>
      <c r="DK32" s="151"/>
      <c r="DL32" s="152"/>
      <c r="DM32" s="151"/>
      <c r="DN32" s="152"/>
      <c r="DO32" s="151">
        <v>300</v>
      </c>
      <c r="DP32" s="152">
        <v>150</v>
      </c>
      <c r="DQ32" s="151"/>
      <c r="DR32" s="152"/>
      <c r="DS32" s="151"/>
      <c r="DT32" s="152"/>
      <c r="DU32" s="151"/>
      <c r="DV32" s="152"/>
    </row>
    <row r="33" spans="1:126" x14ac:dyDescent="0.2">
      <c r="A33" s="150" t="s">
        <v>138</v>
      </c>
      <c r="B33" s="150" t="s">
        <v>884</v>
      </c>
      <c r="C33" s="151">
        <f t="shared" si="14"/>
        <v>126806</v>
      </c>
      <c r="D33" s="152">
        <f t="shared" si="6"/>
        <v>80600</v>
      </c>
      <c r="E33" s="151">
        <f t="shared" si="15"/>
        <v>22807</v>
      </c>
      <c r="F33" s="152">
        <f t="shared" si="7"/>
        <v>43807</v>
      </c>
      <c r="G33" s="151">
        <f t="shared" si="3"/>
        <v>103999</v>
      </c>
      <c r="H33" s="152">
        <f t="shared" si="3"/>
        <v>36793</v>
      </c>
      <c r="I33" s="151"/>
      <c r="J33" s="152"/>
      <c r="K33" s="151"/>
      <c r="L33" s="152"/>
      <c r="M33" s="151">
        <v>2000</v>
      </c>
      <c r="N33" s="152">
        <v>2000</v>
      </c>
      <c r="O33" s="151"/>
      <c r="P33" s="152"/>
      <c r="Q33" s="151">
        <v>140</v>
      </c>
      <c r="R33" s="152">
        <v>140</v>
      </c>
      <c r="S33" s="151"/>
      <c r="T33" s="152"/>
      <c r="U33" s="151"/>
      <c r="V33" s="152"/>
      <c r="W33" s="151"/>
      <c r="X33" s="152"/>
      <c r="Y33" s="151">
        <f>788</f>
        <v>788</v>
      </c>
      <c r="Z33" s="152">
        <f>788</f>
        <v>788</v>
      </c>
      <c r="AA33" s="151">
        <f>1500+2362</f>
        <v>3862</v>
      </c>
      <c r="AB33" s="152">
        <f>2362</f>
        <v>2362</v>
      </c>
      <c r="AC33" s="151">
        <v>12</v>
      </c>
      <c r="AD33" s="152">
        <v>12</v>
      </c>
      <c r="AE33" s="151">
        <v>16005</v>
      </c>
      <c r="AF33" s="152">
        <v>38505</v>
      </c>
      <c r="AG33" s="151"/>
      <c r="AH33" s="152"/>
      <c r="AI33" s="151"/>
      <c r="AJ33" s="152"/>
      <c r="AK33" s="151">
        <v>0</v>
      </c>
      <c r="AL33" s="152">
        <v>0</v>
      </c>
      <c r="AM33" s="151"/>
      <c r="AN33" s="152"/>
      <c r="AO33" s="151">
        <v>3150</v>
      </c>
      <c r="AP33" s="152">
        <v>6347</v>
      </c>
      <c r="AQ33" s="151">
        <v>1000</v>
      </c>
      <c r="AR33" s="152">
        <v>1000</v>
      </c>
      <c r="AS33" s="151"/>
      <c r="AT33" s="152"/>
      <c r="AU33" s="151"/>
      <c r="AV33" s="152"/>
      <c r="AW33" s="151"/>
      <c r="AX33" s="152"/>
      <c r="AY33" s="151"/>
      <c r="AZ33" s="152"/>
      <c r="BA33" s="151">
        <v>4724</v>
      </c>
      <c r="BB33" s="152">
        <v>6000</v>
      </c>
      <c r="BC33" s="151"/>
      <c r="BD33" s="152"/>
      <c r="BE33" s="151"/>
      <c r="BF33" s="152"/>
      <c r="BG33" s="151">
        <v>2400</v>
      </c>
      <c r="BH33" s="152">
        <v>2400</v>
      </c>
      <c r="BI33" s="151">
        <v>1906</v>
      </c>
      <c r="BJ33" s="152">
        <v>1906</v>
      </c>
      <c r="BK33" s="151"/>
      <c r="BL33" s="152"/>
      <c r="BM33" s="151"/>
      <c r="BN33" s="152"/>
      <c r="BO33" s="151">
        <f>5388+600+7560-1737</f>
        <v>11811</v>
      </c>
      <c r="BP33" s="152">
        <f>14840</f>
        <v>14840</v>
      </c>
      <c r="BQ33" s="151"/>
      <c r="BR33" s="152"/>
      <c r="BS33" s="151"/>
      <c r="BT33" s="152"/>
      <c r="BU33" s="151"/>
      <c r="BV33" s="152"/>
      <c r="BW33" s="151"/>
      <c r="BX33" s="152"/>
      <c r="BY33" s="151"/>
      <c r="BZ33" s="152"/>
      <c r="CA33" s="151"/>
      <c r="CB33" s="152"/>
      <c r="CC33" s="151"/>
      <c r="CD33" s="152"/>
      <c r="CE33" s="151"/>
      <c r="CF33" s="152"/>
      <c r="CG33" s="151"/>
      <c r="CH33" s="152"/>
      <c r="CI33" s="151">
        <v>78608</v>
      </c>
      <c r="CJ33" s="152">
        <v>0</v>
      </c>
      <c r="CK33" s="151"/>
      <c r="CL33" s="152"/>
      <c r="CM33" s="151"/>
      <c r="CN33" s="152"/>
      <c r="CO33" s="151"/>
      <c r="CP33" s="152"/>
      <c r="CQ33" s="151"/>
      <c r="CR33" s="152"/>
      <c r="CS33" s="151"/>
      <c r="CT33" s="152"/>
      <c r="CU33" s="151"/>
      <c r="CV33" s="152"/>
      <c r="CW33" s="151"/>
      <c r="CX33" s="152"/>
      <c r="CY33" s="151"/>
      <c r="CZ33" s="152"/>
      <c r="DA33" s="151"/>
      <c r="DB33" s="152"/>
      <c r="DC33" s="151"/>
      <c r="DD33" s="152"/>
      <c r="DE33" s="151"/>
      <c r="DF33" s="152"/>
      <c r="DG33" s="151"/>
      <c r="DH33" s="152">
        <v>4100</v>
      </c>
      <c r="DI33" s="151"/>
      <c r="DJ33" s="152"/>
      <c r="DK33" s="151"/>
      <c r="DL33" s="152"/>
      <c r="DM33" s="151">
        <v>0</v>
      </c>
      <c r="DN33" s="152">
        <v>0</v>
      </c>
      <c r="DO33" s="151">
        <v>400</v>
      </c>
      <c r="DP33" s="152">
        <v>200</v>
      </c>
      <c r="DQ33" s="151"/>
      <c r="DR33" s="152"/>
      <c r="DS33" s="151"/>
      <c r="DT33" s="152"/>
      <c r="DU33" s="151"/>
      <c r="DV33" s="152"/>
    </row>
    <row r="34" spans="1:126" x14ac:dyDescent="0.2">
      <c r="A34" s="157" t="s">
        <v>145</v>
      </c>
      <c r="B34" s="157" t="s">
        <v>885</v>
      </c>
      <c r="C34" s="158">
        <f>SUM(C27:C33)</f>
        <v>235396</v>
      </c>
      <c r="D34" s="159">
        <f>SUM(D27:D33)</f>
        <v>188593</v>
      </c>
      <c r="E34" s="158">
        <f t="shared" ref="E34:AE34" si="16">SUM(E27:E33)</f>
        <v>116806</v>
      </c>
      <c r="F34" s="159">
        <f t="shared" si="16"/>
        <v>133428</v>
      </c>
      <c r="G34" s="158">
        <f t="shared" si="16"/>
        <v>118590</v>
      </c>
      <c r="H34" s="159">
        <f>SUM(H27:H33)</f>
        <v>55165</v>
      </c>
      <c r="I34" s="158"/>
      <c r="J34" s="159"/>
      <c r="K34" s="158">
        <f t="shared" si="16"/>
        <v>8150</v>
      </c>
      <c r="L34" s="159">
        <f t="shared" si="16"/>
        <v>7100</v>
      </c>
      <c r="M34" s="158">
        <f t="shared" si="16"/>
        <v>2000</v>
      </c>
      <c r="N34" s="159">
        <f t="shared" si="16"/>
        <v>2000</v>
      </c>
      <c r="O34" s="158">
        <f t="shared" si="16"/>
        <v>19240</v>
      </c>
      <c r="P34" s="159">
        <f t="shared" si="16"/>
        <v>17936</v>
      </c>
      <c r="Q34" s="158">
        <f t="shared" si="16"/>
        <v>190</v>
      </c>
      <c r="R34" s="159">
        <f t="shared" si="16"/>
        <v>245</v>
      </c>
      <c r="S34" s="158">
        <f t="shared" si="16"/>
        <v>0</v>
      </c>
      <c r="T34" s="159">
        <f>SUM(T27:T33)</f>
        <v>0</v>
      </c>
      <c r="U34" s="158">
        <f t="shared" si="16"/>
        <v>0</v>
      </c>
      <c r="V34" s="159">
        <f>SUM(V27:V33)</f>
        <v>0</v>
      </c>
      <c r="W34" s="158">
        <f t="shared" si="16"/>
        <v>1900</v>
      </c>
      <c r="X34" s="159">
        <f t="shared" si="16"/>
        <v>1900</v>
      </c>
      <c r="Y34" s="158">
        <f t="shared" si="16"/>
        <v>788</v>
      </c>
      <c r="Z34" s="159">
        <f t="shared" si="16"/>
        <v>788</v>
      </c>
      <c r="AA34" s="158">
        <f t="shared" si="16"/>
        <v>3862</v>
      </c>
      <c r="AB34" s="159">
        <f>SUM(AB27:AB33)</f>
        <v>2362</v>
      </c>
      <c r="AC34" s="158">
        <f t="shared" si="16"/>
        <v>12</v>
      </c>
      <c r="AD34" s="159">
        <f>SUM(AD27:AD33)</f>
        <v>12</v>
      </c>
      <c r="AE34" s="158">
        <f t="shared" si="16"/>
        <v>80664</v>
      </c>
      <c r="AF34" s="159">
        <f>SUM(AF27:AF33)</f>
        <v>101085</v>
      </c>
      <c r="AG34" s="158"/>
      <c r="AH34" s="159"/>
      <c r="AI34" s="158">
        <f t="shared" ref="AI34:DS34" si="17">SUM(AI27:AI33)</f>
        <v>0</v>
      </c>
      <c r="AJ34" s="159">
        <f>SUM(AJ27:AJ33)</f>
        <v>0</v>
      </c>
      <c r="AK34" s="158">
        <f t="shared" si="17"/>
        <v>3744</v>
      </c>
      <c r="AL34" s="159">
        <f>SUM(AL27:AL33)</f>
        <v>3744</v>
      </c>
      <c r="AM34" s="158">
        <f t="shared" si="17"/>
        <v>0</v>
      </c>
      <c r="AN34" s="159"/>
      <c r="AO34" s="158">
        <f t="shared" si="17"/>
        <v>3150</v>
      </c>
      <c r="AP34" s="159">
        <f>SUM(AP27:AP33)</f>
        <v>6347</v>
      </c>
      <c r="AQ34" s="158">
        <f t="shared" si="17"/>
        <v>1000</v>
      </c>
      <c r="AR34" s="159">
        <f>SUM(AR27:AR33)</f>
        <v>1000</v>
      </c>
      <c r="AS34" s="158">
        <f t="shared" si="17"/>
        <v>0</v>
      </c>
      <c r="AT34" s="159">
        <f>SUM(AT27:AT33)</f>
        <v>0</v>
      </c>
      <c r="AU34" s="158">
        <f t="shared" si="17"/>
        <v>0</v>
      </c>
      <c r="AV34" s="159">
        <f>SUM(AV27:AV33)</f>
        <v>0</v>
      </c>
      <c r="AW34" s="158">
        <f t="shared" si="17"/>
        <v>2811</v>
      </c>
      <c r="AX34" s="159">
        <f>SUM(AX27:AX33)</f>
        <v>2811</v>
      </c>
      <c r="AY34" s="158">
        <f t="shared" si="17"/>
        <v>1595</v>
      </c>
      <c r="AZ34" s="159">
        <f>SUM(AZ27:AZ33)</f>
        <v>1595</v>
      </c>
      <c r="BA34" s="158">
        <f t="shared" si="17"/>
        <v>4724</v>
      </c>
      <c r="BB34" s="159">
        <f>SUM(BB27:BB33)</f>
        <v>6000</v>
      </c>
      <c r="BC34" s="158">
        <f t="shared" si="17"/>
        <v>875</v>
      </c>
      <c r="BD34" s="159">
        <f>SUM(BD27:BD33)</f>
        <v>1750</v>
      </c>
      <c r="BE34" s="158">
        <f t="shared" si="17"/>
        <v>720</v>
      </c>
      <c r="BF34" s="159">
        <f>SUM(BF27:BF33)</f>
        <v>1440</v>
      </c>
      <c r="BG34" s="158">
        <f t="shared" si="17"/>
        <v>2400</v>
      </c>
      <c r="BH34" s="159">
        <f>SUM(BH27:BH33)</f>
        <v>2400</v>
      </c>
      <c r="BI34" s="158">
        <f t="shared" si="17"/>
        <v>1906</v>
      </c>
      <c r="BJ34" s="159">
        <f>SUM(BJ27:BJ33)</f>
        <v>1906</v>
      </c>
      <c r="BK34" s="158">
        <f t="shared" si="17"/>
        <v>1636</v>
      </c>
      <c r="BL34" s="159">
        <f>SUM(BL27:BL33)</f>
        <v>0</v>
      </c>
      <c r="BM34" s="158">
        <f t="shared" si="17"/>
        <v>1200</v>
      </c>
      <c r="BN34" s="159">
        <f>SUM(BN27:BN33)</f>
        <v>1500</v>
      </c>
      <c r="BO34" s="158">
        <f t="shared" si="17"/>
        <v>11811</v>
      </c>
      <c r="BP34" s="159">
        <f>SUM(BP27:BP33)</f>
        <v>14840</v>
      </c>
      <c r="BQ34" s="158">
        <f t="shared" si="17"/>
        <v>0</v>
      </c>
      <c r="BR34" s="159">
        <f>SUM(BR27:BR33)</f>
        <v>0</v>
      </c>
      <c r="BS34" s="158">
        <f t="shared" si="17"/>
        <v>0</v>
      </c>
      <c r="BT34" s="159">
        <f>SUM(BT27:BT33)</f>
        <v>0</v>
      </c>
      <c r="BU34" s="158">
        <f t="shared" si="17"/>
        <v>0</v>
      </c>
      <c r="BV34" s="159">
        <f>SUM(BV27:BV33)</f>
        <v>0</v>
      </c>
      <c r="BW34" s="158">
        <f t="shared" si="17"/>
        <v>0</v>
      </c>
      <c r="BX34" s="159">
        <f>SUM(BX27:BX33)</f>
        <v>0</v>
      </c>
      <c r="BY34" s="158">
        <f t="shared" si="17"/>
        <v>0</v>
      </c>
      <c r="BZ34" s="159">
        <f>SUM(BZ27:BZ33)</f>
        <v>0</v>
      </c>
      <c r="CA34" s="158">
        <f t="shared" si="17"/>
        <v>0</v>
      </c>
      <c r="CB34" s="159">
        <f>SUM(CB27:CB33)</f>
        <v>0</v>
      </c>
      <c r="CC34" s="158">
        <f t="shared" si="17"/>
        <v>0</v>
      </c>
      <c r="CD34" s="159">
        <f>SUM(CD27:CD33)</f>
        <v>0</v>
      </c>
      <c r="CE34" s="158">
        <f>SUM(CE27:CE33)</f>
        <v>0</v>
      </c>
      <c r="CF34" s="159">
        <f>SUM(CF27:CF33)</f>
        <v>0</v>
      </c>
      <c r="CG34" s="158">
        <f t="shared" si="17"/>
        <v>0</v>
      </c>
      <c r="CH34" s="159">
        <f>SUM(CH27:CH33)</f>
        <v>0</v>
      </c>
      <c r="CI34" s="158">
        <f t="shared" si="17"/>
        <v>78608</v>
      </c>
      <c r="CJ34" s="159">
        <f>SUM(CJ27:CJ33)</f>
        <v>0</v>
      </c>
      <c r="CK34" s="158">
        <f t="shared" si="17"/>
        <v>0</v>
      </c>
      <c r="CL34" s="159">
        <f>SUM(CL27:CL33)</f>
        <v>0</v>
      </c>
      <c r="CM34" s="158">
        <f t="shared" si="17"/>
        <v>0</v>
      </c>
      <c r="CN34" s="159">
        <f>SUM(CN27:CN33)</f>
        <v>0</v>
      </c>
      <c r="CO34" s="158">
        <f t="shared" si="17"/>
        <v>0</v>
      </c>
      <c r="CP34" s="159">
        <f>SUM(CP27:CP33)</f>
        <v>0</v>
      </c>
      <c r="CQ34" s="158">
        <f t="shared" si="17"/>
        <v>0</v>
      </c>
      <c r="CR34" s="159">
        <f>SUM(CR27:CR33)</f>
        <v>0</v>
      </c>
      <c r="CS34" s="158">
        <f t="shared" si="17"/>
        <v>0</v>
      </c>
      <c r="CT34" s="159">
        <f>SUM(CT27:CT33)</f>
        <v>512</v>
      </c>
      <c r="CU34" s="158">
        <f t="shared" si="17"/>
        <v>0</v>
      </c>
      <c r="CV34" s="159">
        <f>SUM(CV27:CV33)</f>
        <v>0</v>
      </c>
      <c r="CW34" s="158">
        <f t="shared" si="17"/>
        <v>0</v>
      </c>
      <c r="CX34" s="159">
        <f>SUM(CX27:CX33)</f>
        <v>0</v>
      </c>
      <c r="CY34" s="158">
        <f t="shared" si="17"/>
        <v>0</v>
      </c>
      <c r="CZ34" s="159"/>
      <c r="DA34" s="158">
        <f t="shared" si="17"/>
        <v>0</v>
      </c>
      <c r="DB34" s="159"/>
      <c r="DC34" s="158">
        <f t="shared" si="17"/>
        <v>1710</v>
      </c>
      <c r="DD34" s="159">
        <f>SUM(DD27:DD33)</f>
        <v>2470</v>
      </c>
      <c r="DE34" s="158">
        <f t="shared" si="17"/>
        <v>0</v>
      </c>
      <c r="DF34" s="159">
        <f>SUM(DF27:DF33)</f>
        <v>0</v>
      </c>
      <c r="DG34" s="158">
        <f t="shared" si="17"/>
        <v>0</v>
      </c>
      <c r="DH34" s="159">
        <f>SUM(DH27:DH33)</f>
        <v>6500</v>
      </c>
      <c r="DI34" s="158">
        <f t="shared" si="17"/>
        <v>0</v>
      </c>
      <c r="DJ34" s="159">
        <f>SUM(DJ27:DJ33)</f>
        <v>0</v>
      </c>
      <c r="DK34" s="158">
        <f t="shared" si="17"/>
        <v>0</v>
      </c>
      <c r="DL34" s="159">
        <f>SUM(DL27:DL33)</f>
        <v>0</v>
      </c>
      <c r="DM34" s="158">
        <f t="shared" si="17"/>
        <v>0</v>
      </c>
      <c r="DN34" s="159">
        <f>SUM(DN27:DN33)</f>
        <v>0</v>
      </c>
      <c r="DO34" s="158">
        <f t="shared" si="17"/>
        <v>700</v>
      </c>
      <c r="DP34" s="159">
        <f>SUM(DP27:DP33)</f>
        <v>350</v>
      </c>
      <c r="DQ34" s="158">
        <f t="shared" si="17"/>
        <v>0</v>
      </c>
      <c r="DR34" s="159"/>
      <c r="DS34" s="158">
        <f t="shared" si="17"/>
        <v>0</v>
      </c>
      <c r="DT34" s="159">
        <f>SUM(DT27:DT33)</f>
        <v>0</v>
      </c>
      <c r="DU34" s="158"/>
      <c r="DV34" s="159"/>
    </row>
    <row r="35" spans="1:126" x14ac:dyDescent="0.2">
      <c r="A35" s="150" t="s">
        <v>148</v>
      </c>
      <c r="B35" s="150" t="s">
        <v>886</v>
      </c>
      <c r="C35" s="151">
        <f>E35+G35+I35</f>
        <v>1540</v>
      </c>
      <c r="D35" s="152">
        <f t="shared" si="6"/>
        <v>3530</v>
      </c>
      <c r="E35" s="151">
        <f>K35+M35+O34:O35+Q35+S35+U35+W35+Y35+AA35+AC35+AE35+AI35</f>
        <v>1310</v>
      </c>
      <c r="F35" s="152">
        <f t="shared" si="7"/>
        <v>1800</v>
      </c>
      <c r="G35" s="151">
        <f t="shared" si="3"/>
        <v>230</v>
      </c>
      <c r="H35" s="152">
        <f t="shared" si="3"/>
        <v>1730</v>
      </c>
      <c r="I35" s="151"/>
      <c r="J35" s="152"/>
      <c r="K35" s="151"/>
      <c r="L35" s="152"/>
      <c r="M35" s="151"/>
      <c r="N35" s="152"/>
      <c r="O35" s="151"/>
      <c r="P35" s="152"/>
      <c r="Q35" s="151">
        <v>500</v>
      </c>
      <c r="R35" s="152">
        <v>450</v>
      </c>
      <c r="S35" s="151"/>
      <c r="T35" s="152"/>
      <c r="U35" s="151"/>
      <c r="V35" s="152"/>
      <c r="W35" s="151"/>
      <c r="X35" s="152"/>
      <c r="Y35" s="151"/>
      <c r="Z35" s="152"/>
      <c r="AA35" s="151"/>
      <c r="AB35" s="152"/>
      <c r="AC35" s="151"/>
      <c r="AD35" s="152"/>
      <c r="AE35" s="151">
        <v>810</v>
      </c>
      <c r="AF35" s="152">
        <v>1350</v>
      </c>
      <c r="AG35" s="151"/>
      <c r="AH35" s="152"/>
      <c r="AI35" s="151"/>
      <c r="AJ35" s="152"/>
      <c r="AK35" s="151"/>
      <c r="AL35" s="152"/>
      <c r="AM35" s="151"/>
      <c r="AN35" s="152"/>
      <c r="AO35" s="151"/>
      <c r="AP35" s="152"/>
      <c r="AQ35" s="151">
        <v>230</v>
      </c>
      <c r="AR35" s="152">
        <v>230</v>
      </c>
      <c r="AS35" s="151"/>
      <c r="AT35" s="152"/>
      <c r="AU35" s="151"/>
      <c r="AV35" s="152"/>
      <c r="AW35" s="151"/>
      <c r="AX35" s="152"/>
      <c r="AY35" s="151"/>
      <c r="AZ35" s="152"/>
      <c r="BA35" s="151"/>
      <c r="BB35" s="152"/>
      <c r="BC35" s="151"/>
      <c r="BD35" s="152"/>
      <c r="BE35" s="151"/>
      <c r="BF35" s="152"/>
      <c r="BG35" s="151"/>
      <c r="BH35" s="152"/>
      <c r="BI35" s="151"/>
      <c r="BJ35" s="152"/>
      <c r="BK35" s="151"/>
      <c r="BL35" s="152"/>
      <c r="BM35" s="151"/>
      <c r="BN35" s="152"/>
      <c r="BO35" s="151"/>
      <c r="BP35" s="152"/>
      <c r="BQ35" s="151"/>
      <c r="BR35" s="152"/>
      <c r="BS35" s="151"/>
      <c r="BT35" s="152"/>
      <c r="BU35" s="151"/>
      <c r="BV35" s="152"/>
      <c r="BW35" s="151"/>
      <c r="BX35" s="152"/>
      <c r="BY35" s="151"/>
      <c r="BZ35" s="152"/>
      <c r="CA35" s="151"/>
      <c r="CB35" s="152"/>
      <c r="CC35" s="151"/>
      <c r="CD35" s="152"/>
      <c r="CE35" s="151"/>
      <c r="CF35" s="152"/>
      <c r="CG35" s="151"/>
      <c r="CH35" s="152"/>
      <c r="CI35" s="151"/>
      <c r="CJ35" s="152"/>
      <c r="CK35" s="151"/>
      <c r="CL35" s="152"/>
      <c r="CM35" s="151"/>
      <c r="CN35" s="152"/>
      <c r="CO35" s="151"/>
      <c r="CP35" s="152"/>
      <c r="CQ35" s="151"/>
      <c r="CR35" s="152"/>
      <c r="CS35" s="151"/>
      <c r="CT35" s="152"/>
      <c r="CU35" s="151"/>
      <c r="CV35" s="152"/>
      <c r="CW35" s="151"/>
      <c r="CX35" s="152"/>
      <c r="CY35" s="151"/>
      <c r="CZ35" s="152"/>
      <c r="DA35" s="151"/>
      <c r="DB35" s="152"/>
      <c r="DC35" s="151"/>
      <c r="DD35" s="152"/>
      <c r="DE35" s="151"/>
      <c r="DF35" s="152"/>
      <c r="DG35" s="151"/>
      <c r="DH35" s="152">
        <v>1500</v>
      </c>
      <c r="DI35" s="151"/>
      <c r="DJ35" s="152"/>
      <c r="DK35" s="151"/>
      <c r="DL35" s="152"/>
      <c r="DM35" s="151"/>
      <c r="DN35" s="152"/>
      <c r="DO35" s="151"/>
      <c r="DP35" s="152"/>
      <c r="DQ35" s="151"/>
      <c r="DR35" s="152"/>
      <c r="DS35" s="151"/>
      <c r="DT35" s="152"/>
      <c r="DU35" s="151"/>
      <c r="DV35" s="152"/>
    </row>
    <row r="36" spans="1:126" x14ac:dyDescent="0.2">
      <c r="A36" s="150" t="s">
        <v>153</v>
      </c>
      <c r="B36" s="150" t="s">
        <v>887</v>
      </c>
      <c r="C36" s="151">
        <f>E36+G36+I36</f>
        <v>160</v>
      </c>
      <c r="D36" s="152">
        <f t="shared" si="6"/>
        <v>660</v>
      </c>
      <c r="E36" s="151">
        <f>K36+M36+O35:O36+Q36+S36+U36+W36+Y36+AA36+AC36+AE36+AI36</f>
        <v>160</v>
      </c>
      <c r="F36" s="152">
        <f t="shared" si="7"/>
        <v>160</v>
      </c>
      <c r="G36" s="151">
        <f t="shared" si="3"/>
        <v>0</v>
      </c>
      <c r="H36" s="152">
        <f t="shared" si="3"/>
        <v>500</v>
      </c>
      <c r="I36" s="151"/>
      <c r="J36" s="152"/>
      <c r="K36" s="151"/>
      <c r="L36" s="152"/>
      <c r="M36" s="151"/>
      <c r="N36" s="152"/>
      <c r="O36" s="151"/>
      <c r="P36" s="152"/>
      <c r="Q36" s="151"/>
      <c r="R36" s="152"/>
      <c r="S36" s="151"/>
      <c r="T36" s="152"/>
      <c r="U36" s="151"/>
      <c r="V36" s="152"/>
      <c r="W36" s="151"/>
      <c r="X36" s="152"/>
      <c r="Y36" s="151"/>
      <c r="Z36" s="152"/>
      <c r="AA36" s="151"/>
      <c r="AB36" s="152"/>
      <c r="AC36" s="151"/>
      <c r="AD36" s="152"/>
      <c r="AE36" s="151">
        <v>160</v>
      </c>
      <c r="AF36" s="152">
        <v>160</v>
      </c>
      <c r="AG36" s="151"/>
      <c r="AH36" s="152"/>
      <c r="AI36" s="151"/>
      <c r="AJ36" s="152"/>
      <c r="AK36" s="151"/>
      <c r="AL36" s="152"/>
      <c r="AM36" s="151"/>
      <c r="AN36" s="152"/>
      <c r="AO36" s="151"/>
      <c r="AP36" s="152"/>
      <c r="AQ36" s="151"/>
      <c r="AR36" s="152"/>
      <c r="AS36" s="151"/>
      <c r="AT36" s="152"/>
      <c r="AU36" s="151"/>
      <c r="AV36" s="152"/>
      <c r="AW36" s="151"/>
      <c r="AX36" s="152"/>
      <c r="AY36" s="151"/>
      <c r="AZ36" s="152"/>
      <c r="BA36" s="151"/>
      <c r="BB36" s="152"/>
      <c r="BC36" s="151"/>
      <c r="BD36" s="152"/>
      <c r="BE36" s="151"/>
      <c r="BF36" s="152"/>
      <c r="BG36" s="151"/>
      <c r="BH36" s="152"/>
      <c r="BI36" s="151"/>
      <c r="BJ36" s="152"/>
      <c r="BK36" s="151"/>
      <c r="BL36" s="152"/>
      <c r="BM36" s="151"/>
      <c r="BN36" s="152"/>
      <c r="BO36" s="151"/>
      <c r="BP36" s="152"/>
      <c r="BQ36" s="151"/>
      <c r="BR36" s="152"/>
      <c r="BS36" s="151"/>
      <c r="BT36" s="152"/>
      <c r="BU36" s="151"/>
      <c r="BV36" s="152"/>
      <c r="BW36" s="151"/>
      <c r="BX36" s="152"/>
      <c r="BY36" s="151"/>
      <c r="BZ36" s="152"/>
      <c r="CA36" s="151"/>
      <c r="CB36" s="152"/>
      <c r="CC36" s="151"/>
      <c r="CD36" s="152"/>
      <c r="CE36" s="151"/>
      <c r="CF36" s="152"/>
      <c r="CG36" s="151"/>
      <c r="CH36" s="152"/>
      <c r="CI36" s="151"/>
      <c r="CJ36" s="152"/>
      <c r="CK36" s="151"/>
      <c r="CL36" s="152"/>
      <c r="CM36" s="151"/>
      <c r="CN36" s="152"/>
      <c r="CO36" s="151"/>
      <c r="CP36" s="152"/>
      <c r="CQ36" s="151"/>
      <c r="CR36" s="152"/>
      <c r="CS36" s="151"/>
      <c r="CT36" s="152"/>
      <c r="CU36" s="151"/>
      <c r="CV36" s="152"/>
      <c r="CW36" s="151"/>
      <c r="CX36" s="152"/>
      <c r="CY36" s="151"/>
      <c r="CZ36" s="152"/>
      <c r="DA36" s="151"/>
      <c r="DB36" s="152"/>
      <c r="DC36" s="151"/>
      <c r="DD36" s="152"/>
      <c r="DE36" s="151"/>
      <c r="DF36" s="152"/>
      <c r="DG36" s="151"/>
      <c r="DH36" s="152">
        <v>500</v>
      </c>
      <c r="DI36" s="151"/>
      <c r="DJ36" s="152"/>
      <c r="DK36" s="151"/>
      <c r="DL36" s="152"/>
      <c r="DM36" s="151"/>
      <c r="DN36" s="152"/>
      <c r="DO36" s="151"/>
      <c r="DP36" s="152"/>
      <c r="DQ36" s="151"/>
      <c r="DR36" s="152"/>
      <c r="DS36" s="151"/>
      <c r="DT36" s="152"/>
      <c r="DU36" s="151"/>
      <c r="DV36" s="152"/>
    </row>
    <row r="37" spans="1:126" x14ac:dyDescent="0.2">
      <c r="A37" s="157" t="s">
        <v>156</v>
      </c>
      <c r="B37" s="157" t="s">
        <v>888</v>
      </c>
      <c r="C37" s="158">
        <f t="shared" ref="C37:H37" si="18">SUM(C35:C36)</f>
        <v>1700</v>
      </c>
      <c r="D37" s="159">
        <f t="shared" si="18"/>
        <v>4190</v>
      </c>
      <c r="E37" s="158">
        <f t="shared" si="18"/>
        <v>1470</v>
      </c>
      <c r="F37" s="159">
        <f t="shared" si="18"/>
        <v>1960</v>
      </c>
      <c r="G37" s="158">
        <f t="shared" si="18"/>
        <v>230</v>
      </c>
      <c r="H37" s="159">
        <f t="shared" si="18"/>
        <v>2230</v>
      </c>
      <c r="I37" s="158"/>
      <c r="J37" s="159"/>
      <c r="K37" s="158">
        <f t="shared" ref="K37:AO37" si="19">SUM(K35:K36)</f>
        <v>0</v>
      </c>
      <c r="L37" s="159">
        <f t="shared" si="19"/>
        <v>0</v>
      </c>
      <c r="M37" s="158">
        <f t="shared" si="19"/>
        <v>0</v>
      </c>
      <c r="N37" s="159">
        <f t="shared" si="19"/>
        <v>0</v>
      </c>
      <c r="O37" s="158">
        <f t="shared" si="19"/>
        <v>0</v>
      </c>
      <c r="P37" s="159">
        <f t="shared" si="19"/>
        <v>0</v>
      </c>
      <c r="Q37" s="158">
        <f t="shared" si="19"/>
        <v>500</v>
      </c>
      <c r="R37" s="159">
        <f t="shared" si="19"/>
        <v>450</v>
      </c>
      <c r="S37" s="158">
        <f t="shared" si="19"/>
        <v>0</v>
      </c>
      <c r="T37" s="159">
        <f>SUM(T35:T36)</f>
        <v>0</v>
      </c>
      <c r="U37" s="158">
        <f t="shared" si="19"/>
        <v>0</v>
      </c>
      <c r="V37" s="159">
        <f>SUM(V35:V36)</f>
        <v>0</v>
      </c>
      <c r="W37" s="158">
        <f t="shared" si="19"/>
        <v>0</v>
      </c>
      <c r="X37" s="159">
        <f t="shared" si="19"/>
        <v>0</v>
      </c>
      <c r="Y37" s="158">
        <f t="shared" si="19"/>
        <v>0</v>
      </c>
      <c r="Z37" s="159">
        <f t="shared" si="19"/>
        <v>0</v>
      </c>
      <c r="AA37" s="158">
        <f t="shared" si="19"/>
        <v>0</v>
      </c>
      <c r="AB37" s="159">
        <f>SUM(AB35:AB36)</f>
        <v>0</v>
      </c>
      <c r="AC37" s="158">
        <f t="shared" si="19"/>
        <v>0</v>
      </c>
      <c r="AD37" s="159">
        <f>SUM(AD35:AD36)</f>
        <v>0</v>
      </c>
      <c r="AE37" s="158">
        <f t="shared" si="19"/>
        <v>970</v>
      </c>
      <c r="AF37" s="159">
        <f>SUM(AF35:AF36)</f>
        <v>1510</v>
      </c>
      <c r="AG37" s="158"/>
      <c r="AH37" s="159"/>
      <c r="AI37" s="158">
        <f>SUM(AI35:AI36)</f>
        <v>0</v>
      </c>
      <c r="AJ37" s="159">
        <f>SUM(AJ35:AJ36)</f>
        <v>0</v>
      </c>
      <c r="AK37" s="158">
        <f t="shared" si="19"/>
        <v>0</v>
      </c>
      <c r="AL37" s="159">
        <f>SUM(AL35:AL36)</f>
        <v>0</v>
      </c>
      <c r="AM37" s="158">
        <f t="shared" si="19"/>
        <v>0</v>
      </c>
      <c r="AN37" s="159"/>
      <c r="AO37" s="158">
        <f t="shared" si="19"/>
        <v>0</v>
      </c>
      <c r="AP37" s="159">
        <f>SUM(AP35:AP36)</f>
        <v>0</v>
      </c>
      <c r="AQ37" s="158">
        <f t="shared" ref="AQ37:DS37" si="20">SUM(AQ35:AQ36)</f>
        <v>230</v>
      </c>
      <c r="AR37" s="159">
        <f>SUM(AR35:AR36)</f>
        <v>230</v>
      </c>
      <c r="AS37" s="158">
        <f t="shared" si="20"/>
        <v>0</v>
      </c>
      <c r="AT37" s="159">
        <f>SUM(AT35:AT36)</f>
        <v>0</v>
      </c>
      <c r="AU37" s="158">
        <f t="shared" si="20"/>
        <v>0</v>
      </c>
      <c r="AV37" s="159">
        <f>SUM(AV35:AV36)</f>
        <v>0</v>
      </c>
      <c r="AW37" s="158">
        <f t="shared" si="20"/>
        <v>0</v>
      </c>
      <c r="AX37" s="159">
        <f>SUM(AX35:AX36)</f>
        <v>0</v>
      </c>
      <c r="AY37" s="158">
        <f t="shared" si="20"/>
        <v>0</v>
      </c>
      <c r="AZ37" s="159">
        <f>SUM(AZ35:AZ36)</f>
        <v>0</v>
      </c>
      <c r="BA37" s="158">
        <f t="shared" si="20"/>
        <v>0</v>
      </c>
      <c r="BB37" s="159">
        <f>SUM(BB35:BB36)</f>
        <v>0</v>
      </c>
      <c r="BC37" s="158">
        <f t="shared" si="20"/>
        <v>0</v>
      </c>
      <c r="BD37" s="159">
        <f>SUM(BD35:BD36)</f>
        <v>0</v>
      </c>
      <c r="BE37" s="158">
        <f t="shared" si="20"/>
        <v>0</v>
      </c>
      <c r="BF37" s="159">
        <f>SUM(BF35:BF36)</f>
        <v>0</v>
      </c>
      <c r="BG37" s="158">
        <f t="shared" si="20"/>
        <v>0</v>
      </c>
      <c r="BH37" s="159">
        <f>SUM(BH35:BH36)</f>
        <v>0</v>
      </c>
      <c r="BI37" s="158">
        <f t="shared" si="20"/>
        <v>0</v>
      </c>
      <c r="BJ37" s="159">
        <f>SUM(BJ35:BJ36)</f>
        <v>0</v>
      </c>
      <c r="BK37" s="158">
        <f t="shared" si="20"/>
        <v>0</v>
      </c>
      <c r="BL37" s="159">
        <f>SUM(BL35:BL36)</f>
        <v>0</v>
      </c>
      <c r="BM37" s="158">
        <f t="shared" si="20"/>
        <v>0</v>
      </c>
      <c r="BN37" s="159">
        <f>SUM(BN35:BN36)</f>
        <v>0</v>
      </c>
      <c r="BO37" s="158">
        <f t="shared" si="20"/>
        <v>0</v>
      </c>
      <c r="BP37" s="159">
        <f>SUM(BP35:BP36)</f>
        <v>0</v>
      </c>
      <c r="BQ37" s="158">
        <f t="shared" si="20"/>
        <v>0</v>
      </c>
      <c r="BR37" s="159">
        <f>SUM(BR35:BR36)</f>
        <v>0</v>
      </c>
      <c r="BS37" s="158">
        <f t="shared" si="20"/>
        <v>0</v>
      </c>
      <c r="BT37" s="159">
        <f>SUM(BT35:BT36)</f>
        <v>0</v>
      </c>
      <c r="BU37" s="158">
        <f t="shared" si="20"/>
        <v>0</v>
      </c>
      <c r="BV37" s="159">
        <f>SUM(BV35:BV36)</f>
        <v>0</v>
      </c>
      <c r="BW37" s="158">
        <f t="shared" si="20"/>
        <v>0</v>
      </c>
      <c r="BX37" s="159">
        <f>SUM(BX35:BX36)</f>
        <v>0</v>
      </c>
      <c r="BY37" s="158">
        <f t="shared" si="20"/>
        <v>0</v>
      </c>
      <c r="BZ37" s="159">
        <f>SUM(BZ35:BZ36)</f>
        <v>0</v>
      </c>
      <c r="CA37" s="158">
        <f t="shared" si="20"/>
        <v>0</v>
      </c>
      <c r="CB37" s="159">
        <f>SUM(CB35:CB36)</f>
        <v>0</v>
      </c>
      <c r="CC37" s="158">
        <f t="shared" si="20"/>
        <v>0</v>
      </c>
      <c r="CD37" s="159">
        <f>SUM(CD35:CD36)</f>
        <v>0</v>
      </c>
      <c r="CE37" s="158">
        <f>SUM(CE35:CE36)</f>
        <v>0</v>
      </c>
      <c r="CF37" s="159">
        <f>SUM(CF35:CF36)</f>
        <v>0</v>
      </c>
      <c r="CG37" s="158">
        <f t="shared" si="20"/>
        <v>0</v>
      </c>
      <c r="CH37" s="159">
        <f>SUM(CH35:CH36)</f>
        <v>0</v>
      </c>
      <c r="CI37" s="158">
        <f t="shared" si="20"/>
        <v>0</v>
      </c>
      <c r="CJ37" s="159">
        <f>SUM(CJ35:CJ36)</f>
        <v>0</v>
      </c>
      <c r="CK37" s="158">
        <f t="shared" si="20"/>
        <v>0</v>
      </c>
      <c r="CL37" s="159">
        <f>SUM(CL35:CL36)</f>
        <v>0</v>
      </c>
      <c r="CM37" s="158">
        <f t="shared" si="20"/>
        <v>0</v>
      </c>
      <c r="CN37" s="159">
        <f>SUM(CN35:CN36)</f>
        <v>0</v>
      </c>
      <c r="CO37" s="158">
        <f t="shared" si="20"/>
        <v>0</v>
      </c>
      <c r="CP37" s="159">
        <f>SUM(CP35:CP36)</f>
        <v>0</v>
      </c>
      <c r="CQ37" s="158">
        <f t="shared" si="20"/>
        <v>0</v>
      </c>
      <c r="CR37" s="159">
        <f>SUM(CR35:CR36)</f>
        <v>0</v>
      </c>
      <c r="CS37" s="158">
        <f t="shared" si="20"/>
        <v>0</v>
      </c>
      <c r="CT37" s="159">
        <f>SUM(CT35:CT36)</f>
        <v>0</v>
      </c>
      <c r="CU37" s="158">
        <f t="shared" si="20"/>
        <v>0</v>
      </c>
      <c r="CV37" s="159">
        <f>SUM(CV35:CV36)</f>
        <v>0</v>
      </c>
      <c r="CW37" s="158">
        <f t="shared" si="20"/>
        <v>0</v>
      </c>
      <c r="CX37" s="159">
        <f>SUM(CX35:CX36)</f>
        <v>0</v>
      </c>
      <c r="CY37" s="158">
        <f t="shared" si="20"/>
        <v>0</v>
      </c>
      <c r="CZ37" s="159"/>
      <c r="DA37" s="158">
        <f t="shared" si="20"/>
        <v>0</v>
      </c>
      <c r="DB37" s="159"/>
      <c r="DC37" s="158">
        <f t="shared" si="20"/>
        <v>0</v>
      </c>
      <c r="DD37" s="159">
        <f>SUM(DD35:DD36)</f>
        <v>0</v>
      </c>
      <c r="DE37" s="158">
        <f t="shared" si="20"/>
        <v>0</v>
      </c>
      <c r="DF37" s="159">
        <f>SUM(DF35:DF36)</f>
        <v>0</v>
      </c>
      <c r="DG37" s="158">
        <f t="shared" si="20"/>
        <v>0</v>
      </c>
      <c r="DH37" s="159">
        <f>SUM(DH35:DH36)</f>
        <v>2000</v>
      </c>
      <c r="DI37" s="158">
        <f t="shared" si="20"/>
        <v>0</v>
      </c>
      <c r="DJ37" s="159">
        <f>SUM(DJ35:DJ36)</f>
        <v>0</v>
      </c>
      <c r="DK37" s="158">
        <f t="shared" si="20"/>
        <v>0</v>
      </c>
      <c r="DL37" s="159">
        <f>SUM(DL35:DL36)</f>
        <v>0</v>
      </c>
      <c r="DM37" s="158">
        <f t="shared" si="20"/>
        <v>0</v>
      </c>
      <c r="DN37" s="159">
        <f>SUM(DN35:DN36)</f>
        <v>0</v>
      </c>
      <c r="DO37" s="158">
        <f t="shared" si="20"/>
        <v>0</v>
      </c>
      <c r="DP37" s="159">
        <f>SUM(DP35:DP36)</f>
        <v>0</v>
      </c>
      <c r="DQ37" s="158">
        <f t="shared" si="20"/>
        <v>0</v>
      </c>
      <c r="DR37" s="159"/>
      <c r="DS37" s="158">
        <f t="shared" si="20"/>
        <v>0</v>
      </c>
      <c r="DT37" s="159">
        <f>SUM(DT35:DT36)</f>
        <v>0</v>
      </c>
      <c r="DU37" s="158"/>
      <c r="DV37" s="159"/>
    </row>
    <row r="38" spans="1:126" x14ac:dyDescent="0.2">
      <c r="A38" s="150" t="s">
        <v>159</v>
      </c>
      <c r="B38" s="150" t="s">
        <v>889</v>
      </c>
      <c r="C38" s="151">
        <f>E38+G38+I38</f>
        <v>59828</v>
      </c>
      <c r="D38" s="152">
        <f t="shared" si="6"/>
        <v>47758</v>
      </c>
      <c r="E38" s="151">
        <f>K38+M38+O37:O38+Q38+S38+U38+W38+Y38+AA38+AC38+AE38+AI38</f>
        <v>31584</v>
      </c>
      <c r="F38" s="152">
        <f t="shared" si="7"/>
        <v>36890</v>
      </c>
      <c r="G38" s="151">
        <f t="shared" si="3"/>
        <v>28244</v>
      </c>
      <c r="H38" s="152">
        <f t="shared" si="3"/>
        <v>10868</v>
      </c>
      <c r="I38" s="151"/>
      <c r="J38" s="152"/>
      <c r="K38" s="151">
        <f>ROUND((K23+K26+K34+K36)*0.27,0)</f>
        <v>2255</v>
      </c>
      <c r="L38" s="152">
        <f>ROUND((L23+L26+L34+L36)*0.27,0)</f>
        <v>1949</v>
      </c>
      <c r="M38" s="151">
        <f>ROUND((M23+M26+M34+M36)*0.27,0)</f>
        <v>540</v>
      </c>
      <c r="N38" s="152">
        <f>ROUND((N23+N26+N34+N36)*0.27,0)</f>
        <v>540</v>
      </c>
      <c r="O38" s="151">
        <f>ROUND((O23+O26+O34+O36-O32)*0.27,0)</f>
        <v>702</v>
      </c>
      <c r="P38" s="152">
        <f>ROUND((P23+P26+P34+P36-P32)*0.27,0)</f>
        <v>582</v>
      </c>
      <c r="Q38" s="151">
        <f>ROUND((Q23+Q26+Q34+Q36)*0.27,0)</f>
        <v>185</v>
      </c>
      <c r="R38" s="152">
        <f>ROUND((R23+R26+R34+R36)*0.27,0)</f>
        <v>346</v>
      </c>
      <c r="S38" s="151"/>
      <c r="T38" s="152"/>
      <c r="U38" s="151"/>
      <c r="V38" s="152"/>
      <c r="W38" s="151">
        <f>ROUND((W23+W26+W34+W36)*0.27,0)</f>
        <v>513</v>
      </c>
      <c r="X38" s="152">
        <f>ROUND((X23+X26+X34+X36)*0.27,0)</f>
        <v>513</v>
      </c>
      <c r="Y38" s="151">
        <v>212</v>
      </c>
      <c r="Z38" s="152">
        <f>212</f>
        <v>212</v>
      </c>
      <c r="AA38" s="151">
        <f t="shared" ref="AA38:AF38" si="21">ROUND((AA23+AA26+AA34+AA36)*0.27,0)</f>
        <v>1043</v>
      </c>
      <c r="AB38" s="152">
        <f t="shared" si="21"/>
        <v>638</v>
      </c>
      <c r="AC38" s="151">
        <f t="shared" si="21"/>
        <v>79</v>
      </c>
      <c r="AD38" s="152">
        <f t="shared" si="21"/>
        <v>79</v>
      </c>
      <c r="AE38" s="151">
        <f t="shared" si="21"/>
        <v>26055</v>
      </c>
      <c r="AF38" s="152">
        <f t="shared" si="21"/>
        <v>32031</v>
      </c>
      <c r="AG38" s="151"/>
      <c r="AH38" s="152"/>
      <c r="AI38" s="151"/>
      <c r="AJ38" s="152"/>
      <c r="AK38" s="151"/>
      <c r="AL38" s="152"/>
      <c r="AM38" s="151"/>
      <c r="AN38" s="152"/>
      <c r="AO38" s="151">
        <v>850</v>
      </c>
      <c r="AP38" s="152">
        <v>1714</v>
      </c>
      <c r="AQ38" s="151">
        <f>ROUND((AQ23+AQ26+AQ34+AQ36)*0.27,0)</f>
        <v>270</v>
      </c>
      <c r="AR38" s="152">
        <f>ROUND((AR23+AR26+AR34+AR36)*0.27,0)</f>
        <v>270</v>
      </c>
      <c r="AS38" s="151"/>
      <c r="AT38" s="152"/>
      <c r="AU38" s="151"/>
      <c r="AV38" s="152"/>
      <c r="AW38" s="151"/>
      <c r="AX38" s="152"/>
      <c r="AY38" s="151"/>
      <c r="AZ38" s="152"/>
      <c r="BA38" s="151">
        <v>1276</v>
      </c>
      <c r="BB38" s="152">
        <f>ROUND((BB23+BB26+BB34+BB36)*0.27,0)</f>
        <v>1620</v>
      </c>
      <c r="BC38" s="151"/>
      <c r="BD38" s="152"/>
      <c r="BE38" s="151">
        <f>ROUND((BE23+BE26+BE34+BE36)*0.27,0)</f>
        <v>194</v>
      </c>
      <c r="BF38" s="152">
        <f>ROUND((BF23+BF26+BF34+BF36)*0.27,0)</f>
        <v>389</v>
      </c>
      <c r="BG38" s="151"/>
      <c r="BH38" s="152"/>
      <c r="BI38" s="151">
        <f>ROUND((BI23+BI26+BI34+BI36)*0.27,0)</f>
        <v>515</v>
      </c>
      <c r="BJ38" s="152">
        <f>ROUND((BJ23+BJ26+BJ34+BJ36)*0.27,0)</f>
        <v>515</v>
      </c>
      <c r="BK38" s="151">
        <v>442</v>
      </c>
      <c r="BL38" s="152">
        <f>ROUND((BL23+BL26+BL34+BL36)*0.27,0)</f>
        <v>0</v>
      </c>
      <c r="BM38" s="151"/>
      <c r="BN38" s="152"/>
      <c r="BO38" s="151">
        <f>ROUND((BO23+BO26+BO34+BO36)*0.27,0)</f>
        <v>3189</v>
      </c>
      <c r="BP38" s="152">
        <f>ROUND((BP23+BP26+BP34+BP36)*0.27,0)</f>
        <v>4007</v>
      </c>
      <c r="BQ38" s="151"/>
      <c r="BR38" s="152"/>
      <c r="BS38" s="151"/>
      <c r="BT38" s="152"/>
      <c r="BU38" s="151"/>
      <c r="BV38" s="152"/>
      <c r="BW38" s="151"/>
      <c r="BX38" s="152"/>
      <c r="BY38" s="151"/>
      <c r="BZ38" s="152"/>
      <c r="CA38" s="151"/>
      <c r="CB38" s="152"/>
      <c r="CC38" s="151"/>
      <c r="CD38" s="152"/>
      <c r="CE38" s="151"/>
      <c r="CF38" s="152"/>
      <c r="CG38" s="151"/>
      <c r="CH38" s="152"/>
      <c r="CI38" s="151">
        <f>ROUND((CI23+CI26+CI34+CI36)*0.27,0)</f>
        <v>21224</v>
      </c>
      <c r="CJ38" s="152">
        <f>ROUND((CJ23+CJ26+CJ34+CJ36)*0.27,0)</f>
        <v>0</v>
      </c>
      <c r="CK38" s="151"/>
      <c r="CL38" s="152"/>
      <c r="CM38" s="151"/>
      <c r="CN38" s="152"/>
      <c r="CO38" s="151"/>
      <c r="CP38" s="152"/>
      <c r="CQ38" s="151"/>
      <c r="CR38" s="152"/>
      <c r="CS38" s="151"/>
      <c r="CT38" s="152">
        <f>ROUND((CT23+CT26+CT34+CT36)*0.27,0)</f>
        <v>138</v>
      </c>
      <c r="CU38" s="151"/>
      <c r="CV38" s="152"/>
      <c r="CW38" s="151"/>
      <c r="CX38" s="152"/>
      <c r="CY38" s="151"/>
      <c r="CZ38" s="152"/>
      <c r="DA38" s="151"/>
      <c r="DB38" s="152"/>
      <c r="DC38" s="151"/>
      <c r="DD38" s="152"/>
      <c r="DE38" s="151"/>
      <c r="DF38" s="152"/>
      <c r="DG38" s="151"/>
      <c r="DH38" s="152">
        <f>ROUND((DH23+DH26+DH34+DH36)*0.27,0)</f>
        <v>2120</v>
      </c>
      <c r="DI38" s="151"/>
      <c r="DJ38" s="152"/>
      <c r="DK38" s="151"/>
      <c r="DL38" s="152"/>
      <c r="DM38" s="151">
        <v>95</v>
      </c>
      <c r="DN38" s="152">
        <v>0</v>
      </c>
      <c r="DO38" s="151">
        <f>ROUND((DO23+DO26+DO34+DO36)*0.27,0)</f>
        <v>189</v>
      </c>
      <c r="DP38" s="152">
        <f>ROUND((DP23+DP26+DP34+DP36)*0.27,0)</f>
        <v>95</v>
      </c>
      <c r="DQ38" s="151"/>
      <c r="DR38" s="152"/>
      <c r="DS38" s="151"/>
      <c r="DT38" s="152"/>
      <c r="DU38" s="151"/>
      <c r="DV38" s="152"/>
    </row>
    <row r="39" spans="1:126" x14ac:dyDescent="0.2">
      <c r="A39" s="150" t="s">
        <v>164</v>
      </c>
      <c r="B39" s="150" t="s">
        <v>890</v>
      </c>
      <c r="C39" s="151">
        <f>E39+G39+I39</f>
        <v>5000</v>
      </c>
      <c r="D39" s="152">
        <f t="shared" si="6"/>
        <v>5000</v>
      </c>
      <c r="E39" s="151">
        <f>K39+M39+O38:O39+Q39+S39+U39+W39+Y39+AA39+AC39+AE39+AI39</f>
        <v>5000</v>
      </c>
      <c r="F39" s="152">
        <f t="shared" si="7"/>
        <v>5000</v>
      </c>
      <c r="G39" s="151">
        <f t="shared" si="3"/>
        <v>0</v>
      </c>
      <c r="H39" s="152">
        <f t="shared" si="3"/>
        <v>0</v>
      </c>
      <c r="I39" s="151"/>
      <c r="J39" s="152"/>
      <c r="K39" s="151"/>
      <c r="L39" s="152"/>
      <c r="M39" s="151"/>
      <c r="N39" s="152"/>
      <c r="O39" s="151"/>
      <c r="P39" s="152"/>
      <c r="Q39" s="151"/>
      <c r="R39" s="152"/>
      <c r="S39" s="151"/>
      <c r="T39" s="152"/>
      <c r="U39" s="151"/>
      <c r="V39" s="152"/>
      <c r="W39" s="151"/>
      <c r="X39" s="152"/>
      <c r="Y39" s="151"/>
      <c r="Z39" s="152"/>
      <c r="AA39" s="151"/>
      <c r="AB39" s="152"/>
      <c r="AC39" s="151"/>
      <c r="AD39" s="152"/>
      <c r="AE39" s="151">
        <v>5000</v>
      </c>
      <c r="AF39" s="152">
        <v>5000</v>
      </c>
      <c r="AG39" s="151"/>
      <c r="AH39" s="152"/>
      <c r="AI39" s="151"/>
      <c r="AJ39" s="152"/>
      <c r="AK39" s="151"/>
      <c r="AL39" s="152"/>
      <c r="AM39" s="151"/>
      <c r="AN39" s="152"/>
      <c r="AO39" s="151"/>
      <c r="AP39" s="152"/>
      <c r="AQ39" s="151"/>
      <c r="AR39" s="152"/>
      <c r="AS39" s="151"/>
      <c r="AT39" s="152"/>
      <c r="AU39" s="151"/>
      <c r="AV39" s="152"/>
      <c r="AW39" s="151"/>
      <c r="AX39" s="152"/>
      <c r="AY39" s="151"/>
      <c r="AZ39" s="152"/>
      <c r="BA39" s="151"/>
      <c r="BB39" s="152"/>
      <c r="BC39" s="151"/>
      <c r="BD39" s="152"/>
      <c r="BE39" s="151"/>
      <c r="BF39" s="152"/>
      <c r="BG39" s="151"/>
      <c r="BH39" s="152"/>
      <c r="BI39" s="151"/>
      <c r="BJ39" s="152"/>
      <c r="BK39" s="151"/>
      <c r="BL39" s="152"/>
      <c r="BM39" s="151"/>
      <c r="BN39" s="152"/>
      <c r="BO39" s="151"/>
      <c r="BP39" s="152"/>
      <c r="BQ39" s="151"/>
      <c r="BR39" s="152"/>
      <c r="BS39" s="151"/>
      <c r="BT39" s="152"/>
      <c r="BU39" s="151"/>
      <c r="BV39" s="152"/>
      <c r="BW39" s="151"/>
      <c r="BX39" s="152"/>
      <c r="BY39" s="151"/>
      <c r="BZ39" s="152"/>
      <c r="CA39" s="151"/>
      <c r="CB39" s="152"/>
      <c r="CC39" s="151"/>
      <c r="CD39" s="152"/>
      <c r="CE39" s="151"/>
      <c r="CF39" s="152"/>
      <c r="CG39" s="151"/>
      <c r="CH39" s="152"/>
      <c r="CI39" s="151"/>
      <c r="CJ39" s="152"/>
      <c r="CK39" s="151"/>
      <c r="CL39" s="152"/>
      <c r="CM39" s="151"/>
      <c r="CN39" s="152"/>
      <c r="CO39" s="151"/>
      <c r="CP39" s="152"/>
      <c r="CQ39" s="151"/>
      <c r="CR39" s="152"/>
      <c r="CS39" s="151"/>
      <c r="CT39" s="152"/>
      <c r="CU39" s="151"/>
      <c r="CV39" s="152"/>
      <c r="CW39" s="151"/>
      <c r="CX39" s="152"/>
      <c r="CY39" s="151"/>
      <c r="CZ39" s="152"/>
      <c r="DA39" s="151"/>
      <c r="DB39" s="152"/>
      <c r="DC39" s="151"/>
      <c r="DD39" s="152"/>
      <c r="DE39" s="151"/>
      <c r="DF39" s="152"/>
      <c r="DG39" s="151"/>
      <c r="DH39" s="152"/>
      <c r="DI39" s="151"/>
      <c r="DJ39" s="152"/>
      <c r="DK39" s="151"/>
      <c r="DL39" s="152"/>
      <c r="DM39" s="151"/>
      <c r="DN39" s="152"/>
      <c r="DO39" s="151"/>
      <c r="DP39" s="152"/>
      <c r="DQ39" s="151"/>
      <c r="DR39" s="152"/>
      <c r="DS39" s="151"/>
      <c r="DT39" s="152"/>
      <c r="DU39" s="151"/>
      <c r="DV39" s="152"/>
    </row>
    <row r="40" spans="1:126" x14ac:dyDescent="0.2">
      <c r="A40" s="150" t="s">
        <v>170</v>
      </c>
      <c r="B40" s="150" t="s">
        <v>172</v>
      </c>
      <c r="C40" s="151">
        <f>E40+G40+I40</f>
        <v>3600</v>
      </c>
      <c r="D40" s="152">
        <f t="shared" si="6"/>
        <v>3500</v>
      </c>
      <c r="E40" s="151">
        <f>K40+M40+O39:O40+Q40+S40+U40+W40+Y40+AA40+AC40+AE40+AI40</f>
        <v>3600</v>
      </c>
      <c r="F40" s="152">
        <f t="shared" si="7"/>
        <v>3500</v>
      </c>
      <c r="G40" s="151">
        <f t="shared" si="3"/>
        <v>0</v>
      </c>
      <c r="H40" s="152">
        <f t="shared" si="3"/>
        <v>0</v>
      </c>
      <c r="I40" s="151"/>
      <c r="J40" s="152"/>
      <c r="K40" s="151"/>
      <c r="L40" s="152"/>
      <c r="M40" s="151"/>
      <c r="N40" s="152"/>
      <c r="O40" s="151"/>
      <c r="P40" s="152"/>
      <c r="Q40" s="151"/>
      <c r="R40" s="152"/>
      <c r="S40" s="151"/>
      <c r="T40" s="152"/>
      <c r="U40" s="151"/>
      <c r="V40" s="152"/>
      <c r="W40" s="151"/>
      <c r="X40" s="152"/>
      <c r="Y40" s="151"/>
      <c r="Z40" s="152"/>
      <c r="AA40" s="151"/>
      <c r="AB40" s="152"/>
      <c r="AC40" s="151"/>
      <c r="AD40" s="152"/>
      <c r="AE40" s="151">
        <v>3600</v>
      </c>
      <c r="AF40" s="152">
        <v>3500</v>
      </c>
      <c r="AG40" s="151"/>
      <c r="AH40" s="152"/>
      <c r="AI40" s="151"/>
      <c r="AJ40" s="152"/>
      <c r="AK40" s="151"/>
      <c r="AL40" s="152"/>
      <c r="AM40" s="151"/>
      <c r="AN40" s="152"/>
      <c r="AO40" s="151"/>
      <c r="AP40" s="152"/>
      <c r="AQ40" s="151"/>
      <c r="AR40" s="152"/>
      <c r="AS40" s="151"/>
      <c r="AT40" s="152"/>
      <c r="AU40" s="151"/>
      <c r="AV40" s="152"/>
      <c r="AW40" s="151"/>
      <c r="AX40" s="152"/>
      <c r="AY40" s="151"/>
      <c r="AZ40" s="152"/>
      <c r="BA40" s="151"/>
      <c r="BB40" s="152"/>
      <c r="BC40" s="151"/>
      <c r="BD40" s="152"/>
      <c r="BE40" s="151"/>
      <c r="BF40" s="152"/>
      <c r="BG40" s="151"/>
      <c r="BH40" s="152"/>
      <c r="BI40" s="151"/>
      <c r="BJ40" s="152"/>
      <c r="BK40" s="151"/>
      <c r="BL40" s="152"/>
      <c r="BM40" s="151"/>
      <c r="BN40" s="152"/>
      <c r="BO40" s="151"/>
      <c r="BP40" s="152"/>
      <c r="BQ40" s="151"/>
      <c r="BR40" s="152"/>
      <c r="BS40" s="151"/>
      <c r="BT40" s="152"/>
      <c r="BU40" s="151"/>
      <c r="BV40" s="152"/>
      <c r="BW40" s="151"/>
      <c r="BX40" s="152"/>
      <c r="BY40" s="151"/>
      <c r="BZ40" s="152"/>
      <c r="CA40" s="151"/>
      <c r="CB40" s="152"/>
      <c r="CC40" s="151"/>
      <c r="CD40" s="152"/>
      <c r="CE40" s="151"/>
      <c r="CF40" s="152"/>
      <c r="CG40" s="151"/>
      <c r="CH40" s="152"/>
      <c r="CI40" s="151"/>
      <c r="CJ40" s="152"/>
      <c r="CK40" s="151"/>
      <c r="CL40" s="152"/>
      <c r="CM40" s="151"/>
      <c r="CN40" s="152"/>
      <c r="CO40" s="151"/>
      <c r="CP40" s="152"/>
      <c r="CQ40" s="151"/>
      <c r="CR40" s="152"/>
      <c r="CS40" s="151"/>
      <c r="CT40" s="152"/>
      <c r="CU40" s="151"/>
      <c r="CV40" s="152"/>
      <c r="CW40" s="151"/>
      <c r="CX40" s="152"/>
      <c r="CY40" s="151"/>
      <c r="CZ40" s="152"/>
      <c r="DA40" s="151"/>
      <c r="DB40" s="152"/>
      <c r="DC40" s="151"/>
      <c r="DD40" s="152"/>
      <c r="DE40" s="151"/>
      <c r="DF40" s="152"/>
      <c r="DG40" s="151"/>
      <c r="DH40" s="152"/>
      <c r="DI40" s="151"/>
      <c r="DJ40" s="152"/>
      <c r="DK40" s="151"/>
      <c r="DL40" s="152"/>
      <c r="DM40" s="151"/>
      <c r="DN40" s="152"/>
      <c r="DO40" s="151"/>
      <c r="DP40" s="152"/>
      <c r="DQ40" s="151"/>
      <c r="DR40" s="152"/>
      <c r="DS40" s="151"/>
      <c r="DT40" s="152"/>
      <c r="DU40" s="151"/>
      <c r="DV40" s="152"/>
    </row>
    <row r="41" spans="1:126" x14ac:dyDescent="0.2">
      <c r="A41" s="150" t="s">
        <v>177</v>
      </c>
      <c r="B41" s="150" t="s">
        <v>179</v>
      </c>
      <c r="C41" s="151">
        <f>E41+G41+I41</f>
        <v>0</v>
      </c>
      <c r="D41" s="152">
        <f t="shared" si="6"/>
        <v>0</v>
      </c>
      <c r="E41" s="151">
        <f>K41+M41+O40:O41+Q41+S41+U41+W41+Y41+AA41+AC41+AE41+AI41</f>
        <v>0</v>
      </c>
      <c r="F41" s="152">
        <f t="shared" si="7"/>
        <v>0</v>
      </c>
      <c r="G41" s="151">
        <f t="shared" si="3"/>
        <v>0</v>
      </c>
      <c r="H41" s="152">
        <f t="shared" si="3"/>
        <v>0</v>
      </c>
      <c r="I41" s="151"/>
      <c r="J41" s="152"/>
      <c r="K41" s="151"/>
      <c r="L41" s="152"/>
      <c r="M41" s="151"/>
      <c r="N41" s="152"/>
      <c r="O41" s="151"/>
      <c r="P41" s="152"/>
      <c r="Q41" s="151"/>
      <c r="R41" s="152"/>
      <c r="S41" s="151"/>
      <c r="T41" s="152"/>
      <c r="U41" s="151"/>
      <c r="V41" s="152"/>
      <c r="W41" s="151"/>
      <c r="X41" s="152"/>
      <c r="Y41" s="151"/>
      <c r="Z41" s="152"/>
      <c r="AA41" s="151"/>
      <c r="AB41" s="152"/>
      <c r="AC41" s="151"/>
      <c r="AD41" s="152"/>
      <c r="AE41" s="151">
        <v>0</v>
      </c>
      <c r="AF41" s="152">
        <v>0</v>
      </c>
      <c r="AG41" s="151"/>
      <c r="AH41" s="152"/>
      <c r="AI41" s="151"/>
      <c r="AJ41" s="152"/>
      <c r="AK41" s="151"/>
      <c r="AL41" s="152"/>
      <c r="AM41" s="151"/>
      <c r="AN41" s="152"/>
      <c r="AO41" s="151"/>
      <c r="AP41" s="152"/>
      <c r="AQ41" s="151"/>
      <c r="AR41" s="152"/>
      <c r="AS41" s="151"/>
      <c r="AT41" s="152"/>
      <c r="AU41" s="151"/>
      <c r="AV41" s="152"/>
      <c r="AW41" s="151"/>
      <c r="AX41" s="152"/>
      <c r="AY41" s="151"/>
      <c r="AZ41" s="152"/>
      <c r="BA41" s="151"/>
      <c r="BB41" s="152"/>
      <c r="BC41" s="151"/>
      <c r="BD41" s="152"/>
      <c r="BE41" s="151"/>
      <c r="BF41" s="152"/>
      <c r="BG41" s="151"/>
      <c r="BH41" s="152"/>
      <c r="BI41" s="151"/>
      <c r="BJ41" s="152"/>
      <c r="BK41" s="151"/>
      <c r="BL41" s="152"/>
      <c r="BM41" s="151"/>
      <c r="BN41" s="152"/>
      <c r="BO41" s="151"/>
      <c r="BP41" s="152"/>
      <c r="BQ41" s="151"/>
      <c r="BR41" s="152"/>
      <c r="BS41" s="151"/>
      <c r="BT41" s="152"/>
      <c r="BU41" s="151"/>
      <c r="BV41" s="152"/>
      <c r="BW41" s="151"/>
      <c r="BX41" s="152"/>
      <c r="BY41" s="151"/>
      <c r="BZ41" s="152"/>
      <c r="CA41" s="151"/>
      <c r="CB41" s="152"/>
      <c r="CC41" s="151"/>
      <c r="CD41" s="152"/>
      <c r="CE41" s="151"/>
      <c r="CF41" s="152"/>
      <c r="CG41" s="151"/>
      <c r="CH41" s="152"/>
      <c r="CI41" s="151"/>
      <c r="CJ41" s="152"/>
      <c r="CK41" s="151"/>
      <c r="CL41" s="152"/>
      <c r="CM41" s="151"/>
      <c r="CN41" s="152"/>
      <c r="CO41" s="151"/>
      <c r="CP41" s="152"/>
      <c r="CQ41" s="151"/>
      <c r="CR41" s="152"/>
      <c r="CS41" s="151"/>
      <c r="CT41" s="152"/>
      <c r="CU41" s="151"/>
      <c r="CV41" s="152"/>
      <c r="CW41" s="151"/>
      <c r="CX41" s="152"/>
      <c r="CY41" s="151"/>
      <c r="CZ41" s="152"/>
      <c r="DA41" s="151"/>
      <c r="DB41" s="152"/>
      <c r="DC41" s="151"/>
      <c r="DD41" s="152"/>
      <c r="DE41" s="151"/>
      <c r="DF41" s="152"/>
      <c r="DG41" s="151"/>
      <c r="DH41" s="152"/>
      <c r="DI41" s="151"/>
      <c r="DJ41" s="152"/>
      <c r="DK41" s="151"/>
      <c r="DL41" s="152"/>
      <c r="DM41" s="151"/>
      <c r="DN41" s="152"/>
      <c r="DO41" s="151"/>
      <c r="DP41" s="152"/>
      <c r="DQ41" s="151"/>
      <c r="DR41" s="152"/>
      <c r="DS41" s="151"/>
      <c r="DT41" s="152"/>
      <c r="DU41" s="151"/>
      <c r="DV41" s="152"/>
    </row>
    <row r="42" spans="1:126" x14ac:dyDescent="0.2">
      <c r="A42" s="150" t="s">
        <v>182</v>
      </c>
      <c r="B42" s="150" t="s">
        <v>184</v>
      </c>
      <c r="C42" s="151">
        <f>E42+G42+I42</f>
        <v>27222</v>
      </c>
      <c r="D42" s="152">
        <f t="shared" si="6"/>
        <v>44410</v>
      </c>
      <c r="E42" s="151">
        <f>K42+M42+O41:O42+Q42+S42+U42+W42+Y42+AA42+AC42+AE42+AI42</f>
        <v>23824</v>
      </c>
      <c r="F42" s="152">
        <f t="shared" si="7"/>
        <v>37955</v>
      </c>
      <c r="G42" s="151">
        <f t="shared" si="3"/>
        <v>3398</v>
      </c>
      <c r="H42" s="152">
        <f t="shared" si="3"/>
        <v>6455</v>
      </c>
      <c r="I42" s="151"/>
      <c r="J42" s="152"/>
      <c r="K42" s="151">
        <v>1800</v>
      </c>
      <c r="L42" s="152">
        <v>831</v>
      </c>
      <c r="M42" s="151"/>
      <c r="N42" s="152"/>
      <c r="O42" s="151"/>
      <c r="P42" s="152"/>
      <c r="Q42" s="151"/>
      <c r="R42" s="152"/>
      <c r="S42" s="151"/>
      <c r="T42" s="152">
        <v>1000</v>
      </c>
      <c r="U42" s="151"/>
      <c r="V42" s="152">
        <v>100</v>
      </c>
      <c r="W42" s="151"/>
      <c r="X42" s="152">
        <v>300</v>
      </c>
      <c r="Y42" s="151"/>
      <c r="Z42" s="152"/>
      <c r="AA42" s="151">
        <v>210</v>
      </c>
      <c r="AB42" s="152">
        <v>210</v>
      </c>
      <c r="AC42" s="151">
        <v>29</v>
      </c>
      <c r="AD42" s="152">
        <v>29</v>
      </c>
      <c r="AE42" s="151">
        <v>21785</v>
      </c>
      <c r="AF42" s="152">
        <v>35485</v>
      </c>
      <c r="AG42" s="151"/>
      <c r="AH42" s="152"/>
      <c r="AI42" s="151"/>
      <c r="AJ42" s="152"/>
      <c r="AK42" s="151"/>
      <c r="AL42" s="152"/>
      <c r="AM42" s="151"/>
      <c r="AN42" s="152"/>
      <c r="AO42" s="151"/>
      <c r="AP42" s="152"/>
      <c r="AQ42" s="151">
        <v>0</v>
      </c>
      <c r="AR42" s="152">
        <v>500</v>
      </c>
      <c r="AS42" s="151"/>
      <c r="AT42" s="152"/>
      <c r="AU42" s="151"/>
      <c r="AV42" s="152"/>
      <c r="AW42" s="151"/>
      <c r="AX42" s="152"/>
      <c r="AY42" s="151"/>
      <c r="AZ42" s="152"/>
      <c r="BA42" s="151"/>
      <c r="BB42" s="152"/>
      <c r="BC42" s="151"/>
      <c r="BD42" s="152"/>
      <c r="BE42" s="151"/>
      <c r="BF42" s="152"/>
      <c r="BG42" s="151"/>
      <c r="BH42" s="152"/>
      <c r="BI42" s="151"/>
      <c r="BJ42" s="152"/>
      <c r="BK42" s="151">
        <v>58</v>
      </c>
      <c r="BL42" s="152">
        <v>0</v>
      </c>
      <c r="BM42" s="151"/>
      <c r="BN42" s="152"/>
      <c r="BO42" s="151"/>
      <c r="BP42" s="152">
        <v>0</v>
      </c>
      <c r="BQ42" s="151"/>
      <c r="BR42" s="152"/>
      <c r="BS42" s="151"/>
      <c r="BT42" s="152"/>
      <c r="BU42" s="151"/>
      <c r="BV42" s="152"/>
      <c r="BW42" s="151"/>
      <c r="BX42" s="152"/>
      <c r="BY42" s="151"/>
      <c r="BZ42" s="152"/>
      <c r="CA42" s="151"/>
      <c r="CB42" s="152"/>
      <c r="CC42" s="151"/>
      <c r="CD42" s="152"/>
      <c r="CE42" s="151"/>
      <c r="CF42" s="152"/>
      <c r="CG42" s="151"/>
      <c r="CH42" s="152"/>
      <c r="CI42" s="151"/>
      <c r="CJ42" s="152"/>
      <c r="CK42" s="151"/>
      <c r="CL42" s="152"/>
      <c r="CM42" s="151"/>
      <c r="CN42" s="152"/>
      <c r="CO42" s="151"/>
      <c r="CP42" s="152"/>
      <c r="CQ42" s="151"/>
      <c r="CR42" s="152"/>
      <c r="CS42" s="151"/>
      <c r="CT42" s="152"/>
      <c r="CU42" s="151"/>
      <c r="CV42" s="152"/>
      <c r="CW42" s="151"/>
      <c r="CX42" s="152"/>
      <c r="CY42" s="151"/>
      <c r="CZ42" s="152"/>
      <c r="DA42" s="151"/>
      <c r="DB42" s="152"/>
      <c r="DC42" s="151"/>
      <c r="DD42" s="152"/>
      <c r="DE42" s="151"/>
      <c r="DF42" s="152"/>
      <c r="DG42" s="151">
        <v>3229</v>
      </c>
      <c r="DH42" s="152">
        <f>5000+400</f>
        <v>5400</v>
      </c>
      <c r="DI42" s="151"/>
      <c r="DJ42" s="152"/>
      <c r="DK42" s="151"/>
      <c r="DL42" s="152"/>
      <c r="DM42" s="151"/>
      <c r="DN42" s="152"/>
      <c r="DO42" s="151">
        <v>111</v>
      </c>
      <c r="DP42" s="152">
        <v>555</v>
      </c>
      <c r="DQ42" s="151"/>
      <c r="DR42" s="152"/>
      <c r="DS42" s="151"/>
      <c r="DT42" s="152"/>
      <c r="DU42" s="151"/>
      <c r="DV42" s="152"/>
    </row>
    <row r="43" spans="1:126" x14ac:dyDescent="0.2">
      <c r="A43" s="157" t="s">
        <v>189</v>
      </c>
      <c r="B43" s="157" t="s">
        <v>191</v>
      </c>
      <c r="C43" s="158">
        <f t="shared" ref="C43:H43" si="22">SUM(C38:C42)</f>
        <v>95650</v>
      </c>
      <c r="D43" s="159">
        <f t="shared" si="22"/>
        <v>100668</v>
      </c>
      <c r="E43" s="158">
        <f t="shared" si="22"/>
        <v>64008</v>
      </c>
      <c r="F43" s="159">
        <f t="shared" si="22"/>
        <v>83345</v>
      </c>
      <c r="G43" s="158">
        <f t="shared" si="22"/>
        <v>31642</v>
      </c>
      <c r="H43" s="159">
        <f t="shared" si="22"/>
        <v>17323</v>
      </c>
      <c r="I43" s="158"/>
      <c r="J43" s="159"/>
      <c r="K43" s="158">
        <f t="shared" ref="K43:AO43" si="23">SUM(K38:K42)</f>
        <v>4055</v>
      </c>
      <c r="L43" s="159">
        <f t="shared" si="23"/>
        <v>2780</v>
      </c>
      <c r="M43" s="158">
        <f t="shared" si="23"/>
        <v>540</v>
      </c>
      <c r="N43" s="159">
        <f t="shared" si="23"/>
        <v>540</v>
      </c>
      <c r="O43" s="158">
        <f t="shared" si="23"/>
        <v>702</v>
      </c>
      <c r="P43" s="159">
        <f t="shared" si="23"/>
        <v>582</v>
      </c>
      <c r="Q43" s="158">
        <f t="shared" si="23"/>
        <v>185</v>
      </c>
      <c r="R43" s="159">
        <f t="shared" si="23"/>
        <v>346</v>
      </c>
      <c r="S43" s="158">
        <f t="shared" si="23"/>
        <v>0</v>
      </c>
      <c r="T43" s="159">
        <f>SUM(T38:T42)</f>
        <v>1000</v>
      </c>
      <c r="U43" s="158">
        <f t="shared" si="23"/>
        <v>0</v>
      </c>
      <c r="V43" s="159">
        <f>SUM(V38:V42)</f>
        <v>100</v>
      </c>
      <c r="W43" s="158">
        <f t="shared" si="23"/>
        <v>513</v>
      </c>
      <c r="X43" s="159">
        <f t="shared" si="23"/>
        <v>813</v>
      </c>
      <c r="Y43" s="158">
        <f t="shared" si="23"/>
        <v>212</v>
      </c>
      <c r="Z43" s="159">
        <f t="shared" si="23"/>
        <v>212</v>
      </c>
      <c r="AA43" s="158">
        <f t="shared" si="23"/>
        <v>1253</v>
      </c>
      <c r="AB43" s="159">
        <f>SUM(AB38:AB42)</f>
        <v>848</v>
      </c>
      <c r="AC43" s="158">
        <f t="shared" si="23"/>
        <v>108</v>
      </c>
      <c r="AD43" s="159">
        <f>SUM(AD38:AD42)</f>
        <v>108</v>
      </c>
      <c r="AE43" s="158">
        <f t="shared" si="23"/>
        <v>56440</v>
      </c>
      <c r="AF43" s="159">
        <f>SUM(AF38:AF42)</f>
        <v>76016</v>
      </c>
      <c r="AG43" s="158"/>
      <c r="AH43" s="159"/>
      <c r="AI43" s="158">
        <f>SUM(AI38:AI42)</f>
        <v>0</v>
      </c>
      <c r="AJ43" s="159">
        <f>SUM(AJ38:AJ42)</f>
        <v>0</v>
      </c>
      <c r="AK43" s="158">
        <f t="shared" si="23"/>
        <v>0</v>
      </c>
      <c r="AL43" s="159">
        <f>SUM(AL38:AL42)</f>
        <v>0</v>
      </c>
      <c r="AM43" s="158">
        <f t="shared" si="23"/>
        <v>0</v>
      </c>
      <c r="AN43" s="159"/>
      <c r="AO43" s="158">
        <f t="shared" si="23"/>
        <v>850</v>
      </c>
      <c r="AP43" s="159">
        <f>SUM(AP38:AP42)</f>
        <v>1714</v>
      </c>
      <c r="AQ43" s="158">
        <f t="shared" ref="AQ43:DS43" si="24">SUM(AQ38:AQ42)</f>
        <v>270</v>
      </c>
      <c r="AR43" s="159">
        <f>SUM(AR38:AR42)</f>
        <v>770</v>
      </c>
      <c r="AS43" s="158">
        <f t="shared" si="24"/>
        <v>0</v>
      </c>
      <c r="AT43" s="159">
        <f>SUM(AT38:AT42)</f>
        <v>0</v>
      </c>
      <c r="AU43" s="158">
        <f t="shared" si="24"/>
        <v>0</v>
      </c>
      <c r="AV43" s="159">
        <f>SUM(AV38:AV42)</f>
        <v>0</v>
      </c>
      <c r="AW43" s="158">
        <f t="shared" si="24"/>
        <v>0</v>
      </c>
      <c r="AX43" s="159">
        <f>SUM(AX38:AX42)</f>
        <v>0</v>
      </c>
      <c r="AY43" s="158">
        <f t="shared" si="24"/>
        <v>0</v>
      </c>
      <c r="AZ43" s="159">
        <f>SUM(AZ38:AZ42)</f>
        <v>0</v>
      </c>
      <c r="BA43" s="158">
        <f t="shared" si="24"/>
        <v>1276</v>
      </c>
      <c r="BB43" s="159">
        <f>SUM(BB38:BB42)</f>
        <v>1620</v>
      </c>
      <c r="BC43" s="158">
        <f t="shared" si="24"/>
        <v>0</v>
      </c>
      <c r="BD43" s="159">
        <f>SUM(BD38:BD42)</f>
        <v>0</v>
      </c>
      <c r="BE43" s="158">
        <f t="shared" si="24"/>
        <v>194</v>
      </c>
      <c r="BF43" s="159">
        <f>SUM(BF38:BF42)</f>
        <v>389</v>
      </c>
      <c r="BG43" s="158">
        <f t="shared" si="24"/>
        <v>0</v>
      </c>
      <c r="BH43" s="159">
        <f>SUM(BH38:BH42)</f>
        <v>0</v>
      </c>
      <c r="BI43" s="158">
        <f t="shared" si="24"/>
        <v>515</v>
      </c>
      <c r="BJ43" s="159">
        <f>SUM(BJ38:BJ42)</f>
        <v>515</v>
      </c>
      <c r="BK43" s="158">
        <f t="shared" si="24"/>
        <v>500</v>
      </c>
      <c r="BL43" s="159">
        <f>SUM(BL38:BL42)</f>
        <v>0</v>
      </c>
      <c r="BM43" s="158">
        <f t="shared" si="24"/>
        <v>0</v>
      </c>
      <c r="BN43" s="159">
        <f>SUM(BN38:BN42)</f>
        <v>0</v>
      </c>
      <c r="BO43" s="158">
        <f t="shared" si="24"/>
        <v>3189</v>
      </c>
      <c r="BP43" s="159">
        <f>SUM(BP38:BP42)</f>
        <v>4007</v>
      </c>
      <c r="BQ43" s="158">
        <f t="shared" si="24"/>
        <v>0</v>
      </c>
      <c r="BR43" s="159">
        <f>SUM(BR38:BR42)</f>
        <v>0</v>
      </c>
      <c r="BS43" s="158">
        <f t="shared" si="24"/>
        <v>0</v>
      </c>
      <c r="BT43" s="159">
        <f>SUM(BT38:BT42)</f>
        <v>0</v>
      </c>
      <c r="BU43" s="158">
        <f t="shared" si="24"/>
        <v>0</v>
      </c>
      <c r="BV43" s="159">
        <f>SUM(BV38:BV42)</f>
        <v>0</v>
      </c>
      <c r="BW43" s="158">
        <f t="shared" si="24"/>
        <v>0</v>
      </c>
      <c r="BX43" s="159">
        <f>SUM(BX38:BX42)</f>
        <v>0</v>
      </c>
      <c r="BY43" s="158">
        <f t="shared" si="24"/>
        <v>0</v>
      </c>
      <c r="BZ43" s="159">
        <f>SUM(BZ38:BZ42)</f>
        <v>0</v>
      </c>
      <c r="CA43" s="158">
        <f t="shared" si="24"/>
        <v>0</v>
      </c>
      <c r="CB43" s="159">
        <f>SUM(CB38:CB42)</f>
        <v>0</v>
      </c>
      <c r="CC43" s="158">
        <f t="shared" si="24"/>
        <v>0</v>
      </c>
      <c r="CD43" s="159">
        <f>SUM(CD38:CD42)</f>
        <v>0</v>
      </c>
      <c r="CE43" s="158">
        <f>SUM(CE38:CE42)</f>
        <v>0</v>
      </c>
      <c r="CF43" s="159">
        <f>SUM(CF38:CF42)</f>
        <v>0</v>
      </c>
      <c r="CG43" s="158">
        <f t="shared" si="24"/>
        <v>0</v>
      </c>
      <c r="CH43" s="159">
        <f>SUM(CH38:CH42)</f>
        <v>0</v>
      </c>
      <c r="CI43" s="158">
        <f t="shared" si="24"/>
        <v>21224</v>
      </c>
      <c r="CJ43" s="159">
        <f>SUM(CJ38:CJ42)</f>
        <v>0</v>
      </c>
      <c r="CK43" s="158">
        <f t="shared" si="24"/>
        <v>0</v>
      </c>
      <c r="CL43" s="159">
        <f>SUM(CL38:CL42)</f>
        <v>0</v>
      </c>
      <c r="CM43" s="158">
        <f t="shared" si="24"/>
        <v>0</v>
      </c>
      <c r="CN43" s="159">
        <f>SUM(CN38:CN42)</f>
        <v>0</v>
      </c>
      <c r="CO43" s="158">
        <f t="shared" si="24"/>
        <v>0</v>
      </c>
      <c r="CP43" s="159">
        <f>SUM(CP38:CP42)</f>
        <v>0</v>
      </c>
      <c r="CQ43" s="158">
        <f t="shared" si="24"/>
        <v>0</v>
      </c>
      <c r="CR43" s="159">
        <f>SUM(CR38:CR42)</f>
        <v>0</v>
      </c>
      <c r="CS43" s="158">
        <f t="shared" si="24"/>
        <v>0</v>
      </c>
      <c r="CT43" s="159">
        <f>SUM(CT38:CT42)</f>
        <v>138</v>
      </c>
      <c r="CU43" s="158">
        <f t="shared" si="24"/>
        <v>0</v>
      </c>
      <c r="CV43" s="159">
        <f>SUM(CV38:CV42)</f>
        <v>0</v>
      </c>
      <c r="CW43" s="158">
        <f t="shared" si="24"/>
        <v>0</v>
      </c>
      <c r="CX43" s="159">
        <f>SUM(CX38:CX42)</f>
        <v>0</v>
      </c>
      <c r="CY43" s="158">
        <f t="shared" si="24"/>
        <v>0</v>
      </c>
      <c r="CZ43" s="159"/>
      <c r="DA43" s="158">
        <f t="shared" si="24"/>
        <v>0</v>
      </c>
      <c r="DB43" s="159"/>
      <c r="DC43" s="158">
        <f t="shared" si="24"/>
        <v>0</v>
      </c>
      <c r="DD43" s="159">
        <f>SUM(DD38:DD42)</f>
        <v>0</v>
      </c>
      <c r="DE43" s="158">
        <f t="shared" si="24"/>
        <v>0</v>
      </c>
      <c r="DF43" s="159">
        <f>SUM(DF38:DF42)</f>
        <v>0</v>
      </c>
      <c r="DG43" s="158">
        <f t="shared" si="24"/>
        <v>3229</v>
      </c>
      <c r="DH43" s="159">
        <f>SUM(DH38:DH42)</f>
        <v>7520</v>
      </c>
      <c r="DI43" s="158">
        <f t="shared" si="24"/>
        <v>0</v>
      </c>
      <c r="DJ43" s="159">
        <f>SUM(DJ38:DJ42)</f>
        <v>0</v>
      </c>
      <c r="DK43" s="158">
        <f t="shared" si="24"/>
        <v>0</v>
      </c>
      <c r="DL43" s="159">
        <f>SUM(DL38:DL42)</f>
        <v>0</v>
      </c>
      <c r="DM43" s="158">
        <f t="shared" si="24"/>
        <v>95</v>
      </c>
      <c r="DN43" s="159">
        <f>SUM(DN38:DN42)</f>
        <v>0</v>
      </c>
      <c r="DO43" s="158">
        <f t="shared" si="24"/>
        <v>300</v>
      </c>
      <c r="DP43" s="159">
        <f>SUM(DP38:DP42)</f>
        <v>650</v>
      </c>
      <c r="DQ43" s="158">
        <f t="shared" si="24"/>
        <v>0</v>
      </c>
      <c r="DR43" s="159"/>
      <c r="DS43" s="158">
        <f t="shared" si="24"/>
        <v>0</v>
      </c>
      <c r="DT43" s="159">
        <f>SUM(DT38:DT42)</f>
        <v>0</v>
      </c>
      <c r="DU43" s="158"/>
      <c r="DV43" s="159"/>
    </row>
    <row r="44" spans="1:126" x14ac:dyDescent="0.2">
      <c r="A44" s="153" t="s">
        <v>192</v>
      </c>
      <c r="B44" s="153" t="s">
        <v>891</v>
      </c>
      <c r="C44" s="154">
        <f t="shared" ref="C44:H44" si="25">C23+C26+C34+C37+C43</f>
        <v>351300</v>
      </c>
      <c r="D44" s="155">
        <f t="shared" si="25"/>
        <v>318125</v>
      </c>
      <c r="E44" s="154">
        <f t="shared" si="25"/>
        <v>198933</v>
      </c>
      <c r="F44" s="155">
        <f t="shared" si="25"/>
        <v>237557</v>
      </c>
      <c r="G44" s="154">
        <f t="shared" si="25"/>
        <v>152367</v>
      </c>
      <c r="H44" s="155">
        <f t="shared" si="25"/>
        <v>80568</v>
      </c>
      <c r="I44" s="154"/>
      <c r="J44" s="155">
        <f t="shared" ref="J44:AO44" si="26">J23+J26+J34+J37+J43</f>
        <v>0</v>
      </c>
      <c r="K44" s="154">
        <f t="shared" si="26"/>
        <v>12405</v>
      </c>
      <c r="L44" s="155">
        <f t="shared" si="26"/>
        <v>10000</v>
      </c>
      <c r="M44" s="154">
        <f t="shared" si="26"/>
        <v>2540</v>
      </c>
      <c r="N44" s="155">
        <f t="shared" si="26"/>
        <v>2540</v>
      </c>
      <c r="O44" s="154">
        <f t="shared" si="26"/>
        <v>19942</v>
      </c>
      <c r="P44" s="155">
        <f t="shared" si="26"/>
        <v>18518</v>
      </c>
      <c r="Q44" s="154">
        <f t="shared" si="26"/>
        <v>1369</v>
      </c>
      <c r="R44" s="155">
        <f t="shared" si="26"/>
        <v>2077</v>
      </c>
      <c r="S44" s="154">
        <f t="shared" si="26"/>
        <v>0</v>
      </c>
      <c r="T44" s="155">
        <f>T23+T26+T34+T37+T43</f>
        <v>1000</v>
      </c>
      <c r="U44" s="154">
        <f t="shared" si="26"/>
        <v>0</v>
      </c>
      <c r="V44" s="155">
        <f>V23+V26+V34+V37+V43</f>
        <v>100</v>
      </c>
      <c r="W44" s="154">
        <f t="shared" si="26"/>
        <v>2413</v>
      </c>
      <c r="X44" s="155">
        <f t="shared" si="26"/>
        <v>2713</v>
      </c>
      <c r="Y44" s="154">
        <f t="shared" si="26"/>
        <v>1000</v>
      </c>
      <c r="Z44" s="155">
        <f t="shared" si="26"/>
        <v>1000</v>
      </c>
      <c r="AA44" s="154">
        <f t="shared" si="26"/>
        <v>5115</v>
      </c>
      <c r="AB44" s="155">
        <f>AB23+AB26+AB34+AB37+AB43</f>
        <v>3210</v>
      </c>
      <c r="AC44" s="154">
        <f t="shared" si="26"/>
        <v>400</v>
      </c>
      <c r="AD44" s="155">
        <f>AD23+AD26+AD34+AD37+AD43</f>
        <v>400</v>
      </c>
      <c r="AE44" s="154">
        <f t="shared" si="26"/>
        <v>153749</v>
      </c>
      <c r="AF44" s="155">
        <f>AF23+AF26+AF34+AF37+AF43</f>
        <v>195999</v>
      </c>
      <c r="AG44" s="154"/>
      <c r="AH44" s="155">
        <f>AH23+AH26+AH34+AH37+AH43</f>
        <v>0</v>
      </c>
      <c r="AI44" s="154">
        <f>AI23+AI26+AI34+AI37+AI43</f>
        <v>0</v>
      </c>
      <c r="AJ44" s="155">
        <f>AJ23+AJ26+AJ34+AJ37+AJ43</f>
        <v>0</v>
      </c>
      <c r="AK44" s="154">
        <f t="shared" si="26"/>
        <v>3744</v>
      </c>
      <c r="AL44" s="155">
        <f>AL23+AL26+AL34+AL37+AL43</f>
        <v>3744</v>
      </c>
      <c r="AM44" s="154">
        <f t="shared" si="26"/>
        <v>0</v>
      </c>
      <c r="AN44" s="155"/>
      <c r="AO44" s="154">
        <f t="shared" si="26"/>
        <v>4000</v>
      </c>
      <c r="AP44" s="155">
        <f>AP23+AP26+AP34+AP37+AP43</f>
        <v>8061</v>
      </c>
      <c r="AQ44" s="154">
        <f t="shared" ref="AQ44:DS44" si="27">AQ23+AQ26+AQ34+AQ37+AQ43</f>
        <v>1500</v>
      </c>
      <c r="AR44" s="155">
        <f>AR23+AR26+AR34+AR37+AR43</f>
        <v>2000</v>
      </c>
      <c r="AS44" s="154">
        <f t="shared" si="27"/>
        <v>0</v>
      </c>
      <c r="AT44" s="155">
        <f>AT23+AT26+AT34+AT37+AT43</f>
        <v>0</v>
      </c>
      <c r="AU44" s="154">
        <f t="shared" si="27"/>
        <v>0</v>
      </c>
      <c r="AV44" s="155">
        <f>AV23+AV26+AV34+AV37+AV43</f>
        <v>0</v>
      </c>
      <c r="AW44" s="154">
        <f t="shared" si="27"/>
        <v>2811</v>
      </c>
      <c r="AX44" s="155">
        <f>AX23+AX26+AX34+AX37+AX43</f>
        <v>2811</v>
      </c>
      <c r="AY44" s="154">
        <f t="shared" si="27"/>
        <v>1595</v>
      </c>
      <c r="AZ44" s="155">
        <f>AZ23+AZ26+AZ34+AZ37+AZ43</f>
        <v>1595</v>
      </c>
      <c r="BA44" s="154">
        <f t="shared" si="27"/>
        <v>6000</v>
      </c>
      <c r="BB44" s="155">
        <f>BB23+BB26+BB34+BB37+BB43</f>
        <v>7620</v>
      </c>
      <c r="BC44" s="154">
        <f t="shared" si="27"/>
        <v>875</v>
      </c>
      <c r="BD44" s="155">
        <f>BD23+BD26+BD34+BD37+BD43</f>
        <v>1750</v>
      </c>
      <c r="BE44" s="154">
        <f t="shared" si="27"/>
        <v>914</v>
      </c>
      <c r="BF44" s="155">
        <f>BF23+BF26+BF34+BF37+BF43</f>
        <v>1829</v>
      </c>
      <c r="BG44" s="154">
        <f t="shared" si="27"/>
        <v>2400</v>
      </c>
      <c r="BH44" s="155">
        <f>BH23+BH26+BH34+BH37+BH43</f>
        <v>2400</v>
      </c>
      <c r="BI44" s="154">
        <f t="shared" si="27"/>
        <v>2421</v>
      </c>
      <c r="BJ44" s="155">
        <f>BJ23+BJ26+BJ34+BJ37+BJ43</f>
        <v>2421</v>
      </c>
      <c r="BK44" s="154">
        <f t="shared" si="27"/>
        <v>2136</v>
      </c>
      <c r="BL44" s="155">
        <f>BL23+BL26+BL34+BL37+BL43</f>
        <v>0</v>
      </c>
      <c r="BM44" s="154">
        <f t="shared" si="27"/>
        <v>1200</v>
      </c>
      <c r="BN44" s="155">
        <f>BN23+BN26+BN34+BN37+BN43</f>
        <v>1500</v>
      </c>
      <c r="BO44" s="154">
        <f t="shared" si="27"/>
        <v>15000</v>
      </c>
      <c r="BP44" s="155">
        <f>BP23+BP26+BP34+BP37+BP43</f>
        <v>18847</v>
      </c>
      <c r="BQ44" s="154">
        <f t="shared" si="27"/>
        <v>0</v>
      </c>
      <c r="BR44" s="155">
        <f>BR23+BR26+BR34+BR37+BR43</f>
        <v>0</v>
      </c>
      <c r="BS44" s="154">
        <f t="shared" si="27"/>
        <v>0</v>
      </c>
      <c r="BT44" s="155">
        <f>BT23+BT26+BT34+BT37+BT43</f>
        <v>0</v>
      </c>
      <c r="BU44" s="154">
        <f t="shared" si="27"/>
        <v>0</v>
      </c>
      <c r="BV44" s="155">
        <f>BV23+BV26+BV34+BV37+BV43</f>
        <v>0</v>
      </c>
      <c r="BW44" s="154">
        <f t="shared" si="27"/>
        <v>0</v>
      </c>
      <c r="BX44" s="155">
        <f>BX23+BX26+BX34+BX37+BX43</f>
        <v>0</v>
      </c>
      <c r="BY44" s="154">
        <f t="shared" si="27"/>
        <v>0</v>
      </c>
      <c r="BZ44" s="155">
        <f>BZ23+BZ26+BZ34+BZ37+BZ43</f>
        <v>0</v>
      </c>
      <c r="CA44" s="154">
        <f t="shared" si="27"/>
        <v>0</v>
      </c>
      <c r="CB44" s="155">
        <f>CB23+CB26+CB34+CB37+CB43</f>
        <v>0</v>
      </c>
      <c r="CC44" s="154">
        <f t="shared" si="27"/>
        <v>0</v>
      </c>
      <c r="CD44" s="155">
        <f>CD23+CD26+CD34+CD37+CD43</f>
        <v>0</v>
      </c>
      <c r="CE44" s="154">
        <f>CE23+CE26+CE34+CE37+CE43</f>
        <v>0</v>
      </c>
      <c r="CF44" s="155">
        <f>CF23+CF26+CF34+CF37+CF43</f>
        <v>0</v>
      </c>
      <c r="CG44" s="154">
        <f t="shared" si="27"/>
        <v>0</v>
      </c>
      <c r="CH44" s="155">
        <f>CH23+CH26+CH34+CH37+CH43</f>
        <v>0</v>
      </c>
      <c r="CI44" s="154">
        <f t="shared" si="27"/>
        <v>99832</v>
      </c>
      <c r="CJ44" s="155">
        <f>CJ23+CJ26+CJ34+CJ37+CJ43</f>
        <v>0</v>
      </c>
      <c r="CK44" s="154">
        <f t="shared" si="27"/>
        <v>0</v>
      </c>
      <c r="CL44" s="155">
        <f>CL23+CL26+CL34+CL37+CL43</f>
        <v>0</v>
      </c>
      <c r="CM44" s="154">
        <f t="shared" si="27"/>
        <v>0</v>
      </c>
      <c r="CN44" s="155">
        <f>CN23+CN26+CN34+CN37+CN43</f>
        <v>0</v>
      </c>
      <c r="CO44" s="154">
        <f t="shared" si="27"/>
        <v>0</v>
      </c>
      <c r="CP44" s="155">
        <f>CP23+CP26+CP34+CP37+CP43</f>
        <v>0</v>
      </c>
      <c r="CQ44" s="154">
        <f t="shared" si="27"/>
        <v>0</v>
      </c>
      <c r="CR44" s="155">
        <f>CR23+CR26+CR34+CR37+CR43</f>
        <v>0</v>
      </c>
      <c r="CS44" s="154">
        <f t="shared" si="27"/>
        <v>0</v>
      </c>
      <c r="CT44" s="155">
        <f>CT23+CT26+CT34+CT37+CT43</f>
        <v>650</v>
      </c>
      <c r="CU44" s="154">
        <f t="shared" si="27"/>
        <v>0</v>
      </c>
      <c r="CV44" s="155">
        <f>CV23+CV26+CV34+CV37+CV43</f>
        <v>0</v>
      </c>
      <c r="CW44" s="154">
        <f t="shared" si="27"/>
        <v>0</v>
      </c>
      <c r="CX44" s="155">
        <f>CX23+CX26+CX34+CX37+CX43</f>
        <v>0</v>
      </c>
      <c r="CY44" s="154">
        <f t="shared" si="27"/>
        <v>0</v>
      </c>
      <c r="CZ44" s="155"/>
      <c r="DA44" s="154">
        <f t="shared" si="27"/>
        <v>0</v>
      </c>
      <c r="DB44" s="155"/>
      <c r="DC44" s="154">
        <f t="shared" si="27"/>
        <v>1710</v>
      </c>
      <c r="DD44" s="155">
        <f>DD23+DD26+DD34+DD37+DD43</f>
        <v>2470</v>
      </c>
      <c r="DE44" s="154">
        <f t="shared" si="27"/>
        <v>0</v>
      </c>
      <c r="DF44" s="155">
        <f>DF23+DF26+DF34+DF37+DF43</f>
        <v>0</v>
      </c>
      <c r="DG44" s="154">
        <f t="shared" si="27"/>
        <v>3229</v>
      </c>
      <c r="DH44" s="155">
        <f>DH23+DH26+DH34+DH37+DH43</f>
        <v>16870</v>
      </c>
      <c r="DI44" s="154">
        <f t="shared" si="27"/>
        <v>0</v>
      </c>
      <c r="DJ44" s="155">
        <f>DJ23+DJ26+DJ34+DJ37+DJ43</f>
        <v>0</v>
      </c>
      <c r="DK44" s="154">
        <f t="shared" si="27"/>
        <v>0</v>
      </c>
      <c r="DL44" s="155">
        <f>DL23+DL26+DL34+DL37+DL43</f>
        <v>0</v>
      </c>
      <c r="DM44" s="154">
        <f t="shared" si="27"/>
        <v>2000</v>
      </c>
      <c r="DN44" s="155">
        <f>DN23+DN26+DN34+DN37+DN43</f>
        <v>5000</v>
      </c>
      <c r="DO44" s="154">
        <f t="shared" si="27"/>
        <v>1000</v>
      </c>
      <c r="DP44" s="155">
        <f>DP23+DP26+DP34+DP37+DP43</f>
        <v>1000</v>
      </c>
      <c r="DQ44" s="154">
        <f t="shared" si="27"/>
        <v>0</v>
      </c>
      <c r="DR44" s="155"/>
      <c r="DS44" s="154">
        <f t="shared" si="27"/>
        <v>0</v>
      </c>
      <c r="DT44" s="155">
        <f>DT23+DT26+DT34+DT37+DT43</f>
        <v>0</v>
      </c>
      <c r="DU44" s="154"/>
      <c r="DV44" s="155"/>
    </row>
    <row r="45" spans="1:126" x14ac:dyDescent="0.2">
      <c r="A45" s="150" t="s">
        <v>622</v>
      </c>
      <c r="B45" s="150" t="s">
        <v>638</v>
      </c>
      <c r="C45" s="151">
        <f>SUM(I45:DS45)</f>
        <v>0</v>
      </c>
      <c r="D45" s="152">
        <f t="shared" ref="D45:D105" si="28">F45+H45+J45</f>
        <v>0</v>
      </c>
      <c r="E45" s="151">
        <f t="shared" ref="E45:E52" si="29">K45+M45+O44:O45+Q45+S45+U45+W45+Y45+AA45+AC45+AE45+AI45</f>
        <v>0</v>
      </c>
      <c r="F45" s="152">
        <f t="shared" ref="F45:F52" si="30">L45+N45+P44:P45+R45+T45+V45+X45+Z45+AB45+AD45+AF45+AJ45+AH45</f>
        <v>0</v>
      </c>
      <c r="G45" s="151">
        <f t="shared" ref="G45:H52" si="31">AK45+AM45+AO45+AQ45+AS45+AU45+AW45+AY45+BA45+BC45+BE45+BG45+BI45+BK45+BM45+BO45+BQ45+BS45+BU45+BW45+BY45+CA45+CC45+CE45+CG45+CI45+CK45+CM45+CO45+CQ45+CS45+CU45+CW45+DA45+CY45+DC45+DE45+DG45+DI45+DK45+DM45+DO45+DQ45+DS45+DU45</f>
        <v>0</v>
      </c>
      <c r="H45" s="152">
        <f t="shared" si="31"/>
        <v>0</v>
      </c>
      <c r="I45" s="151"/>
      <c r="J45" s="152"/>
      <c r="K45" s="151"/>
      <c r="L45" s="152"/>
      <c r="M45" s="151"/>
      <c r="N45" s="152"/>
      <c r="O45" s="151"/>
      <c r="P45" s="152"/>
      <c r="Q45" s="151"/>
      <c r="R45" s="152"/>
      <c r="S45" s="151"/>
      <c r="T45" s="152"/>
      <c r="U45" s="151"/>
      <c r="V45" s="152"/>
      <c r="W45" s="151"/>
      <c r="X45" s="152"/>
      <c r="Y45" s="151"/>
      <c r="Z45" s="152"/>
      <c r="AA45" s="151"/>
      <c r="AB45" s="152"/>
      <c r="AC45" s="151"/>
      <c r="AD45" s="152"/>
      <c r="AE45" s="151"/>
      <c r="AF45" s="152"/>
      <c r="AG45" s="151"/>
      <c r="AH45" s="152"/>
      <c r="AI45" s="151"/>
      <c r="AJ45" s="152"/>
      <c r="AK45" s="151"/>
      <c r="AL45" s="152"/>
      <c r="AM45" s="151"/>
      <c r="AN45" s="152"/>
      <c r="AO45" s="151"/>
      <c r="AP45" s="152"/>
      <c r="AQ45" s="151"/>
      <c r="AR45" s="152"/>
      <c r="AS45" s="151"/>
      <c r="AT45" s="152"/>
      <c r="AU45" s="151"/>
      <c r="AV45" s="152"/>
      <c r="AW45" s="151"/>
      <c r="AX45" s="152"/>
      <c r="AY45" s="151"/>
      <c r="AZ45" s="152"/>
      <c r="BA45" s="151"/>
      <c r="BB45" s="152"/>
      <c r="BC45" s="151"/>
      <c r="BD45" s="152"/>
      <c r="BE45" s="151"/>
      <c r="BF45" s="152"/>
      <c r="BG45" s="151"/>
      <c r="BH45" s="152"/>
      <c r="BI45" s="151"/>
      <c r="BJ45" s="152"/>
      <c r="BK45" s="151"/>
      <c r="BL45" s="152"/>
      <c r="BM45" s="151"/>
      <c r="BN45" s="152"/>
      <c r="BO45" s="151"/>
      <c r="BP45" s="152"/>
      <c r="BQ45" s="151"/>
      <c r="BR45" s="152"/>
      <c r="BS45" s="151"/>
      <c r="BT45" s="152"/>
      <c r="BU45" s="151"/>
      <c r="BV45" s="152"/>
      <c r="BW45" s="151"/>
      <c r="BX45" s="152"/>
      <c r="BY45" s="151"/>
      <c r="BZ45" s="152"/>
      <c r="CA45" s="151"/>
      <c r="CB45" s="152"/>
      <c r="CC45" s="151"/>
      <c r="CD45" s="152"/>
      <c r="CE45" s="151"/>
      <c r="CF45" s="152"/>
      <c r="CG45" s="151"/>
      <c r="CH45" s="152"/>
      <c r="CI45" s="151"/>
      <c r="CJ45" s="152"/>
      <c r="CK45" s="151"/>
      <c r="CL45" s="152"/>
      <c r="CM45" s="151"/>
      <c r="CN45" s="152"/>
      <c r="CO45" s="151"/>
      <c r="CP45" s="152"/>
      <c r="CQ45" s="151"/>
      <c r="CR45" s="152"/>
      <c r="CS45" s="151"/>
      <c r="CT45" s="152"/>
      <c r="CU45" s="151"/>
      <c r="CV45" s="152"/>
      <c r="CW45" s="151"/>
      <c r="CX45" s="152"/>
      <c r="CY45" s="151"/>
      <c r="CZ45" s="152"/>
      <c r="DA45" s="151"/>
      <c r="DB45" s="152"/>
      <c r="DC45" s="151"/>
      <c r="DD45" s="152"/>
      <c r="DE45" s="151"/>
      <c r="DF45" s="152"/>
      <c r="DG45" s="151"/>
      <c r="DH45" s="152"/>
      <c r="DI45" s="151"/>
      <c r="DJ45" s="152"/>
      <c r="DK45" s="151"/>
      <c r="DL45" s="152"/>
      <c r="DM45" s="151"/>
      <c r="DN45" s="152"/>
      <c r="DO45" s="151"/>
      <c r="DP45" s="152"/>
      <c r="DQ45" s="151"/>
      <c r="DR45" s="152"/>
      <c r="DS45" s="151"/>
      <c r="DT45" s="152"/>
      <c r="DU45" s="151"/>
      <c r="DV45" s="152"/>
    </row>
    <row r="46" spans="1:126" x14ac:dyDescent="0.2">
      <c r="A46" s="150" t="s">
        <v>623</v>
      </c>
      <c r="B46" s="150" t="s">
        <v>639</v>
      </c>
      <c r="C46" s="151">
        <f t="shared" ref="C46:C105" si="32">SUM(I46:DS46)</f>
        <v>2500</v>
      </c>
      <c r="D46" s="152">
        <f t="shared" si="28"/>
        <v>2500</v>
      </c>
      <c r="E46" s="151">
        <f t="shared" si="29"/>
        <v>0</v>
      </c>
      <c r="F46" s="152">
        <f t="shared" si="30"/>
        <v>0</v>
      </c>
      <c r="G46" s="151">
        <f t="shared" si="31"/>
        <v>0</v>
      </c>
      <c r="H46" s="152">
        <f t="shared" si="31"/>
        <v>2500</v>
      </c>
      <c r="I46" s="151"/>
      <c r="J46" s="152"/>
      <c r="K46" s="151"/>
      <c r="L46" s="152"/>
      <c r="M46" s="151"/>
      <c r="N46" s="152"/>
      <c r="O46" s="151"/>
      <c r="P46" s="152"/>
      <c r="Q46" s="151"/>
      <c r="R46" s="152"/>
      <c r="S46" s="151"/>
      <c r="T46" s="152"/>
      <c r="U46" s="151"/>
      <c r="V46" s="152"/>
      <c r="W46" s="151"/>
      <c r="X46" s="152"/>
      <c r="Y46" s="151"/>
      <c r="Z46" s="152"/>
      <c r="AA46" s="151"/>
      <c r="AB46" s="152"/>
      <c r="AC46" s="151"/>
      <c r="AD46" s="152"/>
      <c r="AE46" s="151"/>
      <c r="AF46" s="152"/>
      <c r="AG46" s="151"/>
      <c r="AH46" s="152"/>
      <c r="AI46" s="151"/>
      <c r="AJ46" s="152"/>
      <c r="AK46" s="151"/>
      <c r="AL46" s="152"/>
      <c r="AM46" s="151"/>
      <c r="AN46" s="152"/>
      <c r="AO46" s="151"/>
      <c r="AP46" s="152"/>
      <c r="AQ46" s="151"/>
      <c r="AR46" s="152"/>
      <c r="AS46" s="151"/>
      <c r="AT46" s="152"/>
      <c r="AU46" s="151"/>
      <c r="AV46" s="152"/>
      <c r="AW46" s="151"/>
      <c r="AX46" s="152"/>
      <c r="AY46" s="151"/>
      <c r="AZ46" s="152"/>
      <c r="BA46" s="151"/>
      <c r="BB46" s="152"/>
      <c r="BC46" s="151"/>
      <c r="BD46" s="152"/>
      <c r="BE46" s="151"/>
      <c r="BF46" s="152"/>
      <c r="BG46" s="151"/>
      <c r="BH46" s="152"/>
      <c r="BI46" s="151"/>
      <c r="BJ46" s="152"/>
      <c r="BK46" s="151"/>
      <c r="BL46" s="152"/>
      <c r="BM46" s="151"/>
      <c r="BN46" s="152"/>
      <c r="BO46" s="151"/>
      <c r="BP46" s="152"/>
      <c r="BQ46" s="151"/>
      <c r="BR46" s="152"/>
      <c r="BS46" s="151"/>
      <c r="BT46" s="152"/>
      <c r="BU46" s="151"/>
      <c r="BV46" s="152"/>
      <c r="BW46" s="151"/>
      <c r="BX46" s="152"/>
      <c r="BY46" s="151"/>
      <c r="BZ46" s="152"/>
      <c r="CA46" s="151"/>
      <c r="CB46" s="152"/>
      <c r="CC46" s="151"/>
      <c r="CD46" s="152"/>
      <c r="CE46" s="151"/>
      <c r="CF46" s="152"/>
      <c r="CG46" s="151"/>
      <c r="CH46" s="152"/>
      <c r="CI46" s="151"/>
      <c r="CJ46" s="152"/>
      <c r="CK46" s="151"/>
      <c r="CL46" s="152"/>
      <c r="CM46" s="151"/>
      <c r="CN46" s="152"/>
      <c r="CO46" s="151"/>
      <c r="CP46" s="152"/>
      <c r="CQ46" s="151"/>
      <c r="CR46" s="152"/>
      <c r="CS46" s="151"/>
      <c r="CT46" s="152"/>
      <c r="CU46" s="151"/>
      <c r="CV46" s="152"/>
      <c r="CW46" s="151"/>
      <c r="CX46" s="152"/>
      <c r="CY46" s="151"/>
      <c r="CZ46" s="152"/>
      <c r="DA46" s="151"/>
      <c r="DB46" s="152"/>
      <c r="DC46" s="151"/>
      <c r="DD46" s="152"/>
      <c r="DE46" s="151"/>
      <c r="DF46" s="152">
        <v>2500</v>
      </c>
      <c r="DG46" s="151"/>
      <c r="DH46" s="152"/>
      <c r="DI46" s="151"/>
      <c r="DJ46" s="152"/>
      <c r="DK46" s="151"/>
      <c r="DL46" s="152"/>
      <c r="DM46" s="151"/>
      <c r="DN46" s="152"/>
      <c r="DO46" s="151"/>
      <c r="DP46" s="152"/>
      <c r="DQ46" s="151"/>
      <c r="DR46" s="152"/>
      <c r="DS46" s="151"/>
      <c r="DT46" s="152"/>
      <c r="DU46" s="151"/>
      <c r="DV46" s="152"/>
    </row>
    <row r="47" spans="1:126" x14ac:dyDescent="0.2">
      <c r="A47" s="150" t="s">
        <v>624</v>
      </c>
      <c r="B47" s="150" t="s">
        <v>640</v>
      </c>
      <c r="C47" s="151">
        <f t="shared" si="32"/>
        <v>0</v>
      </c>
      <c r="D47" s="152">
        <f t="shared" si="28"/>
        <v>0</v>
      </c>
      <c r="E47" s="151">
        <f t="shared" si="29"/>
        <v>0</v>
      </c>
      <c r="F47" s="152">
        <f t="shared" si="30"/>
        <v>0</v>
      </c>
      <c r="G47" s="151">
        <f t="shared" si="31"/>
        <v>0</v>
      </c>
      <c r="H47" s="152">
        <f t="shared" si="31"/>
        <v>0</v>
      </c>
      <c r="I47" s="151"/>
      <c r="J47" s="152"/>
      <c r="K47" s="151"/>
      <c r="L47" s="152"/>
      <c r="M47" s="151"/>
      <c r="N47" s="152"/>
      <c r="O47" s="151"/>
      <c r="P47" s="152"/>
      <c r="Q47" s="151"/>
      <c r="R47" s="152"/>
      <c r="S47" s="151"/>
      <c r="T47" s="152"/>
      <c r="U47" s="151"/>
      <c r="V47" s="152"/>
      <c r="W47" s="151"/>
      <c r="X47" s="152"/>
      <c r="Y47" s="151"/>
      <c r="Z47" s="152"/>
      <c r="AA47" s="151"/>
      <c r="AB47" s="152"/>
      <c r="AC47" s="151"/>
      <c r="AD47" s="152"/>
      <c r="AE47" s="151"/>
      <c r="AF47" s="152"/>
      <c r="AG47" s="151"/>
      <c r="AH47" s="152"/>
      <c r="AI47" s="151"/>
      <c r="AJ47" s="152"/>
      <c r="AK47" s="151"/>
      <c r="AL47" s="152"/>
      <c r="AM47" s="151"/>
      <c r="AN47" s="152"/>
      <c r="AO47" s="151"/>
      <c r="AP47" s="152"/>
      <c r="AQ47" s="151"/>
      <c r="AR47" s="152"/>
      <c r="AS47" s="151"/>
      <c r="AT47" s="152"/>
      <c r="AU47" s="151"/>
      <c r="AV47" s="152"/>
      <c r="AW47" s="151"/>
      <c r="AX47" s="152"/>
      <c r="AY47" s="151"/>
      <c r="AZ47" s="152"/>
      <c r="BA47" s="151"/>
      <c r="BB47" s="152"/>
      <c r="BC47" s="151"/>
      <c r="BD47" s="152"/>
      <c r="BE47" s="151"/>
      <c r="BF47" s="152"/>
      <c r="BG47" s="151"/>
      <c r="BH47" s="152"/>
      <c r="BI47" s="151"/>
      <c r="BJ47" s="152"/>
      <c r="BK47" s="151"/>
      <c r="BL47" s="152"/>
      <c r="BM47" s="151"/>
      <c r="BN47" s="152"/>
      <c r="BO47" s="151"/>
      <c r="BP47" s="152"/>
      <c r="BQ47" s="151"/>
      <c r="BR47" s="152"/>
      <c r="BS47" s="151"/>
      <c r="BT47" s="152"/>
      <c r="BU47" s="151"/>
      <c r="BV47" s="152"/>
      <c r="BW47" s="151"/>
      <c r="BX47" s="152"/>
      <c r="BY47" s="151"/>
      <c r="BZ47" s="152"/>
      <c r="CA47" s="151"/>
      <c r="CB47" s="152"/>
      <c r="CC47" s="151"/>
      <c r="CD47" s="152"/>
      <c r="CE47" s="151"/>
      <c r="CF47" s="152"/>
      <c r="CG47" s="151"/>
      <c r="CH47" s="152"/>
      <c r="CI47" s="151"/>
      <c r="CJ47" s="152"/>
      <c r="CK47" s="151"/>
      <c r="CL47" s="152"/>
      <c r="CM47" s="151"/>
      <c r="CN47" s="152"/>
      <c r="CO47" s="151"/>
      <c r="CP47" s="152"/>
      <c r="CQ47" s="151"/>
      <c r="CR47" s="152"/>
      <c r="CS47" s="151"/>
      <c r="CT47" s="152"/>
      <c r="CU47" s="151"/>
      <c r="CV47" s="152"/>
      <c r="CW47" s="151"/>
      <c r="CX47" s="152"/>
      <c r="CY47" s="151"/>
      <c r="CZ47" s="152"/>
      <c r="DA47" s="151"/>
      <c r="DB47" s="152"/>
      <c r="DC47" s="151"/>
      <c r="DD47" s="152"/>
      <c r="DE47" s="151"/>
      <c r="DF47" s="152"/>
      <c r="DG47" s="151"/>
      <c r="DH47" s="152"/>
      <c r="DI47" s="151"/>
      <c r="DJ47" s="152"/>
      <c r="DK47" s="151"/>
      <c r="DL47" s="152"/>
      <c r="DM47" s="151"/>
      <c r="DN47" s="152"/>
      <c r="DO47" s="151"/>
      <c r="DP47" s="152"/>
      <c r="DQ47" s="151"/>
      <c r="DR47" s="152"/>
      <c r="DS47" s="151"/>
      <c r="DT47" s="152"/>
      <c r="DU47" s="151"/>
      <c r="DV47" s="152"/>
    </row>
    <row r="48" spans="1:126" x14ac:dyDescent="0.2">
      <c r="A48" s="150" t="s">
        <v>625</v>
      </c>
      <c r="B48" s="150" t="s">
        <v>892</v>
      </c>
      <c r="C48" s="151">
        <f t="shared" si="32"/>
        <v>12500</v>
      </c>
      <c r="D48" s="152">
        <f t="shared" si="28"/>
        <v>7500</v>
      </c>
      <c r="E48" s="151">
        <f t="shared" si="29"/>
        <v>0</v>
      </c>
      <c r="F48" s="152">
        <f t="shared" si="30"/>
        <v>0</v>
      </c>
      <c r="G48" s="151">
        <f t="shared" si="31"/>
        <v>5000</v>
      </c>
      <c r="H48" s="152">
        <f t="shared" si="31"/>
        <v>7500</v>
      </c>
      <c r="I48" s="151"/>
      <c r="J48" s="152"/>
      <c r="K48" s="151"/>
      <c r="L48" s="152"/>
      <c r="M48" s="151"/>
      <c r="N48" s="152"/>
      <c r="O48" s="151"/>
      <c r="P48" s="152"/>
      <c r="Q48" s="151"/>
      <c r="R48" s="152"/>
      <c r="S48" s="151"/>
      <c r="T48" s="152"/>
      <c r="U48" s="151"/>
      <c r="V48" s="152"/>
      <c r="W48" s="151"/>
      <c r="X48" s="152"/>
      <c r="Y48" s="151"/>
      <c r="Z48" s="152"/>
      <c r="AA48" s="151"/>
      <c r="AB48" s="152"/>
      <c r="AC48" s="151"/>
      <c r="AD48" s="152"/>
      <c r="AE48" s="151"/>
      <c r="AF48" s="152"/>
      <c r="AG48" s="151"/>
      <c r="AH48" s="152"/>
      <c r="AI48" s="151"/>
      <c r="AJ48" s="152"/>
      <c r="AK48" s="151"/>
      <c r="AL48" s="152"/>
      <c r="AM48" s="151"/>
      <c r="AN48" s="152"/>
      <c r="AO48" s="151"/>
      <c r="AP48" s="152"/>
      <c r="AQ48" s="151"/>
      <c r="AR48" s="152"/>
      <c r="AS48" s="151"/>
      <c r="AT48" s="152"/>
      <c r="AU48" s="151"/>
      <c r="AV48" s="152"/>
      <c r="AW48" s="151"/>
      <c r="AX48" s="152"/>
      <c r="AY48" s="151"/>
      <c r="AZ48" s="152"/>
      <c r="BA48" s="151"/>
      <c r="BB48" s="152"/>
      <c r="BC48" s="151"/>
      <c r="BD48" s="152"/>
      <c r="BE48" s="151"/>
      <c r="BF48" s="152"/>
      <c r="BG48" s="151"/>
      <c r="BH48" s="152"/>
      <c r="BI48" s="151"/>
      <c r="BJ48" s="152"/>
      <c r="BK48" s="151"/>
      <c r="BL48" s="152"/>
      <c r="BM48" s="151"/>
      <c r="BN48" s="152"/>
      <c r="BO48" s="151"/>
      <c r="BP48" s="152"/>
      <c r="BQ48" s="151"/>
      <c r="BR48" s="152"/>
      <c r="BS48" s="151"/>
      <c r="BT48" s="152"/>
      <c r="BU48" s="151"/>
      <c r="BV48" s="152"/>
      <c r="BW48" s="151"/>
      <c r="BX48" s="152"/>
      <c r="BY48" s="151"/>
      <c r="BZ48" s="152"/>
      <c r="CA48" s="151"/>
      <c r="CB48" s="152"/>
      <c r="CC48" s="151"/>
      <c r="CD48" s="152"/>
      <c r="CE48" s="151"/>
      <c r="CF48" s="152"/>
      <c r="CG48" s="151"/>
      <c r="CH48" s="152"/>
      <c r="CI48" s="151"/>
      <c r="CJ48" s="152"/>
      <c r="CK48" s="151"/>
      <c r="CL48" s="152"/>
      <c r="CM48" s="151"/>
      <c r="CN48" s="152"/>
      <c r="CO48" s="151"/>
      <c r="CP48" s="152"/>
      <c r="CQ48" s="151"/>
      <c r="CR48" s="152"/>
      <c r="CS48" s="151"/>
      <c r="CT48" s="152"/>
      <c r="CU48" s="151"/>
      <c r="CV48" s="152"/>
      <c r="CW48" s="151"/>
      <c r="CX48" s="152"/>
      <c r="CY48" s="151"/>
      <c r="CZ48" s="152"/>
      <c r="DA48" s="151"/>
      <c r="DB48" s="152"/>
      <c r="DC48" s="151"/>
      <c r="DD48" s="152"/>
      <c r="DE48" s="151">
        <v>5000</v>
      </c>
      <c r="DF48" s="152">
        <f>6000+1500</f>
        <v>7500</v>
      </c>
      <c r="DG48" s="151"/>
      <c r="DH48" s="152"/>
      <c r="DI48" s="151"/>
      <c r="DJ48" s="152"/>
      <c r="DK48" s="151"/>
      <c r="DL48" s="152"/>
      <c r="DM48" s="151"/>
      <c r="DN48" s="152"/>
      <c r="DO48" s="151"/>
      <c r="DP48" s="152"/>
      <c r="DQ48" s="151"/>
      <c r="DR48" s="152"/>
      <c r="DS48" s="151"/>
      <c r="DT48" s="152"/>
      <c r="DU48" s="151"/>
      <c r="DV48" s="152"/>
    </row>
    <row r="49" spans="1:126" x14ac:dyDescent="0.2">
      <c r="A49" s="150" t="s">
        <v>626</v>
      </c>
      <c r="B49" s="150" t="s">
        <v>893</v>
      </c>
      <c r="C49" s="151">
        <f t="shared" si="32"/>
        <v>0</v>
      </c>
      <c r="D49" s="152">
        <f t="shared" si="28"/>
        <v>0</v>
      </c>
      <c r="E49" s="151">
        <f t="shared" si="29"/>
        <v>0</v>
      </c>
      <c r="F49" s="152">
        <f t="shared" si="30"/>
        <v>0</v>
      </c>
      <c r="G49" s="151">
        <f t="shared" si="31"/>
        <v>0</v>
      </c>
      <c r="H49" s="152">
        <f t="shared" si="31"/>
        <v>0</v>
      </c>
      <c r="I49" s="151"/>
      <c r="J49" s="152"/>
      <c r="K49" s="151"/>
      <c r="L49" s="152"/>
      <c r="M49" s="151"/>
      <c r="N49" s="152"/>
      <c r="O49" s="151"/>
      <c r="P49" s="152"/>
      <c r="Q49" s="151"/>
      <c r="R49" s="152"/>
      <c r="S49" s="151"/>
      <c r="T49" s="152"/>
      <c r="U49" s="151"/>
      <c r="V49" s="152"/>
      <c r="W49" s="151"/>
      <c r="X49" s="152"/>
      <c r="Y49" s="151"/>
      <c r="Z49" s="152"/>
      <c r="AA49" s="151"/>
      <c r="AB49" s="152"/>
      <c r="AC49" s="151"/>
      <c r="AD49" s="152"/>
      <c r="AE49" s="151"/>
      <c r="AF49" s="152"/>
      <c r="AG49" s="151"/>
      <c r="AH49" s="152"/>
      <c r="AI49" s="151"/>
      <c r="AJ49" s="152"/>
      <c r="AK49" s="151"/>
      <c r="AL49" s="152"/>
      <c r="AM49" s="151"/>
      <c r="AN49" s="152"/>
      <c r="AO49" s="151"/>
      <c r="AP49" s="152"/>
      <c r="AQ49" s="151"/>
      <c r="AR49" s="152"/>
      <c r="AS49" s="151"/>
      <c r="AT49" s="152"/>
      <c r="AU49" s="151"/>
      <c r="AV49" s="152"/>
      <c r="AW49" s="151"/>
      <c r="AX49" s="152"/>
      <c r="AY49" s="151"/>
      <c r="AZ49" s="152"/>
      <c r="BA49" s="151"/>
      <c r="BB49" s="152"/>
      <c r="BC49" s="151"/>
      <c r="BD49" s="152"/>
      <c r="BE49" s="151"/>
      <c r="BF49" s="152"/>
      <c r="BG49" s="151"/>
      <c r="BH49" s="152"/>
      <c r="BI49" s="151"/>
      <c r="BJ49" s="152"/>
      <c r="BK49" s="151"/>
      <c r="BL49" s="152"/>
      <c r="BM49" s="151"/>
      <c r="BN49" s="152"/>
      <c r="BO49" s="151"/>
      <c r="BP49" s="152"/>
      <c r="BQ49" s="151"/>
      <c r="BR49" s="152"/>
      <c r="BS49" s="151"/>
      <c r="BT49" s="152"/>
      <c r="BU49" s="151"/>
      <c r="BV49" s="152"/>
      <c r="BW49" s="151"/>
      <c r="BX49" s="152"/>
      <c r="BY49" s="151"/>
      <c r="BZ49" s="152"/>
      <c r="CA49" s="151"/>
      <c r="CB49" s="152"/>
      <c r="CC49" s="151"/>
      <c r="CD49" s="152"/>
      <c r="CE49" s="151"/>
      <c r="CF49" s="152"/>
      <c r="CG49" s="151"/>
      <c r="CH49" s="152"/>
      <c r="CI49" s="151"/>
      <c r="CJ49" s="152"/>
      <c r="CK49" s="151"/>
      <c r="CL49" s="152"/>
      <c r="CM49" s="151"/>
      <c r="CN49" s="152"/>
      <c r="CO49" s="151"/>
      <c r="CP49" s="152"/>
      <c r="CQ49" s="151"/>
      <c r="CR49" s="152"/>
      <c r="CS49" s="151"/>
      <c r="CT49" s="152"/>
      <c r="CU49" s="151"/>
      <c r="CV49" s="152"/>
      <c r="CW49" s="151"/>
      <c r="CX49" s="152"/>
      <c r="CY49" s="151"/>
      <c r="CZ49" s="152"/>
      <c r="DA49" s="151"/>
      <c r="DB49" s="152"/>
      <c r="DC49" s="151"/>
      <c r="DD49" s="152"/>
      <c r="DE49" s="151"/>
      <c r="DF49" s="152"/>
      <c r="DG49" s="151"/>
      <c r="DH49" s="152"/>
      <c r="DI49" s="151"/>
      <c r="DJ49" s="152"/>
      <c r="DK49" s="151"/>
      <c r="DL49" s="152"/>
      <c r="DM49" s="151"/>
      <c r="DN49" s="152"/>
      <c r="DO49" s="151"/>
      <c r="DP49" s="152"/>
      <c r="DQ49" s="151"/>
      <c r="DR49" s="152"/>
      <c r="DS49" s="151"/>
      <c r="DT49" s="152"/>
      <c r="DU49" s="151"/>
      <c r="DV49" s="152"/>
    </row>
    <row r="50" spans="1:126" x14ac:dyDescent="0.2">
      <c r="A50" s="150" t="s">
        <v>627</v>
      </c>
      <c r="B50" s="150" t="s">
        <v>643</v>
      </c>
      <c r="C50" s="151">
        <f t="shared" si="32"/>
        <v>8840</v>
      </c>
      <c r="D50" s="152">
        <f t="shared" si="28"/>
        <v>8840</v>
      </c>
      <c r="E50" s="151">
        <f t="shared" si="29"/>
        <v>0</v>
      </c>
      <c r="F50" s="152">
        <f t="shared" si="30"/>
        <v>0</v>
      </c>
      <c r="G50" s="151">
        <f t="shared" si="31"/>
        <v>0</v>
      </c>
      <c r="H50" s="152">
        <f t="shared" si="31"/>
        <v>8840</v>
      </c>
      <c r="I50" s="151"/>
      <c r="J50" s="152"/>
      <c r="K50" s="151"/>
      <c r="L50" s="152"/>
      <c r="M50" s="151"/>
      <c r="N50" s="152"/>
      <c r="O50" s="151"/>
      <c r="P50" s="152"/>
      <c r="Q50" s="151"/>
      <c r="R50" s="152"/>
      <c r="S50" s="151"/>
      <c r="T50" s="152"/>
      <c r="U50" s="151"/>
      <c r="V50" s="152"/>
      <c r="W50" s="151"/>
      <c r="X50" s="152"/>
      <c r="Y50" s="151"/>
      <c r="Z50" s="152"/>
      <c r="AA50" s="151"/>
      <c r="AB50" s="152"/>
      <c r="AC50" s="151"/>
      <c r="AD50" s="152"/>
      <c r="AE50" s="151"/>
      <c r="AF50" s="152"/>
      <c r="AG50" s="151"/>
      <c r="AH50" s="152"/>
      <c r="AI50" s="151"/>
      <c r="AJ50" s="152"/>
      <c r="AK50" s="151"/>
      <c r="AL50" s="152"/>
      <c r="AM50" s="151"/>
      <c r="AN50" s="152"/>
      <c r="AO50" s="151"/>
      <c r="AP50" s="152"/>
      <c r="AQ50" s="151"/>
      <c r="AR50" s="152"/>
      <c r="AS50" s="151"/>
      <c r="AT50" s="152"/>
      <c r="AU50" s="151"/>
      <c r="AV50" s="152"/>
      <c r="AW50" s="151"/>
      <c r="AX50" s="152"/>
      <c r="AY50" s="151"/>
      <c r="AZ50" s="152"/>
      <c r="BA50" s="151"/>
      <c r="BB50" s="152"/>
      <c r="BC50" s="151"/>
      <c r="BD50" s="152"/>
      <c r="BE50" s="151"/>
      <c r="BF50" s="152"/>
      <c r="BG50" s="151"/>
      <c r="BH50" s="152"/>
      <c r="BI50" s="151"/>
      <c r="BJ50" s="152"/>
      <c r="BK50" s="151"/>
      <c r="BL50" s="152"/>
      <c r="BM50" s="151"/>
      <c r="BN50" s="152"/>
      <c r="BO50" s="151"/>
      <c r="BP50" s="152"/>
      <c r="BQ50" s="151"/>
      <c r="BR50" s="152"/>
      <c r="BS50" s="151"/>
      <c r="BT50" s="152"/>
      <c r="BU50" s="151"/>
      <c r="BV50" s="152"/>
      <c r="BW50" s="151"/>
      <c r="BX50" s="152"/>
      <c r="BY50" s="151"/>
      <c r="BZ50" s="152"/>
      <c r="CA50" s="151"/>
      <c r="CB50" s="152"/>
      <c r="CC50" s="151"/>
      <c r="CD50" s="152"/>
      <c r="CE50" s="151"/>
      <c r="CF50" s="152"/>
      <c r="CG50" s="151"/>
      <c r="CH50" s="152"/>
      <c r="CI50" s="151"/>
      <c r="CJ50" s="152"/>
      <c r="CK50" s="151"/>
      <c r="CL50" s="152"/>
      <c r="CM50" s="151"/>
      <c r="CN50" s="152"/>
      <c r="CO50" s="151"/>
      <c r="CP50" s="152"/>
      <c r="CQ50" s="151"/>
      <c r="CR50" s="152"/>
      <c r="CS50" s="151"/>
      <c r="CT50" s="152"/>
      <c r="CU50" s="151"/>
      <c r="CV50" s="152"/>
      <c r="CW50" s="151"/>
      <c r="CX50" s="152"/>
      <c r="CY50" s="151"/>
      <c r="CZ50" s="152"/>
      <c r="DA50" s="151"/>
      <c r="DB50" s="152"/>
      <c r="DC50" s="151"/>
      <c r="DD50" s="152"/>
      <c r="DE50" s="151"/>
      <c r="DF50" s="152">
        <f>6840+2000</f>
        <v>8840</v>
      </c>
      <c r="DG50" s="151"/>
      <c r="DH50" s="152"/>
      <c r="DI50" s="151"/>
      <c r="DJ50" s="152"/>
      <c r="DK50" s="151"/>
      <c r="DL50" s="152"/>
      <c r="DM50" s="151"/>
      <c r="DN50" s="152"/>
      <c r="DO50" s="151"/>
      <c r="DP50" s="152"/>
      <c r="DQ50" s="151"/>
      <c r="DR50" s="152"/>
      <c r="DS50" s="151"/>
      <c r="DT50" s="152"/>
      <c r="DU50" s="151"/>
      <c r="DV50" s="152"/>
    </row>
    <row r="51" spans="1:126" x14ac:dyDescent="0.2">
      <c r="A51" s="150" t="s">
        <v>628</v>
      </c>
      <c r="B51" s="150" t="s">
        <v>644</v>
      </c>
      <c r="C51" s="151">
        <f t="shared" si="32"/>
        <v>0</v>
      </c>
      <c r="D51" s="152">
        <f t="shared" si="28"/>
        <v>0</v>
      </c>
      <c r="E51" s="151">
        <f t="shared" si="29"/>
        <v>0</v>
      </c>
      <c r="F51" s="152">
        <f t="shared" si="30"/>
        <v>0</v>
      </c>
      <c r="G51" s="151">
        <f t="shared" si="31"/>
        <v>0</v>
      </c>
      <c r="H51" s="152">
        <f t="shared" si="31"/>
        <v>0</v>
      </c>
      <c r="I51" s="151"/>
      <c r="J51" s="152"/>
      <c r="K51" s="151"/>
      <c r="L51" s="152"/>
      <c r="M51" s="151"/>
      <c r="N51" s="152"/>
      <c r="O51" s="151"/>
      <c r="P51" s="152"/>
      <c r="Q51" s="151"/>
      <c r="R51" s="152"/>
      <c r="S51" s="151"/>
      <c r="T51" s="152"/>
      <c r="U51" s="151"/>
      <c r="V51" s="152"/>
      <c r="W51" s="151"/>
      <c r="X51" s="152"/>
      <c r="Y51" s="151"/>
      <c r="Z51" s="152"/>
      <c r="AA51" s="151"/>
      <c r="AB51" s="152"/>
      <c r="AC51" s="151"/>
      <c r="AD51" s="152"/>
      <c r="AE51" s="151"/>
      <c r="AF51" s="152"/>
      <c r="AG51" s="151"/>
      <c r="AH51" s="152"/>
      <c r="AI51" s="151"/>
      <c r="AJ51" s="152"/>
      <c r="AK51" s="151"/>
      <c r="AL51" s="152"/>
      <c r="AM51" s="151"/>
      <c r="AN51" s="152"/>
      <c r="AO51" s="151"/>
      <c r="AP51" s="152"/>
      <c r="AQ51" s="151"/>
      <c r="AR51" s="152"/>
      <c r="AS51" s="151"/>
      <c r="AT51" s="152"/>
      <c r="AU51" s="151"/>
      <c r="AV51" s="152"/>
      <c r="AW51" s="151"/>
      <c r="AX51" s="152"/>
      <c r="AY51" s="151"/>
      <c r="AZ51" s="152"/>
      <c r="BA51" s="151"/>
      <c r="BB51" s="152"/>
      <c r="BC51" s="151"/>
      <c r="BD51" s="152"/>
      <c r="BE51" s="151"/>
      <c r="BF51" s="152"/>
      <c r="BG51" s="151"/>
      <c r="BH51" s="152"/>
      <c r="BI51" s="151"/>
      <c r="BJ51" s="152"/>
      <c r="BK51" s="151"/>
      <c r="BL51" s="152"/>
      <c r="BM51" s="151"/>
      <c r="BN51" s="152"/>
      <c r="BO51" s="151"/>
      <c r="BP51" s="152"/>
      <c r="BQ51" s="151"/>
      <c r="BR51" s="152"/>
      <c r="BS51" s="151"/>
      <c r="BT51" s="152"/>
      <c r="BU51" s="151"/>
      <c r="BV51" s="152"/>
      <c r="BW51" s="151"/>
      <c r="BX51" s="152"/>
      <c r="BY51" s="151"/>
      <c r="BZ51" s="152"/>
      <c r="CA51" s="151"/>
      <c r="CB51" s="152"/>
      <c r="CC51" s="151"/>
      <c r="CD51" s="152"/>
      <c r="CE51" s="151"/>
      <c r="CF51" s="152"/>
      <c r="CG51" s="151"/>
      <c r="CH51" s="152"/>
      <c r="CI51" s="151"/>
      <c r="CJ51" s="152"/>
      <c r="CK51" s="151"/>
      <c r="CL51" s="152"/>
      <c r="CM51" s="151"/>
      <c r="CN51" s="152"/>
      <c r="CO51" s="151"/>
      <c r="CP51" s="152"/>
      <c r="CQ51" s="151"/>
      <c r="CR51" s="152"/>
      <c r="CS51" s="151"/>
      <c r="CT51" s="152"/>
      <c r="CU51" s="151"/>
      <c r="CV51" s="152"/>
      <c r="CW51" s="151"/>
      <c r="CX51" s="152"/>
      <c r="CY51" s="151"/>
      <c r="CZ51" s="152"/>
      <c r="DA51" s="151"/>
      <c r="DB51" s="152"/>
      <c r="DC51" s="151"/>
      <c r="DD51" s="152"/>
      <c r="DE51" s="151"/>
      <c r="DF51" s="152"/>
      <c r="DG51" s="151"/>
      <c r="DH51" s="152"/>
      <c r="DI51" s="151"/>
      <c r="DJ51" s="152"/>
      <c r="DK51" s="151"/>
      <c r="DL51" s="152"/>
      <c r="DM51" s="151"/>
      <c r="DN51" s="152"/>
      <c r="DO51" s="151"/>
      <c r="DP51" s="152"/>
      <c r="DQ51" s="151"/>
      <c r="DR51" s="152"/>
      <c r="DS51" s="151"/>
      <c r="DT51" s="152"/>
      <c r="DU51" s="151"/>
      <c r="DV51" s="152"/>
    </row>
    <row r="52" spans="1:126" x14ac:dyDescent="0.2">
      <c r="A52" s="150" t="s">
        <v>629</v>
      </c>
      <c r="B52" s="150" t="s">
        <v>645</v>
      </c>
      <c r="C52" s="151">
        <f t="shared" si="32"/>
        <v>72160</v>
      </c>
      <c r="D52" s="152">
        <f t="shared" si="28"/>
        <v>21160</v>
      </c>
      <c r="E52" s="151">
        <f t="shared" si="29"/>
        <v>24000</v>
      </c>
      <c r="F52" s="152">
        <f t="shared" si="30"/>
        <v>21160</v>
      </c>
      <c r="G52" s="151">
        <f t="shared" si="31"/>
        <v>27000</v>
      </c>
      <c r="H52" s="152">
        <f t="shared" si="31"/>
        <v>0</v>
      </c>
      <c r="I52" s="151"/>
      <c r="J52" s="152"/>
      <c r="K52" s="151"/>
      <c r="L52" s="152"/>
      <c r="M52" s="151"/>
      <c r="N52" s="152"/>
      <c r="O52" s="151"/>
      <c r="P52" s="152"/>
      <c r="Q52" s="151"/>
      <c r="R52" s="152"/>
      <c r="S52" s="151"/>
      <c r="T52" s="152"/>
      <c r="U52" s="151"/>
      <c r="V52" s="152"/>
      <c r="W52" s="151"/>
      <c r="X52" s="152"/>
      <c r="Y52" s="151"/>
      <c r="Z52" s="152"/>
      <c r="AA52" s="151"/>
      <c r="AB52" s="152"/>
      <c r="AC52" s="151"/>
      <c r="AD52" s="152"/>
      <c r="AE52" s="151"/>
      <c r="AF52" s="152"/>
      <c r="AG52" s="151"/>
      <c r="AH52" s="152"/>
      <c r="AI52" s="151">
        <f>23000+1000</f>
        <v>24000</v>
      </c>
      <c r="AJ52" s="152">
        <f>19560+1600</f>
        <v>21160</v>
      </c>
      <c r="AK52" s="151"/>
      <c r="AL52" s="152"/>
      <c r="AM52" s="151"/>
      <c r="AN52" s="152"/>
      <c r="AO52" s="151"/>
      <c r="AP52" s="152"/>
      <c r="AQ52" s="151"/>
      <c r="AR52" s="152"/>
      <c r="AS52" s="151"/>
      <c r="AT52" s="152"/>
      <c r="AU52" s="151"/>
      <c r="AV52" s="152"/>
      <c r="AW52" s="151"/>
      <c r="AX52" s="152"/>
      <c r="AY52" s="151"/>
      <c r="AZ52" s="152"/>
      <c r="BA52" s="151"/>
      <c r="BB52" s="152"/>
      <c r="BC52" s="151"/>
      <c r="BD52" s="152"/>
      <c r="BE52" s="151"/>
      <c r="BF52" s="152"/>
      <c r="BG52" s="151"/>
      <c r="BH52" s="152"/>
      <c r="BI52" s="151"/>
      <c r="BJ52" s="152"/>
      <c r="BK52" s="151"/>
      <c r="BL52" s="152"/>
      <c r="BM52" s="151"/>
      <c r="BN52" s="152"/>
      <c r="BO52" s="151"/>
      <c r="BP52" s="152"/>
      <c r="BQ52" s="151"/>
      <c r="BR52" s="152"/>
      <c r="BS52" s="151"/>
      <c r="BT52" s="152"/>
      <c r="BU52" s="151"/>
      <c r="BV52" s="152"/>
      <c r="BW52" s="151"/>
      <c r="BX52" s="152"/>
      <c r="BY52" s="151"/>
      <c r="BZ52" s="152"/>
      <c r="CA52" s="151"/>
      <c r="CB52" s="152"/>
      <c r="CC52" s="151"/>
      <c r="CD52" s="152"/>
      <c r="CE52" s="151"/>
      <c r="CF52" s="152"/>
      <c r="CG52" s="151"/>
      <c r="CH52" s="152"/>
      <c r="CI52" s="151"/>
      <c r="CJ52" s="152"/>
      <c r="CK52" s="151"/>
      <c r="CL52" s="152"/>
      <c r="CM52" s="151"/>
      <c r="CN52" s="152"/>
      <c r="CO52" s="151"/>
      <c r="CP52" s="152"/>
      <c r="CQ52" s="151"/>
      <c r="CR52" s="152"/>
      <c r="CS52" s="151"/>
      <c r="CT52" s="152"/>
      <c r="CU52" s="151"/>
      <c r="CV52" s="152"/>
      <c r="CW52" s="151"/>
      <c r="CX52" s="152"/>
      <c r="CY52" s="151"/>
      <c r="CZ52" s="152"/>
      <c r="DA52" s="151"/>
      <c r="DB52" s="152"/>
      <c r="DC52" s="151"/>
      <c r="DD52" s="152"/>
      <c r="DE52" s="151">
        <f>9000+4000+12000+2000</f>
        <v>27000</v>
      </c>
      <c r="DF52" s="152"/>
      <c r="DG52" s="151"/>
      <c r="DH52" s="152"/>
      <c r="DI52" s="151"/>
      <c r="DJ52" s="152"/>
      <c r="DK52" s="151"/>
      <c r="DL52" s="152"/>
      <c r="DM52" s="151"/>
      <c r="DN52" s="152"/>
      <c r="DO52" s="151"/>
      <c r="DP52" s="152"/>
      <c r="DQ52" s="151"/>
      <c r="DR52" s="152"/>
      <c r="DS52" s="151"/>
      <c r="DT52" s="152"/>
      <c r="DU52" s="151"/>
      <c r="DV52" s="152"/>
    </row>
    <row r="53" spans="1:126" x14ac:dyDescent="0.2">
      <c r="A53" s="153" t="s">
        <v>620</v>
      </c>
      <c r="B53" s="153" t="s">
        <v>337</v>
      </c>
      <c r="C53" s="154">
        <f t="shared" ref="C53:I53" si="33">SUM(C45:C52)</f>
        <v>96000</v>
      </c>
      <c r="D53" s="155">
        <f t="shared" si="33"/>
        <v>40000</v>
      </c>
      <c r="E53" s="154">
        <f t="shared" si="33"/>
        <v>24000</v>
      </c>
      <c r="F53" s="155">
        <f t="shared" si="33"/>
        <v>21160</v>
      </c>
      <c r="G53" s="154">
        <f t="shared" si="33"/>
        <v>32000</v>
      </c>
      <c r="H53" s="155">
        <f t="shared" si="33"/>
        <v>18840</v>
      </c>
      <c r="I53" s="154">
        <f t="shared" si="33"/>
        <v>0</v>
      </c>
      <c r="J53" s="155">
        <f t="shared" ref="J53:AO53" si="34">SUM(J45:J52)</f>
        <v>0</v>
      </c>
      <c r="K53" s="154">
        <f t="shared" si="34"/>
        <v>0</v>
      </c>
      <c r="L53" s="155">
        <f t="shared" si="34"/>
        <v>0</v>
      </c>
      <c r="M53" s="154">
        <f t="shared" si="34"/>
        <v>0</v>
      </c>
      <c r="N53" s="155">
        <f t="shared" si="34"/>
        <v>0</v>
      </c>
      <c r="O53" s="154">
        <f t="shared" si="34"/>
        <v>0</v>
      </c>
      <c r="P53" s="155">
        <f t="shared" si="34"/>
        <v>0</v>
      </c>
      <c r="Q53" s="154">
        <f t="shared" si="34"/>
        <v>0</v>
      </c>
      <c r="R53" s="155">
        <f t="shared" si="34"/>
        <v>0</v>
      </c>
      <c r="S53" s="154">
        <f t="shared" si="34"/>
        <v>0</v>
      </c>
      <c r="T53" s="155">
        <f>SUM(T45:T52)</f>
        <v>0</v>
      </c>
      <c r="U53" s="154">
        <f t="shared" si="34"/>
        <v>0</v>
      </c>
      <c r="V53" s="155">
        <f>SUM(V45:V52)</f>
        <v>0</v>
      </c>
      <c r="W53" s="154">
        <f t="shared" si="34"/>
        <v>0</v>
      </c>
      <c r="X53" s="155">
        <f t="shared" si="34"/>
        <v>0</v>
      </c>
      <c r="Y53" s="154">
        <f t="shared" si="34"/>
        <v>0</v>
      </c>
      <c r="Z53" s="155">
        <f t="shared" si="34"/>
        <v>0</v>
      </c>
      <c r="AA53" s="154">
        <f t="shared" si="34"/>
        <v>0</v>
      </c>
      <c r="AB53" s="155">
        <f>SUM(AB45:AB52)</f>
        <v>0</v>
      </c>
      <c r="AC53" s="154">
        <f t="shared" si="34"/>
        <v>0</v>
      </c>
      <c r="AD53" s="155">
        <f>SUM(AD45:AD52)</f>
        <v>0</v>
      </c>
      <c r="AE53" s="154">
        <f t="shared" si="34"/>
        <v>0</v>
      </c>
      <c r="AF53" s="155">
        <f>SUM(AF45:AF52)</f>
        <v>0</v>
      </c>
      <c r="AG53" s="154"/>
      <c r="AH53" s="155">
        <f>SUM(AH45:AH52)</f>
        <v>0</v>
      </c>
      <c r="AI53" s="154">
        <f>SUM(AI45:AI52)</f>
        <v>24000</v>
      </c>
      <c r="AJ53" s="155">
        <f>SUM(AJ45:AJ52)</f>
        <v>21160</v>
      </c>
      <c r="AK53" s="154">
        <f t="shared" si="34"/>
        <v>0</v>
      </c>
      <c r="AL53" s="155">
        <f t="shared" si="34"/>
        <v>0</v>
      </c>
      <c r="AM53" s="154">
        <f t="shared" si="34"/>
        <v>0</v>
      </c>
      <c r="AN53" s="155"/>
      <c r="AO53" s="154">
        <f t="shared" si="34"/>
        <v>0</v>
      </c>
      <c r="AP53" s="155">
        <f>SUM(AP45:AP52)</f>
        <v>0</v>
      </c>
      <c r="AQ53" s="154">
        <f t="shared" ref="AQ53:DS53" si="35">SUM(AQ45:AQ52)</f>
        <v>0</v>
      </c>
      <c r="AR53" s="155">
        <f>SUM(AR45:AR52)</f>
        <v>0</v>
      </c>
      <c r="AS53" s="154">
        <f t="shared" si="35"/>
        <v>0</v>
      </c>
      <c r="AT53" s="155">
        <f>SUM(AT45:AT52)</f>
        <v>0</v>
      </c>
      <c r="AU53" s="154">
        <f t="shared" si="35"/>
        <v>0</v>
      </c>
      <c r="AV53" s="155">
        <f>SUM(AV45:AV52)</f>
        <v>0</v>
      </c>
      <c r="AW53" s="154">
        <f t="shared" si="35"/>
        <v>0</v>
      </c>
      <c r="AX53" s="155">
        <f>SUM(AX45:AX52)</f>
        <v>0</v>
      </c>
      <c r="AY53" s="154">
        <f t="shared" si="35"/>
        <v>0</v>
      </c>
      <c r="AZ53" s="155">
        <f>SUM(AZ45:AZ52)</f>
        <v>0</v>
      </c>
      <c r="BA53" s="154">
        <f t="shared" si="35"/>
        <v>0</v>
      </c>
      <c r="BB53" s="155">
        <f>SUM(BB45:BB52)</f>
        <v>0</v>
      </c>
      <c r="BC53" s="154">
        <f t="shared" si="35"/>
        <v>0</v>
      </c>
      <c r="BD53" s="155">
        <f>SUM(BD45:BD52)</f>
        <v>0</v>
      </c>
      <c r="BE53" s="154">
        <f t="shared" si="35"/>
        <v>0</v>
      </c>
      <c r="BF53" s="155">
        <f>SUM(BF45:BF52)</f>
        <v>0</v>
      </c>
      <c r="BG53" s="154">
        <f t="shared" si="35"/>
        <v>0</v>
      </c>
      <c r="BH53" s="155">
        <f>SUM(BH45:BH52)</f>
        <v>0</v>
      </c>
      <c r="BI53" s="154">
        <f t="shared" si="35"/>
        <v>0</v>
      </c>
      <c r="BJ53" s="155">
        <f>SUM(BJ45:BJ52)</f>
        <v>0</v>
      </c>
      <c r="BK53" s="154">
        <f t="shared" si="35"/>
        <v>0</v>
      </c>
      <c r="BL53" s="155">
        <f>SUM(BL45:BL52)</f>
        <v>0</v>
      </c>
      <c r="BM53" s="154">
        <f t="shared" si="35"/>
        <v>0</v>
      </c>
      <c r="BN53" s="155">
        <f>SUM(BN45:BN52)</f>
        <v>0</v>
      </c>
      <c r="BO53" s="154">
        <f t="shared" si="35"/>
        <v>0</v>
      </c>
      <c r="BP53" s="155">
        <f>SUM(BP45:BP52)</f>
        <v>0</v>
      </c>
      <c r="BQ53" s="154">
        <f t="shared" si="35"/>
        <v>0</v>
      </c>
      <c r="BR53" s="155">
        <f>SUM(BR45:BR52)</f>
        <v>0</v>
      </c>
      <c r="BS53" s="154">
        <f t="shared" si="35"/>
        <v>0</v>
      </c>
      <c r="BT53" s="155">
        <f>SUM(BT45:BT52)</f>
        <v>0</v>
      </c>
      <c r="BU53" s="154">
        <f t="shared" si="35"/>
        <v>0</v>
      </c>
      <c r="BV53" s="155">
        <f>SUM(BV45:BV52)</f>
        <v>0</v>
      </c>
      <c r="BW53" s="154">
        <f t="shared" si="35"/>
        <v>0</v>
      </c>
      <c r="BX53" s="155">
        <f>SUM(BX45:BX52)</f>
        <v>0</v>
      </c>
      <c r="BY53" s="154">
        <f t="shared" si="35"/>
        <v>0</v>
      </c>
      <c r="BZ53" s="155">
        <f>SUM(BZ45:BZ52)</f>
        <v>0</v>
      </c>
      <c r="CA53" s="154">
        <f t="shared" si="35"/>
        <v>0</v>
      </c>
      <c r="CB53" s="155">
        <f>SUM(CB45:CB52)</f>
        <v>0</v>
      </c>
      <c r="CC53" s="154">
        <f t="shared" si="35"/>
        <v>0</v>
      </c>
      <c r="CD53" s="155">
        <f>SUM(CD45:CD52)</f>
        <v>0</v>
      </c>
      <c r="CE53" s="154">
        <f>SUM(CE45:CE52)</f>
        <v>0</v>
      </c>
      <c r="CF53" s="155">
        <f>SUM(CF45:CF52)</f>
        <v>0</v>
      </c>
      <c r="CG53" s="154">
        <f t="shared" si="35"/>
        <v>0</v>
      </c>
      <c r="CH53" s="155">
        <f>SUM(CH45:CH52)</f>
        <v>0</v>
      </c>
      <c r="CI53" s="154">
        <f t="shared" si="35"/>
        <v>0</v>
      </c>
      <c r="CJ53" s="155">
        <f>SUM(CJ45:CJ52)</f>
        <v>0</v>
      </c>
      <c r="CK53" s="154">
        <f t="shared" si="35"/>
        <v>0</v>
      </c>
      <c r="CL53" s="155">
        <f>SUM(CL45:CL52)</f>
        <v>0</v>
      </c>
      <c r="CM53" s="154">
        <f t="shared" si="35"/>
        <v>0</v>
      </c>
      <c r="CN53" s="155">
        <f>SUM(CN45:CN52)</f>
        <v>0</v>
      </c>
      <c r="CO53" s="154">
        <f t="shared" si="35"/>
        <v>0</v>
      </c>
      <c r="CP53" s="155">
        <f>SUM(CP45:CP52)</f>
        <v>0</v>
      </c>
      <c r="CQ53" s="154">
        <f t="shared" si="35"/>
        <v>0</v>
      </c>
      <c r="CR53" s="155">
        <f>SUM(CR45:CR52)</f>
        <v>0</v>
      </c>
      <c r="CS53" s="154">
        <f t="shared" si="35"/>
        <v>0</v>
      </c>
      <c r="CT53" s="155">
        <f>SUM(CT45:CT52)</f>
        <v>0</v>
      </c>
      <c r="CU53" s="154">
        <f t="shared" si="35"/>
        <v>0</v>
      </c>
      <c r="CV53" s="155">
        <f>SUM(CV45:CV52)</f>
        <v>0</v>
      </c>
      <c r="CW53" s="154">
        <f t="shared" si="35"/>
        <v>0</v>
      </c>
      <c r="CX53" s="155">
        <f>SUM(CX45:CX52)</f>
        <v>0</v>
      </c>
      <c r="CY53" s="154">
        <f t="shared" si="35"/>
        <v>0</v>
      </c>
      <c r="CZ53" s="155"/>
      <c r="DA53" s="154">
        <f t="shared" si="35"/>
        <v>0</v>
      </c>
      <c r="DB53" s="155"/>
      <c r="DC53" s="154">
        <f t="shared" si="35"/>
        <v>0</v>
      </c>
      <c r="DD53" s="155">
        <f>SUM(DD45:DD52)</f>
        <v>0</v>
      </c>
      <c r="DE53" s="154">
        <f t="shared" si="35"/>
        <v>32000</v>
      </c>
      <c r="DF53" s="155">
        <f>SUM(DF45:DF52)</f>
        <v>18840</v>
      </c>
      <c r="DG53" s="154">
        <f t="shared" si="35"/>
        <v>0</v>
      </c>
      <c r="DH53" s="155">
        <f>SUM(DH45:DH52)</f>
        <v>0</v>
      </c>
      <c r="DI53" s="154">
        <f t="shared" si="35"/>
        <v>0</v>
      </c>
      <c r="DJ53" s="155">
        <f>SUM(DJ45:DJ52)</f>
        <v>0</v>
      </c>
      <c r="DK53" s="154">
        <f t="shared" si="35"/>
        <v>0</v>
      </c>
      <c r="DL53" s="155">
        <f>SUM(DL45:DL52)</f>
        <v>0</v>
      </c>
      <c r="DM53" s="154">
        <f t="shared" si="35"/>
        <v>0</v>
      </c>
      <c r="DN53" s="155">
        <f>SUM(DN45:DN52)</f>
        <v>0</v>
      </c>
      <c r="DO53" s="154">
        <f t="shared" si="35"/>
        <v>0</v>
      </c>
      <c r="DP53" s="155">
        <f>SUM(DP45:DP52)</f>
        <v>0</v>
      </c>
      <c r="DQ53" s="154">
        <f t="shared" si="35"/>
        <v>0</v>
      </c>
      <c r="DR53" s="155"/>
      <c r="DS53" s="154">
        <f t="shared" si="35"/>
        <v>0</v>
      </c>
      <c r="DT53" s="155">
        <f>SUM(DT45:DT52)</f>
        <v>0</v>
      </c>
      <c r="DU53" s="154"/>
      <c r="DV53" s="155"/>
    </row>
    <row r="54" spans="1:126" x14ac:dyDescent="0.2">
      <c r="A54" s="150" t="s">
        <v>894</v>
      </c>
      <c r="B54" s="150" t="s">
        <v>895</v>
      </c>
      <c r="C54" s="151">
        <f t="shared" si="32"/>
        <v>0</v>
      </c>
      <c r="D54" s="152">
        <f t="shared" si="28"/>
        <v>0</v>
      </c>
      <c r="E54" s="151">
        <f t="shared" ref="E54:E65" si="36">K54+M54+O53:O54+Q54+S54+U54+W54+Y54+AA54+AC54+AE54+AI54</f>
        <v>0</v>
      </c>
      <c r="F54" s="152">
        <f t="shared" ref="F54:F65" si="37">L54+N54+P53:P54+R54+T54+V54+X54+Z54+AB54+AD54+AF54+AJ54+AH54</f>
        <v>0</v>
      </c>
      <c r="G54" s="151">
        <f t="shared" ref="G54:H65" si="38">AK54+AM54+AO54+AQ54+AS54+AU54+AW54+AY54+BA54+BC54+BE54+BG54+BI54+BK54+BM54+BO54+BQ54+BS54+BU54+BW54+BY54+CA54+CC54+CE54+CG54+CI54+CK54+CM54+CO54+CQ54+CS54+CU54+CW54+DA54+CY54+DC54+DE54+DG54+DI54+DK54+DM54+DO54+DQ54+DS54+DU54</f>
        <v>0</v>
      </c>
      <c r="H54" s="152">
        <f t="shared" si="38"/>
        <v>0</v>
      </c>
      <c r="I54" s="151"/>
      <c r="J54" s="152"/>
      <c r="K54" s="151"/>
      <c r="L54" s="152"/>
      <c r="M54" s="151"/>
      <c r="N54" s="152"/>
      <c r="O54" s="151"/>
      <c r="P54" s="152"/>
      <c r="Q54" s="151"/>
      <c r="R54" s="152"/>
      <c r="S54" s="151"/>
      <c r="T54" s="152"/>
      <c r="U54" s="151"/>
      <c r="V54" s="152"/>
      <c r="W54" s="151"/>
      <c r="X54" s="152"/>
      <c r="Y54" s="151"/>
      <c r="Z54" s="152"/>
      <c r="AA54" s="151"/>
      <c r="AB54" s="152"/>
      <c r="AC54" s="151"/>
      <c r="AD54" s="152"/>
      <c r="AE54" s="151"/>
      <c r="AF54" s="152"/>
      <c r="AG54" s="151"/>
      <c r="AH54" s="152"/>
      <c r="AI54" s="151"/>
      <c r="AJ54" s="152"/>
      <c r="AK54" s="151"/>
      <c r="AL54" s="152"/>
      <c r="AM54" s="151"/>
      <c r="AN54" s="152"/>
      <c r="AO54" s="151"/>
      <c r="AP54" s="152"/>
      <c r="AQ54" s="151"/>
      <c r="AR54" s="152"/>
      <c r="AS54" s="151"/>
      <c r="AT54" s="152"/>
      <c r="AU54" s="151"/>
      <c r="AV54" s="152"/>
      <c r="AW54" s="151"/>
      <c r="AX54" s="152"/>
      <c r="AY54" s="151"/>
      <c r="AZ54" s="152"/>
      <c r="BA54" s="151"/>
      <c r="BB54" s="152"/>
      <c r="BC54" s="151"/>
      <c r="BD54" s="152"/>
      <c r="BE54" s="151"/>
      <c r="BF54" s="152"/>
      <c r="BG54" s="151"/>
      <c r="BH54" s="152"/>
      <c r="BI54" s="151"/>
      <c r="BJ54" s="152"/>
      <c r="BK54" s="151"/>
      <c r="BL54" s="152"/>
      <c r="BM54" s="151"/>
      <c r="BN54" s="152"/>
      <c r="BO54" s="151"/>
      <c r="BP54" s="152"/>
      <c r="BQ54" s="151"/>
      <c r="BR54" s="152"/>
      <c r="BS54" s="151"/>
      <c r="BT54" s="152"/>
      <c r="BU54" s="151"/>
      <c r="BV54" s="152"/>
      <c r="BW54" s="151"/>
      <c r="BX54" s="152"/>
      <c r="BY54" s="151"/>
      <c r="BZ54" s="152"/>
      <c r="CA54" s="151"/>
      <c r="CB54" s="152"/>
      <c r="CC54" s="151"/>
      <c r="CD54" s="152"/>
      <c r="CE54" s="151"/>
      <c r="CF54" s="152"/>
      <c r="CG54" s="151"/>
      <c r="CH54" s="152"/>
      <c r="CI54" s="151"/>
      <c r="CJ54" s="152"/>
      <c r="CK54" s="151"/>
      <c r="CL54" s="152"/>
      <c r="CM54" s="151"/>
      <c r="CN54" s="152"/>
      <c r="CO54" s="151"/>
      <c r="CP54" s="152"/>
      <c r="CQ54" s="151"/>
      <c r="CR54" s="152"/>
      <c r="CS54" s="151"/>
      <c r="CT54" s="152"/>
      <c r="CU54" s="151"/>
      <c r="CV54" s="152"/>
      <c r="CW54" s="151"/>
      <c r="CX54" s="152"/>
      <c r="CY54" s="151"/>
      <c r="CZ54" s="152"/>
      <c r="DA54" s="151"/>
      <c r="DB54" s="152"/>
      <c r="DC54" s="151"/>
      <c r="DD54" s="152"/>
      <c r="DE54" s="151"/>
      <c r="DF54" s="152"/>
      <c r="DG54" s="151"/>
      <c r="DH54" s="152"/>
      <c r="DI54" s="151"/>
      <c r="DJ54" s="152"/>
      <c r="DK54" s="151"/>
      <c r="DL54" s="152"/>
      <c r="DM54" s="151"/>
      <c r="DN54" s="152"/>
      <c r="DO54" s="151"/>
      <c r="DP54" s="152"/>
      <c r="DQ54" s="151"/>
      <c r="DR54" s="152"/>
      <c r="DS54" s="151"/>
      <c r="DT54" s="152"/>
      <c r="DU54" s="151"/>
      <c r="DV54" s="152"/>
    </row>
    <row r="55" spans="1:126" x14ac:dyDescent="0.2">
      <c r="A55" s="150" t="s">
        <v>896</v>
      </c>
      <c r="B55" s="150" t="s">
        <v>897</v>
      </c>
      <c r="C55" s="151">
        <f t="shared" si="32"/>
        <v>22677</v>
      </c>
      <c r="D55" s="152">
        <f t="shared" si="28"/>
        <v>10000</v>
      </c>
      <c r="E55" s="151">
        <f t="shared" si="36"/>
        <v>12677</v>
      </c>
      <c r="F55" s="152">
        <f t="shared" si="37"/>
        <v>10000</v>
      </c>
      <c r="G55" s="151">
        <f t="shared" si="38"/>
        <v>0</v>
      </c>
      <c r="H55" s="152">
        <f t="shared" si="38"/>
        <v>0</v>
      </c>
      <c r="I55" s="151"/>
      <c r="J55" s="152"/>
      <c r="K55" s="151"/>
      <c r="L55" s="152"/>
      <c r="M55" s="151"/>
      <c r="N55" s="152"/>
      <c r="O55" s="151"/>
      <c r="P55" s="152"/>
      <c r="Q55" s="151"/>
      <c r="R55" s="152"/>
      <c r="S55" s="151"/>
      <c r="T55" s="152"/>
      <c r="U55" s="151"/>
      <c r="V55" s="152"/>
      <c r="W55" s="151"/>
      <c r="X55" s="152"/>
      <c r="Y55" s="151"/>
      <c r="Z55" s="152"/>
      <c r="AA55" s="151"/>
      <c r="AB55" s="152"/>
      <c r="AC55" s="151"/>
      <c r="AD55" s="152"/>
      <c r="AE55" s="151">
        <v>12677</v>
      </c>
      <c r="AF55" s="152">
        <v>10000</v>
      </c>
      <c r="AG55" s="151"/>
      <c r="AH55" s="152">
        <v>0</v>
      </c>
      <c r="AI55" s="151"/>
      <c r="AJ55" s="152"/>
      <c r="AK55" s="151"/>
      <c r="AL55" s="152"/>
      <c r="AM55" s="151"/>
      <c r="AN55" s="152"/>
      <c r="AO55" s="151"/>
      <c r="AP55" s="152"/>
      <c r="AQ55" s="151"/>
      <c r="AR55" s="152"/>
      <c r="AS55" s="151"/>
      <c r="AT55" s="152"/>
      <c r="AU55" s="151"/>
      <c r="AV55" s="152"/>
      <c r="AW55" s="151"/>
      <c r="AX55" s="152"/>
      <c r="AY55" s="151"/>
      <c r="AZ55" s="152"/>
      <c r="BA55" s="151"/>
      <c r="BB55" s="152"/>
      <c r="BC55" s="151"/>
      <c r="BD55" s="152"/>
      <c r="BE55" s="151"/>
      <c r="BF55" s="152"/>
      <c r="BG55" s="151"/>
      <c r="BH55" s="152"/>
      <c r="BI55" s="151"/>
      <c r="BJ55" s="152"/>
      <c r="BK55" s="151"/>
      <c r="BL55" s="152"/>
      <c r="BM55" s="151"/>
      <c r="BN55" s="152"/>
      <c r="BO55" s="151"/>
      <c r="BP55" s="152"/>
      <c r="BQ55" s="151"/>
      <c r="BR55" s="152"/>
      <c r="BS55" s="151"/>
      <c r="BT55" s="152"/>
      <c r="BU55" s="151"/>
      <c r="BV55" s="152"/>
      <c r="BW55" s="151"/>
      <c r="BX55" s="152"/>
      <c r="BY55" s="151"/>
      <c r="BZ55" s="152"/>
      <c r="CA55" s="151"/>
      <c r="CB55" s="152"/>
      <c r="CC55" s="151"/>
      <c r="CD55" s="152"/>
      <c r="CE55" s="151"/>
      <c r="CF55" s="152"/>
      <c r="CG55" s="151"/>
      <c r="CH55" s="152"/>
      <c r="CI55" s="151"/>
      <c r="CJ55" s="152"/>
      <c r="CK55" s="151"/>
      <c r="CL55" s="152"/>
      <c r="CM55" s="151"/>
      <c r="CN55" s="152"/>
      <c r="CO55" s="151"/>
      <c r="CP55" s="152"/>
      <c r="CQ55" s="151"/>
      <c r="CR55" s="152"/>
      <c r="CS55" s="151"/>
      <c r="CT55" s="152"/>
      <c r="CU55" s="151"/>
      <c r="CV55" s="152"/>
      <c r="CW55" s="151"/>
      <c r="CX55" s="152"/>
      <c r="CY55" s="151"/>
      <c r="CZ55" s="152"/>
      <c r="DA55" s="151"/>
      <c r="DB55" s="152"/>
      <c r="DC55" s="151"/>
      <c r="DD55" s="152"/>
      <c r="DE55" s="151"/>
      <c r="DF55" s="152"/>
      <c r="DG55" s="151"/>
      <c r="DH55" s="152"/>
      <c r="DI55" s="151"/>
      <c r="DJ55" s="152"/>
      <c r="DK55" s="151"/>
      <c r="DL55" s="152"/>
      <c r="DM55" s="151"/>
      <c r="DN55" s="152"/>
      <c r="DO55" s="151"/>
      <c r="DP55" s="152"/>
      <c r="DQ55" s="151"/>
      <c r="DR55" s="152"/>
      <c r="DS55" s="151"/>
      <c r="DT55" s="152"/>
      <c r="DU55" s="151"/>
      <c r="DV55" s="152"/>
    </row>
    <row r="56" spans="1:126" x14ac:dyDescent="0.2">
      <c r="A56" s="150" t="s">
        <v>898</v>
      </c>
      <c r="B56" s="160" t="s">
        <v>899</v>
      </c>
      <c r="C56" s="151">
        <f t="shared" si="32"/>
        <v>0</v>
      </c>
      <c r="D56" s="152">
        <f t="shared" si="28"/>
        <v>0</v>
      </c>
      <c r="E56" s="151">
        <f t="shared" si="36"/>
        <v>0</v>
      </c>
      <c r="F56" s="152">
        <f t="shared" si="37"/>
        <v>0</v>
      </c>
      <c r="G56" s="151">
        <f t="shared" si="38"/>
        <v>0</v>
      </c>
      <c r="H56" s="152">
        <f t="shared" si="38"/>
        <v>0</v>
      </c>
      <c r="I56" s="151"/>
      <c r="J56" s="152"/>
      <c r="K56" s="151"/>
      <c r="L56" s="152"/>
      <c r="M56" s="151"/>
      <c r="N56" s="152"/>
      <c r="O56" s="151"/>
      <c r="P56" s="152"/>
      <c r="Q56" s="151"/>
      <c r="R56" s="152"/>
      <c r="S56" s="151"/>
      <c r="T56" s="152"/>
      <c r="U56" s="151"/>
      <c r="V56" s="152"/>
      <c r="W56" s="151"/>
      <c r="X56" s="152"/>
      <c r="Y56" s="151"/>
      <c r="Z56" s="152"/>
      <c r="AA56" s="151"/>
      <c r="AB56" s="152"/>
      <c r="AC56" s="151"/>
      <c r="AD56" s="152"/>
      <c r="AE56" s="151"/>
      <c r="AF56" s="152"/>
      <c r="AG56" s="151"/>
      <c r="AH56" s="152"/>
      <c r="AI56" s="151"/>
      <c r="AJ56" s="152"/>
      <c r="AK56" s="151"/>
      <c r="AL56" s="152"/>
      <c r="AM56" s="151"/>
      <c r="AN56" s="152"/>
      <c r="AO56" s="151"/>
      <c r="AP56" s="152"/>
      <c r="AQ56" s="151"/>
      <c r="AR56" s="152"/>
      <c r="AS56" s="151"/>
      <c r="AT56" s="152"/>
      <c r="AU56" s="151"/>
      <c r="AV56" s="152"/>
      <c r="AW56" s="151"/>
      <c r="AX56" s="152"/>
      <c r="AY56" s="151"/>
      <c r="AZ56" s="152"/>
      <c r="BA56" s="151"/>
      <c r="BB56" s="152"/>
      <c r="BC56" s="151"/>
      <c r="BD56" s="152"/>
      <c r="BE56" s="151"/>
      <c r="BF56" s="152"/>
      <c r="BG56" s="151"/>
      <c r="BH56" s="152"/>
      <c r="BI56" s="151"/>
      <c r="BJ56" s="152"/>
      <c r="BK56" s="151"/>
      <c r="BL56" s="152"/>
      <c r="BM56" s="151"/>
      <c r="BN56" s="152"/>
      <c r="BO56" s="151"/>
      <c r="BP56" s="152"/>
      <c r="BQ56" s="151"/>
      <c r="BR56" s="152"/>
      <c r="BS56" s="151"/>
      <c r="BT56" s="152"/>
      <c r="BU56" s="151"/>
      <c r="BV56" s="152"/>
      <c r="BW56" s="151"/>
      <c r="BX56" s="152"/>
      <c r="BY56" s="151"/>
      <c r="BZ56" s="152"/>
      <c r="CA56" s="151"/>
      <c r="CB56" s="152"/>
      <c r="CC56" s="151"/>
      <c r="CD56" s="152"/>
      <c r="CE56" s="151"/>
      <c r="CF56" s="152"/>
      <c r="CG56" s="151"/>
      <c r="CH56" s="152"/>
      <c r="CI56" s="151"/>
      <c r="CJ56" s="152"/>
      <c r="CK56" s="151"/>
      <c r="CL56" s="152"/>
      <c r="CM56" s="151"/>
      <c r="CN56" s="152"/>
      <c r="CO56" s="151"/>
      <c r="CP56" s="152"/>
      <c r="CQ56" s="151"/>
      <c r="CR56" s="152"/>
      <c r="CS56" s="151"/>
      <c r="CT56" s="152"/>
      <c r="CU56" s="151"/>
      <c r="CV56" s="152"/>
      <c r="CW56" s="151"/>
      <c r="CX56" s="152"/>
      <c r="CY56" s="151"/>
      <c r="CZ56" s="152"/>
      <c r="DA56" s="151"/>
      <c r="DB56" s="152"/>
      <c r="DC56" s="151"/>
      <c r="DD56" s="152"/>
      <c r="DE56" s="151"/>
      <c r="DF56" s="152"/>
      <c r="DG56" s="151"/>
      <c r="DH56" s="152"/>
      <c r="DI56" s="151"/>
      <c r="DJ56" s="152"/>
      <c r="DK56" s="151"/>
      <c r="DL56" s="152"/>
      <c r="DM56" s="151"/>
      <c r="DN56" s="152"/>
      <c r="DO56" s="151"/>
      <c r="DP56" s="152"/>
      <c r="DQ56" s="151"/>
      <c r="DR56" s="152"/>
      <c r="DS56" s="151"/>
      <c r="DT56" s="152"/>
      <c r="DU56" s="151"/>
      <c r="DV56" s="152"/>
    </row>
    <row r="57" spans="1:126" x14ac:dyDescent="0.2">
      <c r="A57" s="150" t="s">
        <v>900</v>
      </c>
      <c r="B57" s="160" t="s">
        <v>901</v>
      </c>
      <c r="C57" s="151">
        <f t="shared" si="32"/>
        <v>0</v>
      </c>
      <c r="D57" s="152">
        <f t="shared" si="28"/>
        <v>0</v>
      </c>
      <c r="E57" s="151">
        <f t="shared" si="36"/>
        <v>0</v>
      </c>
      <c r="F57" s="152">
        <f t="shared" si="37"/>
        <v>0</v>
      </c>
      <c r="G57" s="151">
        <f t="shared" si="38"/>
        <v>0</v>
      </c>
      <c r="H57" s="152">
        <f t="shared" si="38"/>
        <v>0</v>
      </c>
      <c r="I57" s="151"/>
      <c r="J57" s="152"/>
      <c r="K57" s="151"/>
      <c r="L57" s="152"/>
      <c r="M57" s="151"/>
      <c r="N57" s="152"/>
      <c r="O57" s="151"/>
      <c r="P57" s="152"/>
      <c r="Q57" s="151"/>
      <c r="R57" s="152"/>
      <c r="S57" s="151"/>
      <c r="T57" s="152"/>
      <c r="U57" s="151"/>
      <c r="V57" s="152"/>
      <c r="W57" s="151"/>
      <c r="X57" s="152"/>
      <c r="Y57" s="151"/>
      <c r="Z57" s="152"/>
      <c r="AA57" s="151"/>
      <c r="AB57" s="152"/>
      <c r="AC57" s="151"/>
      <c r="AD57" s="152"/>
      <c r="AE57" s="151"/>
      <c r="AF57" s="152"/>
      <c r="AG57" s="151"/>
      <c r="AH57" s="152"/>
      <c r="AI57" s="151"/>
      <c r="AJ57" s="152"/>
      <c r="AK57" s="151"/>
      <c r="AL57" s="152"/>
      <c r="AM57" s="151"/>
      <c r="AN57" s="152"/>
      <c r="AO57" s="151"/>
      <c r="AP57" s="152"/>
      <c r="AQ57" s="151"/>
      <c r="AR57" s="152"/>
      <c r="AS57" s="151"/>
      <c r="AT57" s="152"/>
      <c r="AU57" s="151"/>
      <c r="AV57" s="152"/>
      <c r="AW57" s="151"/>
      <c r="AX57" s="152"/>
      <c r="AY57" s="151"/>
      <c r="AZ57" s="152"/>
      <c r="BA57" s="151"/>
      <c r="BB57" s="152"/>
      <c r="BC57" s="151"/>
      <c r="BD57" s="152"/>
      <c r="BE57" s="151"/>
      <c r="BF57" s="152"/>
      <c r="BG57" s="151"/>
      <c r="BH57" s="152"/>
      <c r="BI57" s="151"/>
      <c r="BJ57" s="152"/>
      <c r="BK57" s="151"/>
      <c r="BL57" s="152"/>
      <c r="BM57" s="151"/>
      <c r="BN57" s="152"/>
      <c r="BO57" s="151"/>
      <c r="BP57" s="152"/>
      <c r="BQ57" s="151"/>
      <c r="BR57" s="152"/>
      <c r="BS57" s="151"/>
      <c r="BT57" s="152"/>
      <c r="BU57" s="151"/>
      <c r="BV57" s="152"/>
      <c r="BW57" s="151"/>
      <c r="BX57" s="152"/>
      <c r="BY57" s="151"/>
      <c r="BZ57" s="152"/>
      <c r="CA57" s="151"/>
      <c r="CB57" s="152"/>
      <c r="CC57" s="151"/>
      <c r="CD57" s="152"/>
      <c r="CE57" s="151"/>
      <c r="CF57" s="152"/>
      <c r="CG57" s="151"/>
      <c r="CH57" s="152"/>
      <c r="CI57" s="151"/>
      <c r="CJ57" s="152"/>
      <c r="CK57" s="151"/>
      <c r="CL57" s="152"/>
      <c r="CM57" s="151"/>
      <c r="CN57" s="152"/>
      <c r="CO57" s="151"/>
      <c r="CP57" s="152"/>
      <c r="CQ57" s="151"/>
      <c r="CR57" s="152"/>
      <c r="CS57" s="151"/>
      <c r="CT57" s="152"/>
      <c r="CU57" s="151"/>
      <c r="CV57" s="152"/>
      <c r="CW57" s="151"/>
      <c r="CX57" s="152"/>
      <c r="CY57" s="151"/>
      <c r="CZ57" s="152"/>
      <c r="DA57" s="151"/>
      <c r="DB57" s="152"/>
      <c r="DC57" s="151"/>
      <c r="DD57" s="152"/>
      <c r="DE57" s="151"/>
      <c r="DF57" s="152"/>
      <c r="DG57" s="151"/>
      <c r="DH57" s="152"/>
      <c r="DI57" s="151"/>
      <c r="DJ57" s="152"/>
      <c r="DK57" s="151"/>
      <c r="DL57" s="152"/>
      <c r="DM57" s="151"/>
      <c r="DN57" s="152"/>
      <c r="DO57" s="151"/>
      <c r="DP57" s="152"/>
      <c r="DQ57" s="151"/>
      <c r="DR57" s="152"/>
      <c r="DS57" s="151"/>
      <c r="DT57" s="152"/>
      <c r="DU57" s="151"/>
      <c r="DV57" s="152"/>
    </row>
    <row r="58" spans="1:126" x14ac:dyDescent="0.2">
      <c r="A58" s="150" t="s">
        <v>902</v>
      </c>
      <c r="B58" s="160" t="s">
        <v>903</v>
      </c>
      <c r="C58" s="151">
        <f t="shared" si="32"/>
        <v>0</v>
      </c>
      <c r="D58" s="152">
        <f t="shared" si="28"/>
        <v>0</v>
      </c>
      <c r="E58" s="151">
        <f t="shared" si="36"/>
        <v>0</v>
      </c>
      <c r="F58" s="152">
        <f t="shared" si="37"/>
        <v>0</v>
      </c>
      <c r="G58" s="151">
        <f t="shared" si="38"/>
        <v>0</v>
      </c>
      <c r="H58" s="152">
        <f t="shared" si="38"/>
        <v>0</v>
      </c>
      <c r="I58" s="151"/>
      <c r="J58" s="152"/>
      <c r="K58" s="151"/>
      <c r="L58" s="152"/>
      <c r="M58" s="151"/>
      <c r="N58" s="152"/>
      <c r="O58" s="151"/>
      <c r="P58" s="152"/>
      <c r="Q58" s="151"/>
      <c r="R58" s="152"/>
      <c r="S58" s="151"/>
      <c r="T58" s="152"/>
      <c r="U58" s="151"/>
      <c r="V58" s="152"/>
      <c r="W58" s="151"/>
      <c r="X58" s="152"/>
      <c r="Y58" s="151"/>
      <c r="Z58" s="152"/>
      <c r="AA58" s="151"/>
      <c r="AB58" s="152"/>
      <c r="AC58" s="151"/>
      <c r="AD58" s="152"/>
      <c r="AE58" s="151"/>
      <c r="AF58" s="152"/>
      <c r="AG58" s="151"/>
      <c r="AH58" s="152"/>
      <c r="AI58" s="151"/>
      <c r="AJ58" s="152"/>
      <c r="AK58" s="151"/>
      <c r="AL58" s="152"/>
      <c r="AM58" s="151"/>
      <c r="AN58" s="152"/>
      <c r="AO58" s="151"/>
      <c r="AP58" s="152"/>
      <c r="AQ58" s="151"/>
      <c r="AR58" s="152"/>
      <c r="AS58" s="151"/>
      <c r="AT58" s="152"/>
      <c r="AU58" s="151"/>
      <c r="AV58" s="152"/>
      <c r="AW58" s="151"/>
      <c r="AX58" s="152"/>
      <c r="AY58" s="151"/>
      <c r="AZ58" s="152"/>
      <c r="BA58" s="151"/>
      <c r="BB58" s="152"/>
      <c r="BC58" s="151"/>
      <c r="BD58" s="152"/>
      <c r="BE58" s="151"/>
      <c r="BF58" s="152"/>
      <c r="BG58" s="151"/>
      <c r="BH58" s="152"/>
      <c r="BI58" s="151"/>
      <c r="BJ58" s="152"/>
      <c r="BK58" s="151"/>
      <c r="BL58" s="152"/>
      <c r="BM58" s="151"/>
      <c r="BN58" s="152"/>
      <c r="BO58" s="151"/>
      <c r="BP58" s="152"/>
      <c r="BQ58" s="151"/>
      <c r="BR58" s="152"/>
      <c r="BS58" s="151"/>
      <c r="BT58" s="152"/>
      <c r="BU58" s="151"/>
      <c r="BV58" s="152"/>
      <c r="BW58" s="151"/>
      <c r="BX58" s="152"/>
      <c r="BY58" s="151"/>
      <c r="BZ58" s="152"/>
      <c r="CA58" s="151"/>
      <c r="CB58" s="152"/>
      <c r="CC58" s="151"/>
      <c r="CD58" s="152"/>
      <c r="CE58" s="151"/>
      <c r="CF58" s="152"/>
      <c r="CG58" s="151"/>
      <c r="CH58" s="152"/>
      <c r="CI58" s="151"/>
      <c r="CJ58" s="152"/>
      <c r="CK58" s="151"/>
      <c r="CL58" s="152"/>
      <c r="CM58" s="151"/>
      <c r="CN58" s="152"/>
      <c r="CO58" s="151"/>
      <c r="CP58" s="152"/>
      <c r="CQ58" s="151"/>
      <c r="CR58" s="152"/>
      <c r="CS58" s="151"/>
      <c r="CT58" s="152"/>
      <c r="CU58" s="151"/>
      <c r="CV58" s="152"/>
      <c r="CW58" s="151"/>
      <c r="CX58" s="152"/>
      <c r="CY58" s="151"/>
      <c r="CZ58" s="152"/>
      <c r="DA58" s="151"/>
      <c r="DB58" s="152"/>
      <c r="DC58" s="151"/>
      <c r="DD58" s="152"/>
      <c r="DE58" s="151"/>
      <c r="DF58" s="152"/>
      <c r="DG58" s="151"/>
      <c r="DH58" s="152"/>
      <c r="DI58" s="151"/>
      <c r="DJ58" s="152"/>
      <c r="DK58" s="151"/>
      <c r="DL58" s="152"/>
      <c r="DM58" s="151"/>
      <c r="DN58" s="152"/>
      <c r="DO58" s="151"/>
      <c r="DP58" s="152"/>
      <c r="DQ58" s="151"/>
      <c r="DR58" s="152"/>
      <c r="DS58" s="151"/>
      <c r="DT58" s="152"/>
      <c r="DU58" s="151"/>
      <c r="DV58" s="152"/>
    </row>
    <row r="59" spans="1:126" x14ac:dyDescent="0.2">
      <c r="A59" s="150" t="s">
        <v>904</v>
      </c>
      <c r="B59" s="160" t="s">
        <v>905</v>
      </c>
      <c r="C59" s="151">
        <f>SUM(I59:DU59)</f>
        <v>74810</v>
      </c>
      <c r="D59" s="152">
        <f t="shared" si="28"/>
        <v>35106</v>
      </c>
      <c r="E59" s="151">
        <f t="shared" si="36"/>
        <v>0</v>
      </c>
      <c r="F59" s="152">
        <f t="shared" si="37"/>
        <v>0</v>
      </c>
      <c r="G59" s="151">
        <f t="shared" si="38"/>
        <v>39904</v>
      </c>
      <c r="H59" s="152">
        <f t="shared" si="38"/>
        <v>35106</v>
      </c>
      <c r="I59" s="151"/>
      <c r="J59" s="152"/>
      <c r="K59" s="151"/>
      <c r="L59" s="152"/>
      <c r="M59" s="151"/>
      <c r="N59" s="152"/>
      <c r="O59" s="151"/>
      <c r="P59" s="152"/>
      <c r="Q59" s="151"/>
      <c r="R59" s="152"/>
      <c r="S59" s="151"/>
      <c r="T59" s="152"/>
      <c r="U59" s="151"/>
      <c r="V59" s="152"/>
      <c r="W59" s="151"/>
      <c r="X59" s="152"/>
      <c r="Y59" s="151"/>
      <c r="Z59" s="152"/>
      <c r="AA59" s="151"/>
      <c r="AB59" s="152"/>
      <c r="AC59" s="151"/>
      <c r="AD59" s="152"/>
      <c r="AE59" s="151"/>
      <c r="AF59" s="152"/>
      <c r="AG59" s="151"/>
      <c r="AH59" s="152"/>
      <c r="AI59" s="151"/>
      <c r="AJ59" s="152"/>
      <c r="AK59" s="151"/>
      <c r="AL59" s="152"/>
      <c r="AM59" s="151"/>
      <c r="AN59" s="152"/>
      <c r="AO59" s="151"/>
      <c r="AP59" s="152"/>
      <c r="AQ59" s="151"/>
      <c r="AR59" s="152"/>
      <c r="AS59" s="151">
        <v>1000</v>
      </c>
      <c r="AT59" s="152">
        <v>2000</v>
      </c>
      <c r="AU59" s="151"/>
      <c r="AV59" s="152"/>
      <c r="AW59" s="151"/>
      <c r="AX59" s="152"/>
      <c r="AY59" s="151"/>
      <c r="AZ59" s="152"/>
      <c r="BA59" s="151"/>
      <c r="BB59" s="152"/>
      <c r="BC59" s="151"/>
      <c r="BD59" s="152"/>
      <c r="BE59" s="151"/>
      <c r="BF59" s="152"/>
      <c r="BG59" s="151"/>
      <c r="BH59" s="152"/>
      <c r="BI59" s="151"/>
      <c r="BJ59" s="152"/>
      <c r="BK59" s="151"/>
      <c r="BL59" s="152"/>
      <c r="BM59" s="151"/>
      <c r="BN59" s="152"/>
      <c r="BO59" s="151"/>
      <c r="BP59" s="152"/>
      <c r="BQ59" s="151">
        <v>11818</v>
      </c>
      <c r="BR59" s="152">
        <v>8163</v>
      </c>
      <c r="BS59" s="151">
        <f>2000</f>
        <v>2000</v>
      </c>
      <c r="BT59" s="152">
        <f>2363+260</f>
        <v>2623</v>
      </c>
      <c r="BU59" s="151">
        <f>14120+5000</f>
        <v>19120</v>
      </c>
      <c r="BV59" s="152">
        <f>14120+5000</f>
        <v>19120</v>
      </c>
      <c r="BW59" s="151">
        <v>2000</v>
      </c>
      <c r="BX59" s="152">
        <v>2000</v>
      </c>
      <c r="BY59" s="151">
        <f>2766+1000</f>
        <v>3766</v>
      </c>
      <c r="BZ59" s="152">
        <f>1000</f>
        <v>1000</v>
      </c>
      <c r="CA59" s="151"/>
      <c r="CB59" s="152"/>
      <c r="CC59" s="151"/>
      <c r="CD59" s="152"/>
      <c r="CE59" s="151"/>
      <c r="CF59" s="152"/>
      <c r="CG59" s="151"/>
      <c r="CH59" s="152"/>
      <c r="CI59" s="151"/>
      <c r="CJ59" s="152"/>
      <c r="CK59" s="151"/>
      <c r="CL59" s="152"/>
      <c r="CM59" s="151"/>
      <c r="CN59" s="152"/>
      <c r="CO59" s="151"/>
      <c r="CP59" s="152"/>
      <c r="CQ59" s="151"/>
      <c r="CR59" s="152"/>
      <c r="CS59" s="151"/>
      <c r="CT59" s="152"/>
      <c r="CU59" s="151"/>
      <c r="CV59" s="152"/>
      <c r="CW59" s="151"/>
      <c r="CX59" s="152"/>
      <c r="CY59" s="151"/>
      <c r="CZ59" s="152"/>
      <c r="DA59" s="151"/>
      <c r="DB59" s="152"/>
      <c r="DC59" s="151"/>
      <c r="DD59" s="152"/>
      <c r="DE59" s="151"/>
      <c r="DF59" s="152"/>
      <c r="DG59" s="151"/>
      <c r="DH59" s="152"/>
      <c r="DI59" s="151"/>
      <c r="DJ59" s="152"/>
      <c r="DK59" s="151"/>
      <c r="DL59" s="152"/>
      <c r="DM59" s="151"/>
      <c r="DN59" s="152"/>
      <c r="DO59" s="151"/>
      <c r="DP59" s="152"/>
      <c r="DQ59" s="151"/>
      <c r="DR59" s="152"/>
      <c r="DS59" s="151"/>
      <c r="DT59" s="152"/>
      <c r="DU59" s="151">
        <v>200</v>
      </c>
      <c r="DV59" s="152">
        <v>200</v>
      </c>
    </row>
    <row r="60" spans="1:126" x14ac:dyDescent="0.2">
      <c r="A60" s="150" t="s">
        <v>906</v>
      </c>
      <c r="B60" s="160" t="s">
        <v>907</v>
      </c>
      <c r="C60" s="151">
        <f t="shared" si="32"/>
        <v>0</v>
      </c>
      <c r="D60" s="152">
        <f t="shared" si="28"/>
        <v>0</v>
      </c>
      <c r="E60" s="151">
        <f t="shared" si="36"/>
        <v>0</v>
      </c>
      <c r="F60" s="152">
        <f t="shared" si="37"/>
        <v>0</v>
      </c>
      <c r="G60" s="151">
        <f t="shared" si="38"/>
        <v>0</v>
      </c>
      <c r="H60" s="152">
        <f t="shared" si="38"/>
        <v>0</v>
      </c>
      <c r="I60" s="151"/>
      <c r="J60" s="152"/>
      <c r="K60" s="151"/>
      <c r="L60" s="152"/>
      <c r="M60" s="151"/>
      <c r="N60" s="152"/>
      <c r="O60" s="151"/>
      <c r="P60" s="152"/>
      <c r="Q60" s="151"/>
      <c r="R60" s="152"/>
      <c r="S60" s="151"/>
      <c r="T60" s="152"/>
      <c r="U60" s="151"/>
      <c r="V60" s="152"/>
      <c r="W60" s="151"/>
      <c r="X60" s="152"/>
      <c r="Y60" s="151"/>
      <c r="Z60" s="152"/>
      <c r="AA60" s="151"/>
      <c r="AB60" s="152"/>
      <c r="AC60" s="151"/>
      <c r="AD60" s="152"/>
      <c r="AE60" s="151"/>
      <c r="AF60" s="152"/>
      <c r="AG60" s="151"/>
      <c r="AH60" s="152"/>
      <c r="AI60" s="151"/>
      <c r="AJ60" s="152"/>
      <c r="AK60" s="151"/>
      <c r="AL60" s="152"/>
      <c r="AM60" s="151"/>
      <c r="AN60" s="152"/>
      <c r="AO60" s="151"/>
      <c r="AP60" s="152"/>
      <c r="AQ60" s="151"/>
      <c r="AR60" s="152"/>
      <c r="AS60" s="151"/>
      <c r="AT60" s="152"/>
      <c r="AU60" s="151"/>
      <c r="AV60" s="152"/>
      <c r="AW60" s="151"/>
      <c r="AX60" s="152"/>
      <c r="AY60" s="151"/>
      <c r="AZ60" s="152"/>
      <c r="BA60" s="151"/>
      <c r="BB60" s="152"/>
      <c r="BC60" s="151"/>
      <c r="BD60" s="152"/>
      <c r="BE60" s="151"/>
      <c r="BF60" s="152"/>
      <c r="BG60" s="151"/>
      <c r="BH60" s="152"/>
      <c r="BI60" s="151"/>
      <c r="BJ60" s="152"/>
      <c r="BK60" s="151"/>
      <c r="BL60" s="152"/>
      <c r="BM60" s="151"/>
      <c r="BN60" s="152"/>
      <c r="BO60" s="151"/>
      <c r="BP60" s="152"/>
      <c r="BQ60" s="151"/>
      <c r="BR60" s="152"/>
      <c r="BS60" s="151"/>
      <c r="BT60" s="152"/>
      <c r="BU60" s="151"/>
      <c r="BV60" s="152"/>
      <c r="BW60" s="151"/>
      <c r="BX60" s="152"/>
      <c r="BY60" s="151"/>
      <c r="BZ60" s="152"/>
      <c r="CA60" s="151"/>
      <c r="CB60" s="152"/>
      <c r="CC60" s="151"/>
      <c r="CD60" s="152"/>
      <c r="CE60" s="151"/>
      <c r="CF60" s="152"/>
      <c r="CG60" s="151"/>
      <c r="CH60" s="152"/>
      <c r="CI60" s="151"/>
      <c r="CJ60" s="152"/>
      <c r="CK60" s="151"/>
      <c r="CL60" s="152"/>
      <c r="CM60" s="151"/>
      <c r="CN60" s="152"/>
      <c r="CO60" s="151"/>
      <c r="CP60" s="152"/>
      <c r="CQ60" s="151"/>
      <c r="CR60" s="152"/>
      <c r="CS60" s="151"/>
      <c r="CT60" s="152"/>
      <c r="CU60" s="151"/>
      <c r="CV60" s="152"/>
      <c r="CW60" s="151"/>
      <c r="CX60" s="152"/>
      <c r="CY60" s="151"/>
      <c r="CZ60" s="152"/>
      <c r="DA60" s="151"/>
      <c r="DB60" s="152"/>
      <c r="DC60" s="151"/>
      <c r="DD60" s="152"/>
      <c r="DE60" s="151"/>
      <c r="DF60" s="152"/>
      <c r="DG60" s="151"/>
      <c r="DH60" s="152"/>
      <c r="DI60" s="151"/>
      <c r="DJ60" s="152"/>
      <c r="DK60" s="151"/>
      <c r="DL60" s="152"/>
      <c r="DM60" s="151"/>
      <c r="DN60" s="152"/>
      <c r="DO60" s="151"/>
      <c r="DP60" s="152"/>
      <c r="DQ60" s="151"/>
      <c r="DR60" s="152"/>
      <c r="DS60" s="151"/>
      <c r="DT60" s="152"/>
      <c r="DU60" s="151"/>
      <c r="DV60" s="152"/>
    </row>
    <row r="61" spans="1:126" x14ac:dyDescent="0.2">
      <c r="A61" s="150" t="s">
        <v>908</v>
      </c>
      <c r="B61" s="160" t="s">
        <v>909</v>
      </c>
      <c r="C61" s="151">
        <f t="shared" si="32"/>
        <v>0</v>
      </c>
      <c r="D61" s="152">
        <f t="shared" si="28"/>
        <v>0</v>
      </c>
      <c r="E61" s="151">
        <f t="shared" si="36"/>
        <v>0</v>
      </c>
      <c r="F61" s="152">
        <f t="shared" si="37"/>
        <v>0</v>
      </c>
      <c r="G61" s="151">
        <f t="shared" si="38"/>
        <v>0</v>
      </c>
      <c r="H61" s="152">
        <f t="shared" si="38"/>
        <v>0</v>
      </c>
      <c r="I61" s="151"/>
      <c r="J61" s="152"/>
      <c r="K61" s="151"/>
      <c r="L61" s="152"/>
      <c r="M61" s="151"/>
      <c r="N61" s="152"/>
      <c r="O61" s="151"/>
      <c r="P61" s="152"/>
      <c r="Q61" s="151"/>
      <c r="R61" s="152"/>
      <c r="S61" s="151"/>
      <c r="T61" s="152"/>
      <c r="U61" s="151"/>
      <c r="V61" s="152"/>
      <c r="W61" s="151"/>
      <c r="X61" s="152"/>
      <c r="Y61" s="151"/>
      <c r="Z61" s="152"/>
      <c r="AA61" s="151"/>
      <c r="AB61" s="152"/>
      <c r="AC61" s="151"/>
      <c r="AD61" s="152"/>
      <c r="AE61" s="151"/>
      <c r="AF61" s="152"/>
      <c r="AG61" s="151"/>
      <c r="AH61" s="152"/>
      <c r="AI61" s="151"/>
      <c r="AJ61" s="152"/>
      <c r="AK61" s="151"/>
      <c r="AL61" s="152"/>
      <c r="AM61" s="151"/>
      <c r="AN61" s="152"/>
      <c r="AO61" s="151"/>
      <c r="AP61" s="152"/>
      <c r="AQ61" s="151"/>
      <c r="AR61" s="152"/>
      <c r="AS61" s="151"/>
      <c r="AT61" s="152"/>
      <c r="AU61" s="151"/>
      <c r="AV61" s="152"/>
      <c r="AW61" s="151"/>
      <c r="AX61" s="152"/>
      <c r="AY61" s="151"/>
      <c r="AZ61" s="152"/>
      <c r="BA61" s="151"/>
      <c r="BB61" s="152"/>
      <c r="BC61" s="151"/>
      <c r="BD61" s="152"/>
      <c r="BE61" s="151"/>
      <c r="BF61" s="152"/>
      <c r="BG61" s="151"/>
      <c r="BH61" s="152"/>
      <c r="BI61" s="151"/>
      <c r="BJ61" s="152"/>
      <c r="BK61" s="151"/>
      <c r="BL61" s="152"/>
      <c r="BM61" s="151"/>
      <c r="BN61" s="152"/>
      <c r="BO61" s="151"/>
      <c r="BP61" s="152"/>
      <c r="BQ61" s="151"/>
      <c r="BR61" s="152"/>
      <c r="BS61" s="151"/>
      <c r="BT61" s="152"/>
      <c r="BU61" s="151"/>
      <c r="BV61" s="152"/>
      <c r="BW61" s="151"/>
      <c r="BX61" s="152"/>
      <c r="BY61" s="151"/>
      <c r="BZ61" s="152"/>
      <c r="CA61" s="151"/>
      <c r="CB61" s="152"/>
      <c r="CC61" s="151"/>
      <c r="CD61" s="152"/>
      <c r="CE61" s="151"/>
      <c r="CF61" s="152"/>
      <c r="CG61" s="151"/>
      <c r="CH61" s="152"/>
      <c r="CI61" s="151"/>
      <c r="CJ61" s="152"/>
      <c r="CK61" s="151"/>
      <c r="CL61" s="152"/>
      <c r="CM61" s="151"/>
      <c r="CN61" s="152"/>
      <c r="CO61" s="151"/>
      <c r="CP61" s="152"/>
      <c r="CQ61" s="151"/>
      <c r="CR61" s="152"/>
      <c r="CS61" s="151"/>
      <c r="CT61" s="152"/>
      <c r="CU61" s="151"/>
      <c r="CV61" s="152"/>
      <c r="CW61" s="151"/>
      <c r="CX61" s="152"/>
      <c r="CY61" s="151"/>
      <c r="CZ61" s="152"/>
      <c r="DA61" s="151"/>
      <c r="DB61" s="152"/>
      <c r="DC61" s="151"/>
      <c r="DD61" s="152"/>
      <c r="DE61" s="151"/>
      <c r="DF61" s="152"/>
      <c r="DG61" s="151"/>
      <c r="DH61" s="152"/>
      <c r="DI61" s="151"/>
      <c r="DJ61" s="152"/>
      <c r="DK61" s="151"/>
      <c r="DL61" s="152"/>
      <c r="DM61" s="151"/>
      <c r="DN61" s="152"/>
      <c r="DO61" s="151"/>
      <c r="DP61" s="152"/>
      <c r="DQ61" s="151"/>
      <c r="DR61" s="152"/>
      <c r="DS61" s="151"/>
      <c r="DT61" s="152"/>
      <c r="DU61" s="151"/>
      <c r="DV61" s="152"/>
    </row>
    <row r="62" spans="1:126" x14ac:dyDescent="0.2">
      <c r="A62" s="150" t="s">
        <v>910</v>
      </c>
      <c r="B62" s="150" t="s">
        <v>911</v>
      </c>
      <c r="C62" s="151">
        <f t="shared" si="32"/>
        <v>0</v>
      </c>
      <c r="D62" s="152">
        <f t="shared" si="28"/>
        <v>0</v>
      </c>
      <c r="E62" s="151">
        <f t="shared" si="36"/>
        <v>0</v>
      </c>
      <c r="F62" s="152">
        <f t="shared" si="37"/>
        <v>0</v>
      </c>
      <c r="G62" s="151">
        <f t="shared" si="38"/>
        <v>0</v>
      </c>
      <c r="H62" s="152">
        <f t="shared" si="38"/>
        <v>0</v>
      </c>
      <c r="I62" s="151"/>
      <c r="J62" s="152"/>
      <c r="K62" s="151"/>
      <c r="L62" s="152"/>
      <c r="M62" s="151"/>
      <c r="N62" s="152"/>
      <c r="O62" s="151"/>
      <c r="P62" s="152"/>
      <c r="Q62" s="151"/>
      <c r="R62" s="152"/>
      <c r="S62" s="151"/>
      <c r="T62" s="152"/>
      <c r="U62" s="151"/>
      <c r="V62" s="152"/>
      <c r="W62" s="151"/>
      <c r="X62" s="152"/>
      <c r="Y62" s="151"/>
      <c r="Z62" s="152"/>
      <c r="AA62" s="151"/>
      <c r="AB62" s="152"/>
      <c r="AC62" s="151"/>
      <c r="AD62" s="152"/>
      <c r="AE62" s="151"/>
      <c r="AF62" s="152"/>
      <c r="AG62" s="151"/>
      <c r="AH62" s="152"/>
      <c r="AI62" s="151"/>
      <c r="AJ62" s="152"/>
      <c r="AK62" s="151"/>
      <c r="AL62" s="152"/>
      <c r="AM62" s="151"/>
      <c r="AN62" s="152"/>
      <c r="AO62" s="151"/>
      <c r="AP62" s="152"/>
      <c r="AQ62" s="151"/>
      <c r="AR62" s="152"/>
      <c r="AS62" s="151"/>
      <c r="AT62" s="152"/>
      <c r="AU62" s="151"/>
      <c r="AV62" s="152"/>
      <c r="AW62" s="151"/>
      <c r="AX62" s="152"/>
      <c r="AY62" s="151"/>
      <c r="AZ62" s="152"/>
      <c r="BA62" s="151"/>
      <c r="BB62" s="152"/>
      <c r="BC62" s="151"/>
      <c r="BD62" s="152"/>
      <c r="BE62" s="151"/>
      <c r="BF62" s="152"/>
      <c r="BG62" s="151"/>
      <c r="BH62" s="152"/>
      <c r="BI62" s="151"/>
      <c r="BJ62" s="152"/>
      <c r="BK62" s="151"/>
      <c r="BL62" s="152"/>
      <c r="BM62" s="151"/>
      <c r="BN62" s="152"/>
      <c r="BO62" s="151"/>
      <c r="BP62" s="152"/>
      <c r="BQ62" s="151"/>
      <c r="BR62" s="152"/>
      <c r="BS62" s="151"/>
      <c r="BT62" s="152"/>
      <c r="BU62" s="151"/>
      <c r="BV62" s="152"/>
      <c r="BW62" s="151"/>
      <c r="BX62" s="152"/>
      <c r="BY62" s="151"/>
      <c r="BZ62" s="152"/>
      <c r="CA62" s="151"/>
      <c r="CB62" s="152"/>
      <c r="CC62" s="151"/>
      <c r="CD62" s="152"/>
      <c r="CE62" s="151"/>
      <c r="CF62" s="152"/>
      <c r="CG62" s="151"/>
      <c r="CH62" s="152"/>
      <c r="CI62" s="151"/>
      <c r="CJ62" s="152"/>
      <c r="CK62" s="151"/>
      <c r="CL62" s="152"/>
      <c r="CM62" s="151"/>
      <c r="CN62" s="152"/>
      <c r="CO62" s="151"/>
      <c r="CP62" s="152"/>
      <c r="CQ62" s="151"/>
      <c r="CR62" s="152"/>
      <c r="CS62" s="151"/>
      <c r="CT62" s="152"/>
      <c r="CU62" s="151"/>
      <c r="CV62" s="152"/>
      <c r="CW62" s="151"/>
      <c r="CX62" s="152"/>
      <c r="CY62" s="151"/>
      <c r="CZ62" s="152"/>
      <c r="DA62" s="151"/>
      <c r="DB62" s="152"/>
      <c r="DC62" s="151"/>
      <c r="DD62" s="152"/>
      <c r="DE62" s="151"/>
      <c r="DF62" s="152"/>
      <c r="DG62" s="151"/>
      <c r="DH62" s="152"/>
      <c r="DI62" s="151"/>
      <c r="DJ62" s="152"/>
      <c r="DK62" s="151"/>
      <c r="DL62" s="152"/>
      <c r="DM62" s="151"/>
      <c r="DN62" s="152"/>
      <c r="DO62" s="151"/>
      <c r="DP62" s="152"/>
      <c r="DQ62" s="151"/>
      <c r="DR62" s="152"/>
      <c r="DS62" s="151"/>
      <c r="DT62" s="152"/>
      <c r="DU62" s="151"/>
      <c r="DV62" s="152"/>
    </row>
    <row r="63" spans="1:126" x14ac:dyDescent="0.2">
      <c r="A63" s="150" t="s">
        <v>912</v>
      </c>
      <c r="B63" s="150" t="s">
        <v>913</v>
      </c>
      <c r="C63" s="151">
        <f t="shared" si="32"/>
        <v>0</v>
      </c>
      <c r="D63" s="152">
        <f t="shared" si="28"/>
        <v>0</v>
      </c>
      <c r="E63" s="151">
        <f t="shared" si="36"/>
        <v>0</v>
      </c>
      <c r="F63" s="152">
        <f t="shared" si="37"/>
        <v>0</v>
      </c>
      <c r="G63" s="151">
        <f t="shared" si="38"/>
        <v>0</v>
      </c>
      <c r="H63" s="152">
        <f t="shared" si="38"/>
        <v>0</v>
      </c>
      <c r="I63" s="151"/>
      <c r="J63" s="152"/>
      <c r="K63" s="151"/>
      <c r="L63" s="152"/>
      <c r="M63" s="151"/>
      <c r="N63" s="152"/>
      <c r="O63" s="151"/>
      <c r="P63" s="152"/>
      <c r="Q63" s="151"/>
      <c r="R63" s="152"/>
      <c r="S63" s="151"/>
      <c r="T63" s="152"/>
      <c r="U63" s="151"/>
      <c r="V63" s="152"/>
      <c r="W63" s="151"/>
      <c r="X63" s="152"/>
      <c r="Y63" s="151"/>
      <c r="Z63" s="152"/>
      <c r="AA63" s="151"/>
      <c r="AB63" s="152"/>
      <c r="AC63" s="151"/>
      <c r="AD63" s="152"/>
      <c r="AE63" s="151"/>
      <c r="AF63" s="152"/>
      <c r="AG63" s="151"/>
      <c r="AH63" s="152"/>
      <c r="AI63" s="151"/>
      <c r="AJ63" s="152"/>
      <c r="AK63" s="151"/>
      <c r="AL63" s="152"/>
      <c r="AM63" s="151"/>
      <c r="AN63" s="152"/>
      <c r="AO63" s="151"/>
      <c r="AP63" s="152"/>
      <c r="AQ63" s="151"/>
      <c r="AR63" s="152"/>
      <c r="AS63" s="151"/>
      <c r="AT63" s="152"/>
      <c r="AU63" s="151"/>
      <c r="AV63" s="152"/>
      <c r="AW63" s="151"/>
      <c r="AX63" s="152"/>
      <c r="AY63" s="151"/>
      <c r="AZ63" s="152"/>
      <c r="BA63" s="151"/>
      <c r="BB63" s="152"/>
      <c r="BC63" s="151"/>
      <c r="BD63" s="152"/>
      <c r="BE63" s="151"/>
      <c r="BF63" s="152"/>
      <c r="BG63" s="151"/>
      <c r="BH63" s="152"/>
      <c r="BI63" s="151"/>
      <c r="BJ63" s="152"/>
      <c r="BK63" s="151"/>
      <c r="BL63" s="152"/>
      <c r="BM63" s="151"/>
      <c r="BN63" s="152"/>
      <c r="BO63" s="151"/>
      <c r="BP63" s="152"/>
      <c r="BQ63" s="151"/>
      <c r="BR63" s="152"/>
      <c r="BS63" s="151"/>
      <c r="BT63" s="152"/>
      <c r="BU63" s="151"/>
      <c r="BV63" s="152"/>
      <c r="BW63" s="151"/>
      <c r="BX63" s="152"/>
      <c r="BY63" s="151"/>
      <c r="BZ63" s="152"/>
      <c r="CA63" s="151"/>
      <c r="CB63" s="152"/>
      <c r="CC63" s="151"/>
      <c r="CD63" s="152"/>
      <c r="CE63" s="151"/>
      <c r="CF63" s="152"/>
      <c r="CG63" s="151"/>
      <c r="CH63" s="152"/>
      <c r="CI63" s="151"/>
      <c r="CJ63" s="152"/>
      <c r="CK63" s="151"/>
      <c r="CL63" s="152"/>
      <c r="CM63" s="151"/>
      <c r="CN63" s="152"/>
      <c r="CO63" s="151"/>
      <c r="CP63" s="152"/>
      <c r="CQ63" s="151"/>
      <c r="CR63" s="152"/>
      <c r="CS63" s="151"/>
      <c r="CT63" s="152"/>
      <c r="CU63" s="151"/>
      <c r="CV63" s="152"/>
      <c r="CW63" s="151"/>
      <c r="CX63" s="152"/>
      <c r="CY63" s="151"/>
      <c r="CZ63" s="152"/>
      <c r="DA63" s="151"/>
      <c r="DB63" s="152"/>
      <c r="DC63" s="151"/>
      <c r="DD63" s="152"/>
      <c r="DE63" s="151"/>
      <c r="DF63" s="152"/>
      <c r="DG63" s="151"/>
      <c r="DH63" s="152"/>
      <c r="DI63" s="151"/>
      <c r="DJ63" s="152"/>
      <c r="DK63" s="151"/>
      <c r="DL63" s="152"/>
      <c r="DM63" s="151"/>
      <c r="DN63" s="152"/>
      <c r="DO63" s="151"/>
      <c r="DP63" s="152"/>
      <c r="DQ63" s="151"/>
      <c r="DR63" s="152"/>
      <c r="DS63" s="151"/>
      <c r="DT63" s="152"/>
      <c r="DU63" s="151"/>
      <c r="DV63" s="152"/>
    </row>
    <row r="64" spans="1:126" x14ac:dyDescent="0.2">
      <c r="A64" s="150" t="s">
        <v>914</v>
      </c>
      <c r="B64" s="150" t="s">
        <v>915</v>
      </c>
      <c r="C64" s="151">
        <f t="shared" si="32"/>
        <v>537607</v>
      </c>
      <c r="D64" s="152">
        <f t="shared" si="28"/>
        <v>289756</v>
      </c>
      <c r="E64" s="151">
        <f t="shared" si="36"/>
        <v>0</v>
      </c>
      <c r="F64" s="152">
        <f t="shared" si="37"/>
        <v>0</v>
      </c>
      <c r="G64" s="151">
        <f t="shared" si="38"/>
        <v>247851</v>
      </c>
      <c r="H64" s="152">
        <f t="shared" si="38"/>
        <v>289756</v>
      </c>
      <c r="I64" s="151"/>
      <c r="J64" s="152"/>
      <c r="K64" s="151"/>
      <c r="L64" s="152"/>
      <c r="M64" s="151"/>
      <c r="N64" s="152"/>
      <c r="O64" s="151"/>
      <c r="P64" s="152"/>
      <c r="Q64" s="151"/>
      <c r="R64" s="152"/>
      <c r="S64" s="151"/>
      <c r="T64" s="152"/>
      <c r="U64" s="151"/>
      <c r="V64" s="152"/>
      <c r="W64" s="151"/>
      <c r="X64" s="152"/>
      <c r="Y64" s="151"/>
      <c r="Z64" s="152"/>
      <c r="AA64" s="151"/>
      <c r="AB64" s="152"/>
      <c r="AC64" s="151"/>
      <c r="AD64" s="152"/>
      <c r="AE64" s="151"/>
      <c r="AF64" s="152"/>
      <c r="AG64" s="151"/>
      <c r="AH64" s="152"/>
      <c r="AI64" s="151"/>
      <c r="AJ64" s="152"/>
      <c r="AK64" s="151"/>
      <c r="AL64" s="152"/>
      <c r="AM64" s="151"/>
      <c r="AN64" s="152"/>
      <c r="AO64" s="151"/>
      <c r="AP64" s="152"/>
      <c r="AQ64" s="151"/>
      <c r="AR64" s="152"/>
      <c r="AS64" s="151"/>
      <c r="AT64" s="152"/>
      <c r="AU64" s="151"/>
      <c r="AV64" s="152"/>
      <c r="AW64" s="151"/>
      <c r="AX64" s="152"/>
      <c r="AY64" s="151"/>
      <c r="AZ64" s="152"/>
      <c r="BA64" s="151"/>
      <c r="BB64" s="152"/>
      <c r="BC64" s="151"/>
      <c r="BD64" s="152"/>
      <c r="BE64" s="151"/>
      <c r="BF64" s="152"/>
      <c r="BG64" s="151"/>
      <c r="BH64" s="152"/>
      <c r="BI64" s="151"/>
      <c r="BJ64" s="152"/>
      <c r="BK64" s="151"/>
      <c r="BL64" s="152"/>
      <c r="BM64" s="151"/>
      <c r="BN64" s="152"/>
      <c r="BO64" s="151"/>
      <c r="BP64" s="152"/>
      <c r="BQ64" s="151"/>
      <c r="BR64" s="152"/>
      <c r="BS64" s="151"/>
      <c r="BT64" s="152"/>
      <c r="BU64" s="151"/>
      <c r="BV64" s="152"/>
      <c r="BW64" s="151"/>
      <c r="BX64" s="152"/>
      <c r="BY64" s="151"/>
      <c r="BZ64" s="152"/>
      <c r="CA64" s="151">
        <v>7560</v>
      </c>
      <c r="CB64" s="152">
        <f>6000-1560</f>
        <v>4440</v>
      </c>
      <c r="CC64" s="151">
        <v>5400</v>
      </c>
      <c r="CD64" s="152">
        <v>5400</v>
      </c>
      <c r="CE64" s="151">
        <v>400</v>
      </c>
      <c r="CF64" s="152">
        <v>400</v>
      </c>
      <c r="CG64" s="151"/>
      <c r="CH64" s="152"/>
      <c r="CI64" s="151">
        <v>156331</v>
      </c>
      <c r="CJ64" s="152">
        <f>156331+39084</f>
        <v>195415</v>
      </c>
      <c r="CK64" s="151">
        <v>24888</v>
      </c>
      <c r="CL64" s="152">
        <v>27269</v>
      </c>
      <c r="CM64" s="151">
        <v>3000</v>
      </c>
      <c r="CN64" s="152">
        <v>1500</v>
      </c>
      <c r="CO64" s="151">
        <f>10000-4500+1000</f>
        <v>6500</v>
      </c>
      <c r="CP64" s="152">
        <f>10000-4500+1000</f>
        <v>6500</v>
      </c>
      <c r="CQ64" s="151">
        <v>2572</v>
      </c>
      <c r="CR64" s="152">
        <v>2572</v>
      </c>
      <c r="CS64" s="151"/>
      <c r="CT64" s="152"/>
      <c r="CU64" s="151">
        <f>12000+6000+3000+4500+6000</f>
        <v>31500</v>
      </c>
      <c r="CV64" s="152">
        <f>12000+6000+3000+4500+6000</f>
        <v>31500</v>
      </c>
      <c r="CW64" s="151">
        <v>9500</v>
      </c>
      <c r="CX64" s="152">
        <f>14000+760</f>
        <v>14760</v>
      </c>
      <c r="CY64" s="151"/>
      <c r="CZ64" s="152"/>
      <c r="DA64" s="151"/>
      <c r="DB64" s="152"/>
      <c r="DC64" s="151"/>
      <c r="DD64" s="152"/>
      <c r="DE64" s="151"/>
      <c r="DF64" s="152"/>
      <c r="DG64" s="151">
        <v>200</v>
      </c>
      <c r="DH64" s="152">
        <v>0</v>
      </c>
      <c r="DI64" s="151"/>
      <c r="DJ64" s="152"/>
      <c r="DK64" s="151"/>
      <c r="DL64" s="152"/>
      <c r="DM64" s="151"/>
      <c r="DN64" s="152"/>
      <c r="DO64" s="151"/>
      <c r="DP64" s="152"/>
      <c r="DQ64" s="151"/>
      <c r="DR64" s="152"/>
      <c r="DS64" s="151"/>
      <c r="DT64" s="152"/>
      <c r="DU64" s="151"/>
      <c r="DV64" s="152"/>
    </row>
    <row r="65" spans="1:126" x14ac:dyDescent="0.2">
      <c r="A65" s="150" t="s">
        <v>916</v>
      </c>
      <c r="B65" s="150" t="s">
        <v>917</v>
      </c>
      <c r="C65" s="151" t="e">
        <f t="shared" si="32"/>
        <v>#REF!</v>
      </c>
      <c r="D65" s="152" t="e">
        <f t="shared" si="28"/>
        <v>#REF!</v>
      </c>
      <c r="E65" s="151">
        <f t="shared" si="36"/>
        <v>304858</v>
      </c>
      <c r="F65" s="152" t="e">
        <f t="shared" si="37"/>
        <v>#REF!</v>
      </c>
      <c r="G65" s="151">
        <f t="shared" si="38"/>
        <v>0</v>
      </c>
      <c r="H65" s="152">
        <f t="shared" si="38"/>
        <v>0</v>
      </c>
      <c r="I65" s="151"/>
      <c r="J65" s="152"/>
      <c r="K65" s="151"/>
      <c r="L65" s="152"/>
      <c r="M65" s="151"/>
      <c r="N65" s="152"/>
      <c r="O65" s="151"/>
      <c r="P65" s="152"/>
      <c r="Q65" s="151"/>
      <c r="R65" s="152"/>
      <c r="S65" s="151"/>
      <c r="T65" s="152"/>
      <c r="U65" s="151"/>
      <c r="V65" s="152"/>
      <c r="W65" s="151"/>
      <c r="X65" s="152"/>
      <c r="Y65" s="151"/>
      <c r="Z65" s="152"/>
      <c r="AA65" s="151"/>
      <c r="AB65" s="152"/>
      <c r="AC65" s="151"/>
      <c r="AD65" s="152"/>
      <c r="AE65" s="151">
        <f>'[5]2D Céltartalék'!D24</f>
        <v>304858</v>
      </c>
      <c r="AF65" s="152" t="e">
        <f>'2D Céltartalék'!#REF!</f>
        <v>#REF!</v>
      </c>
      <c r="AG65" s="151"/>
      <c r="AH65" s="152" t="e">
        <f>'2D Céltartalék'!#REF!</f>
        <v>#REF!</v>
      </c>
      <c r="AI65" s="151"/>
      <c r="AJ65" s="152"/>
      <c r="AK65" s="151"/>
      <c r="AL65" s="152"/>
      <c r="AM65" s="151"/>
      <c r="AN65" s="152"/>
      <c r="AO65" s="151"/>
      <c r="AP65" s="152"/>
      <c r="AQ65" s="151"/>
      <c r="AR65" s="152"/>
      <c r="AS65" s="151"/>
      <c r="AT65" s="152"/>
      <c r="AU65" s="151"/>
      <c r="AV65" s="152"/>
      <c r="AW65" s="151"/>
      <c r="AX65" s="152"/>
      <c r="AY65" s="151"/>
      <c r="AZ65" s="152"/>
      <c r="BA65" s="151"/>
      <c r="BB65" s="152"/>
      <c r="BC65" s="151"/>
      <c r="BD65" s="152"/>
      <c r="BE65" s="151"/>
      <c r="BF65" s="152"/>
      <c r="BG65" s="151"/>
      <c r="BH65" s="152"/>
      <c r="BI65" s="151"/>
      <c r="BJ65" s="152"/>
      <c r="BK65" s="151"/>
      <c r="BL65" s="152"/>
      <c r="BM65" s="151"/>
      <c r="BN65" s="152"/>
      <c r="BO65" s="151"/>
      <c r="BP65" s="152"/>
      <c r="BQ65" s="151"/>
      <c r="BR65" s="152"/>
      <c r="BS65" s="151"/>
      <c r="BT65" s="152"/>
      <c r="BU65" s="151"/>
      <c r="BV65" s="152"/>
      <c r="BW65" s="151"/>
      <c r="BX65" s="152"/>
      <c r="BY65" s="151"/>
      <c r="BZ65" s="152"/>
      <c r="CA65" s="151"/>
      <c r="CB65" s="152"/>
      <c r="CC65" s="151"/>
      <c r="CD65" s="152"/>
      <c r="CE65" s="151"/>
      <c r="CF65" s="152"/>
      <c r="CG65" s="151"/>
      <c r="CH65" s="152"/>
      <c r="CI65" s="151"/>
      <c r="CJ65" s="152"/>
      <c r="CK65" s="151"/>
      <c r="CL65" s="152"/>
      <c r="CM65" s="151"/>
      <c r="CN65" s="152"/>
      <c r="CO65" s="151"/>
      <c r="CP65" s="152"/>
      <c r="CQ65" s="151"/>
      <c r="CR65" s="152"/>
      <c r="CS65" s="151"/>
      <c r="CT65" s="152"/>
      <c r="CU65" s="151"/>
      <c r="CV65" s="152"/>
      <c r="CW65" s="151"/>
      <c r="CX65" s="152"/>
      <c r="CY65" s="151"/>
      <c r="CZ65" s="152"/>
      <c r="DA65" s="151"/>
      <c r="DB65" s="152"/>
      <c r="DC65" s="151"/>
      <c r="DD65" s="152"/>
      <c r="DE65" s="151"/>
      <c r="DF65" s="152"/>
      <c r="DG65" s="151"/>
      <c r="DH65" s="152"/>
      <c r="DI65" s="151"/>
      <c r="DJ65" s="152"/>
      <c r="DK65" s="151"/>
      <c r="DL65" s="152"/>
      <c r="DM65" s="151"/>
      <c r="DN65" s="152"/>
      <c r="DO65" s="151"/>
      <c r="DP65" s="152"/>
      <c r="DQ65" s="151"/>
      <c r="DR65" s="152"/>
      <c r="DS65" s="151"/>
      <c r="DT65" s="152"/>
      <c r="DU65" s="151"/>
      <c r="DV65" s="152"/>
    </row>
    <row r="66" spans="1:126" x14ac:dyDescent="0.2">
      <c r="A66" s="153" t="s">
        <v>918</v>
      </c>
      <c r="B66" s="153" t="s">
        <v>339</v>
      </c>
      <c r="C66" s="154" t="e">
        <f t="shared" ref="C66:I66" si="39">SUM(C54:C65)</f>
        <v>#REF!</v>
      </c>
      <c r="D66" s="155" t="e">
        <f t="shared" si="39"/>
        <v>#REF!</v>
      </c>
      <c r="E66" s="154">
        <f t="shared" si="39"/>
        <v>317535</v>
      </c>
      <c r="F66" s="155" t="e">
        <f t="shared" si="39"/>
        <v>#REF!</v>
      </c>
      <c r="G66" s="154">
        <f t="shared" si="39"/>
        <v>287755</v>
      </c>
      <c r="H66" s="155">
        <f t="shared" si="39"/>
        <v>324862</v>
      </c>
      <c r="I66" s="154">
        <f t="shared" si="39"/>
        <v>0</v>
      </c>
      <c r="J66" s="155">
        <f t="shared" ref="J66:AO66" si="40">SUM(J54:J65)</f>
        <v>0</v>
      </c>
      <c r="K66" s="154">
        <f t="shared" si="40"/>
        <v>0</v>
      </c>
      <c r="L66" s="155">
        <f t="shared" si="40"/>
        <v>0</v>
      </c>
      <c r="M66" s="154">
        <f t="shared" si="40"/>
        <v>0</v>
      </c>
      <c r="N66" s="155">
        <f t="shared" si="40"/>
        <v>0</v>
      </c>
      <c r="O66" s="154">
        <f t="shared" si="40"/>
        <v>0</v>
      </c>
      <c r="P66" s="155">
        <f t="shared" si="40"/>
        <v>0</v>
      </c>
      <c r="Q66" s="154">
        <f t="shared" si="40"/>
        <v>0</v>
      </c>
      <c r="R66" s="155">
        <f t="shared" si="40"/>
        <v>0</v>
      </c>
      <c r="S66" s="154">
        <f t="shared" si="40"/>
        <v>0</v>
      </c>
      <c r="T66" s="155">
        <f>SUM(T54:T65)</f>
        <v>0</v>
      </c>
      <c r="U66" s="154">
        <f t="shared" si="40"/>
        <v>0</v>
      </c>
      <c r="V66" s="155">
        <f>SUM(V54:V65)</f>
        <v>0</v>
      </c>
      <c r="W66" s="154">
        <f t="shared" si="40"/>
        <v>0</v>
      </c>
      <c r="X66" s="155">
        <f t="shared" si="40"/>
        <v>0</v>
      </c>
      <c r="Y66" s="154">
        <f t="shared" si="40"/>
        <v>0</v>
      </c>
      <c r="Z66" s="155">
        <f t="shared" si="40"/>
        <v>0</v>
      </c>
      <c r="AA66" s="154">
        <f t="shared" si="40"/>
        <v>0</v>
      </c>
      <c r="AB66" s="155">
        <f>SUM(AB54:AB65)</f>
        <v>0</v>
      </c>
      <c r="AC66" s="154">
        <f t="shared" si="40"/>
        <v>0</v>
      </c>
      <c r="AD66" s="155">
        <f>SUM(AD54:AD65)</f>
        <v>0</v>
      </c>
      <c r="AE66" s="154">
        <f t="shared" si="40"/>
        <v>317535</v>
      </c>
      <c r="AF66" s="155" t="e">
        <f>SUM(AF54:AF65)</f>
        <v>#REF!</v>
      </c>
      <c r="AG66" s="154"/>
      <c r="AH66" s="155" t="e">
        <f>SUM(AH54:AH65)</f>
        <v>#REF!</v>
      </c>
      <c r="AI66" s="154">
        <f>SUM(AI54:AI65)</f>
        <v>0</v>
      </c>
      <c r="AJ66" s="155">
        <f>SUM(AJ54:AJ65)</f>
        <v>0</v>
      </c>
      <c r="AK66" s="154">
        <f t="shared" si="40"/>
        <v>0</v>
      </c>
      <c r="AL66" s="155">
        <f>SUM(AL54:AL65)</f>
        <v>0</v>
      </c>
      <c r="AM66" s="154">
        <f t="shared" si="40"/>
        <v>0</v>
      </c>
      <c r="AN66" s="155"/>
      <c r="AO66" s="154">
        <f t="shared" si="40"/>
        <v>0</v>
      </c>
      <c r="AP66" s="155">
        <f>SUM(AP54:AP65)</f>
        <v>0</v>
      </c>
      <c r="AQ66" s="154">
        <f t="shared" ref="AQ66:DU66" si="41">SUM(AQ54:AQ65)</f>
        <v>0</v>
      </c>
      <c r="AR66" s="155">
        <f>SUM(AR54:AR65)</f>
        <v>0</v>
      </c>
      <c r="AS66" s="154">
        <f t="shared" si="41"/>
        <v>1000</v>
      </c>
      <c r="AT66" s="155">
        <f>SUM(AT54:AT65)</f>
        <v>2000</v>
      </c>
      <c r="AU66" s="154">
        <f t="shared" si="41"/>
        <v>0</v>
      </c>
      <c r="AV66" s="155">
        <f>SUM(AV54:AV65)</f>
        <v>0</v>
      </c>
      <c r="AW66" s="154">
        <f t="shared" si="41"/>
        <v>0</v>
      </c>
      <c r="AX66" s="155">
        <f>SUM(AX54:AX65)</f>
        <v>0</v>
      </c>
      <c r="AY66" s="154">
        <f t="shared" si="41"/>
        <v>0</v>
      </c>
      <c r="AZ66" s="155">
        <f>SUM(AZ54:AZ65)</f>
        <v>0</v>
      </c>
      <c r="BA66" s="154">
        <f t="shared" si="41"/>
        <v>0</v>
      </c>
      <c r="BB66" s="155">
        <f>SUM(BB54:BB65)</f>
        <v>0</v>
      </c>
      <c r="BC66" s="154">
        <f t="shared" si="41"/>
        <v>0</v>
      </c>
      <c r="BD66" s="155">
        <f>SUM(BD54:BD65)</f>
        <v>0</v>
      </c>
      <c r="BE66" s="154">
        <f t="shared" si="41"/>
        <v>0</v>
      </c>
      <c r="BF66" s="155">
        <f>SUM(BF54:BF65)</f>
        <v>0</v>
      </c>
      <c r="BG66" s="154">
        <f t="shared" si="41"/>
        <v>0</v>
      </c>
      <c r="BH66" s="155">
        <f>SUM(BH54:BH65)</f>
        <v>0</v>
      </c>
      <c r="BI66" s="154">
        <f t="shared" si="41"/>
        <v>0</v>
      </c>
      <c r="BJ66" s="155">
        <f>SUM(BJ54:BJ65)</f>
        <v>0</v>
      </c>
      <c r="BK66" s="154">
        <f t="shared" si="41"/>
        <v>0</v>
      </c>
      <c r="BL66" s="155">
        <f>SUM(BL54:BL65)</f>
        <v>0</v>
      </c>
      <c r="BM66" s="154">
        <f t="shared" si="41"/>
        <v>0</v>
      </c>
      <c r="BN66" s="155">
        <f>SUM(BN54:BN65)</f>
        <v>0</v>
      </c>
      <c r="BO66" s="154">
        <f t="shared" si="41"/>
        <v>0</v>
      </c>
      <c r="BP66" s="155">
        <f>SUM(BP54:BP65)</f>
        <v>0</v>
      </c>
      <c r="BQ66" s="154">
        <f t="shared" si="41"/>
        <v>11818</v>
      </c>
      <c r="BR66" s="155">
        <f>SUM(BR54:BR65)</f>
        <v>8163</v>
      </c>
      <c r="BS66" s="154">
        <f t="shared" si="41"/>
        <v>2000</v>
      </c>
      <c r="BT66" s="155">
        <f>SUM(BT54:BT65)</f>
        <v>2623</v>
      </c>
      <c r="BU66" s="154">
        <f t="shared" si="41"/>
        <v>19120</v>
      </c>
      <c r="BV66" s="155">
        <f>SUM(BV54:BV65)</f>
        <v>19120</v>
      </c>
      <c r="BW66" s="154">
        <f t="shared" si="41"/>
        <v>2000</v>
      </c>
      <c r="BX66" s="155">
        <f>SUM(BX54:BX65)</f>
        <v>2000</v>
      </c>
      <c r="BY66" s="154">
        <f t="shared" si="41"/>
        <v>3766</v>
      </c>
      <c r="BZ66" s="155">
        <f>SUM(BZ54:BZ65)</f>
        <v>1000</v>
      </c>
      <c r="CA66" s="154">
        <f t="shared" si="41"/>
        <v>7560</v>
      </c>
      <c r="CB66" s="155">
        <f>SUM(CB54:CB65)</f>
        <v>4440</v>
      </c>
      <c r="CC66" s="154">
        <f t="shared" si="41"/>
        <v>5400</v>
      </c>
      <c r="CD66" s="155">
        <f>SUM(CD54:CD65)</f>
        <v>5400</v>
      </c>
      <c r="CE66" s="154">
        <f>SUM(CE54:CE65)</f>
        <v>400</v>
      </c>
      <c r="CF66" s="155">
        <f>SUM(CF54:CF65)</f>
        <v>400</v>
      </c>
      <c r="CG66" s="154">
        <f t="shared" si="41"/>
        <v>0</v>
      </c>
      <c r="CH66" s="155">
        <f>SUM(CH54:CH65)</f>
        <v>0</v>
      </c>
      <c r="CI66" s="154">
        <f t="shared" si="41"/>
        <v>156331</v>
      </c>
      <c r="CJ66" s="155">
        <f>SUM(CJ54:CJ65)</f>
        <v>195415</v>
      </c>
      <c r="CK66" s="154">
        <f t="shared" si="41"/>
        <v>24888</v>
      </c>
      <c r="CL66" s="155">
        <f>SUM(CL54:CL65)</f>
        <v>27269</v>
      </c>
      <c r="CM66" s="154">
        <f t="shared" si="41"/>
        <v>3000</v>
      </c>
      <c r="CN66" s="155">
        <f>SUM(CN54:CN65)</f>
        <v>1500</v>
      </c>
      <c r="CO66" s="154">
        <f t="shared" si="41"/>
        <v>6500</v>
      </c>
      <c r="CP66" s="155">
        <f>SUM(CP54:CP65)</f>
        <v>6500</v>
      </c>
      <c r="CQ66" s="154">
        <f t="shared" si="41"/>
        <v>2572</v>
      </c>
      <c r="CR66" s="155">
        <f>SUM(CR54:CR65)</f>
        <v>2572</v>
      </c>
      <c r="CS66" s="154">
        <f t="shared" si="41"/>
        <v>0</v>
      </c>
      <c r="CT66" s="155">
        <f>SUM(CT54:CT65)</f>
        <v>0</v>
      </c>
      <c r="CU66" s="154">
        <f t="shared" si="41"/>
        <v>31500</v>
      </c>
      <c r="CV66" s="155">
        <f>SUM(CV54:CV65)</f>
        <v>31500</v>
      </c>
      <c r="CW66" s="154">
        <f t="shared" si="41"/>
        <v>9500</v>
      </c>
      <c r="CX66" s="155">
        <f>SUM(CX54:CX65)</f>
        <v>14760</v>
      </c>
      <c r="CY66" s="154">
        <f t="shared" si="41"/>
        <v>0</v>
      </c>
      <c r="CZ66" s="155"/>
      <c r="DA66" s="154">
        <f t="shared" si="41"/>
        <v>0</v>
      </c>
      <c r="DB66" s="155"/>
      <c r="DC66" s="154">
        <f t="shared" si="41"/>
        <v>0</v>
      </c>
      <c r="DD66" s="155">
        <f>SUM(DD54:DD65)</f>
        <v>0</v>
      </c>
      <c r="DE66" s="154">
        <f t="shared" si="41"/>
        <v>0</v>
      </c>
      <c r="DF66" s="155">
        <f>SUM(DF54:DF65)</f>
        <v>0</v>
      </c>
      <c r="DG66" s="154">
        <f t="shared" si="41"/>
        <v>200</v>
      </c>
      <c r="DH66" s="155">
        <f>SUM(DH54:DH65)</f>
        <v>0</v>
      </c>
      <c r="DI66" s="154">
        <f t="shared" si="41"/>
        <v>0</v>
      </c>
      <c r="DJ66" s="155">
        <f>SUM(DJ54:DJ65)</f>
        <v>0</v>
      </c>
      <c r="DK66" s="154">
        <f t="shared" si="41"/>
        <v>0</v>
      </c>
      <c r="DL66" s="155">
        <f>SUM(DL54:DL65)</f>
        <v>0</v>
      </c>
      <c r="DM66" s="154">
        <f t="shared" si="41"/>
        <v>0</v>
      </c>
      <c r="DN66" s="155">
        <f>SUM(DN54:DN65)</f>
        <v>0</v>
      </c>
      <c r="DO66" s="154">
        <f t="shared" si="41"/>
        <v>0</v>
      </c>
      <c r="DP66" s="155">
        <f>SUM(DP54:DP65)</f>
        <v>0</v>
      </c>
      <c r="DQ66" s="154">
        <f t="shared" si="41"/>
        <v>0</v>
      </c>
      <c r="DR66" s="155"/>
      <c r="DS66" s="154">
        <f t="shared" si="41"/>
        <v>0</v>
      </c>
      <c r="DT66" s="155">
        <f>SUM(DT54:DT65)</f>
        <v>0</v>
      </c>
      <c r="DU66" s="154">
        <f t="shared" si="41"/>
        <v>200</v>
      </c>
      <c r="DV66" s="155">
        <f>SUM(DV54:DV65)</f>
        <v>200</v>
      </c>
    </row>
    <row r="67" spans="1:126" x14ac:dyDescent="0.2">
      <c r="A67" s="150" t="s">
        <v>195</v>
      </c>
      <c r="B67" s="150" t="s">
        <v>197</v>
      </c>
      <c r="C67" s="151">
        <f t="shared" si="32"/>
        <v>11044</v>
      </c>
      <c r="D67" s="152">
        <f t="shared" si="28"/>
        <v>7874</v>
      </c>
      <c r="E67" s="151">
        <f t="shared" ref="E67:E73" si="42">K67+M67+O66:O67+Q67+S67+U67+W67+Y67+AA67+AC67+AE67+AI67</f>
        <v>3170</v>
      </c>
      <c r="F67" s="152">
        <f t="shared" ref="F67:F72" si="43">L67+N67+P66:P67+R67+T67+V67+X67+Z67+AB67+AD67+AF67+AJ67+AH67</f>
        <v>7874</v>
      </c>
      <c r="G67" s="151">
        <f t="shared" ref="G67:H105" si="44">AK67+AM67+AO67+AQ67+AS67+AU67+AW67+AY67+BA67+BC67+BE67+BG67+BI67+BK67+BM67+BO67+BQ67+BS67+BU67+BW67+BY67+CA67+CC67+CE67+CG67+CI67+CK67+CM67+CO67+CQ67+CS67+CU67+CW67+DA67+CY67+DC67+DE67+DG67+DI67+DK67+DM67+DO67+DQ67+DS67+DU67</f>
        <v>0</v>
      </c>
      <c r="H67" s="152">
        <f t="shared" si="44"/>
        <v>0</v>
      </c>
      <c r="I67" s="151"/>
      <c r="J67" s="152"/>
      <c r="K67" s="151">
        <v>2820</v>
      </c>
      <c r="L67" s="152">
        <f>4724+3150</f>
        <v>7874</v>
      </c>
      <c r="M67" s="151"/>
      <c r="N67" s="152"/>
      <c r="O67" s="151"/>
      <c r="P67" s="152"/>
      <c r="Q67" s="151"/>
      <c r="R67" s="152"/>
      <c r="S67" s="151"/>
      <c r="T67" s="152"/>
      <c r="U67" s="151"/>
      <c r="V67" s="152"/>
      <c r="W67" s="151"/>
      <c r="X67" s="152"/>
      <c r="Y67" s="151"/>
      <c r="Z67" s="152"/>
      <c r="AA67" s="151"/>
      <c r="AB67" s="152"/>
      <c r="AC67" s="151"/>
      <c r="AD67" s="152"/>
      <c r="AE67" s="151">
        <f>'[5]7. beruházás'!J18</f>
        <v>350</v>
      </c>
      <c r="AF67" s="152">
        <v>0</v>
      </c>
      <c r="AG67" s="151"/>
      <c r="AH67" s="152">
        <v>0</v>
      </c>
      <c r="AI67" s="151"/>
      <c r="AJ67" s="152"/>
      <c r="AK67" s="151"/>
      <c r="AL67" s="152"/>
      <c r="AM67" s="151"/>
      <c r="AN67" s="152"/>
      <c r="AO67" s="151"/>
      <c r="AP67" s="152"/>
      <c r="AQ67" s="151"/>
      <c r="AR67" s="152"/>
      <c r="AS67" s="151"/>
      <c r="AT67" s="152"/>
      <c r="AU67" s="151"/>
      <c r="AV67" s="152"/>
      <c r="AW67" s="151"/>
      <c r="AX67" s="152"/>
      <c r="AY67" s="151"/>
      <c r="AZ67" s="152"/>
      <c r="BA67" s="151"/>
      <c r="BB67" s="152"/>
      <c r="BC67" s="151"/>
      <c r="BD67" s="152"/>
      <c r="BE67" s="151"/>
      <c r="BF67" s="152"/>
      <c r="BG67" s="151"/>
      <c r="BH67" s="152"/>
      <c r="BI67" s="151"/>
      <c r="BJ67" s="152"/>
      <c r="BK67" s="151"/>
      <c r="BL67" s="152"/>
      <c r="BM67" s="151"/>
      <c r="BN67" s="152"/>
      <c r="BO67" s="151"/>
      <c r="BP67" s="152"/>
      <c r="BQ67" s="151"/>
      <c r="BR67" s="152"/>
      <c r="BS67" s="151"/>
      <c r="BT67" s="152"/>
      <c r="BU67" s="151"/>
      <c r="BV67" s="152"/>
      <c r="BW67" s="151"/>
      <c r="BX67" s="152"/>
      <c r="BY67" s="151"/>
      <c r="BZ67" s="152"/>
      <c r="CA67" s="151"/>
      <c r="CB67" s="152"/>
      <c r="CC67" s="151"/>
      <c r="CD67" s="152"/>
      <c r="CE67" s="151"/>
      <c r="CF67" s="152"/>
      <c r="CG67" s="151"/>
      <c r="CH67" s="152"/>
      <c r="CI67" s="151"/>
      <c r="CJ67" s="152"/>
      <c r="CK67" s="151"/>
      <c r="CL67" s="152"/>
      <c r="CM67" s="151"/>
      <c r="CN67" s="152"/>
      <c r="CO67" s="151"/>
      <c r="CP67" s="152"/>
      <c r="CQ67" s="151"/>
      <c r="CR67" s="152"/>
      <c r="CS67" s="151"/>
      <c r="CT67" s="152"/>
      <c r="CU67" s="151"/>
      <c r="CV67" s="152"/>
      <c r="CW67" s="151"/>
      <c r="CX67" s="152"/>
      <c r="CY67" s="151"/>
      <c r="CZ67" s="152"/>
      <c r="DA67" s="151"/>
      <c r="DB67" s="152"/>
      <c r="DC67" s="151"/>
      <c r="DD67" s="152"/>
      <c r="DE67" s="151"/>
      <c r="DF67" s="152"/>
      <c r="DG67" s="151"/>
      <c r="DH67" s="152"/>
      <c r="DI67" s="151"/>
      <c r="DJ67" s="152"/>
      <c r="DK67" s="151"/>
      <c r="DL67" s="152"/>
      <c r="DM67" s="151"/>
      <c r="DN67" s="152"/>
      <c r="DO67" s="151"/>
      <c r="DP67" s="152"/>
      <c r="DQ67" s="151"/>
      <c r="DR67" s="152"/>
      <c r="DS67" s="151"/>
      <c r="DT67" s="152"/>
      <c r="DU67" s="151"/>
      <c r="DV67" s="152"/>
    </row>
    <row r="68" spans="1:126" x14ac:dyDescent="0.2">
      <c r="A68" s="150" t="s">
        <v>198</v>
      </c>
      <c r="B68" s="150" t="s">
        <v>200</v>
      </c>
      <c r="C68" s="151" t="e">
        <f t="shared" si="32"/>
        <v>#REF!</v>
      </c>
      <c r="D68" s="152" t="e">
        <f>F68+H68+J68</f>
        <v>#REF!</v>
      </c>
      <c r="E68" s="151">
        <f t="shared" si="42"/>
        <v>106320</v>
      </c>
      <c r="F68" s="152">
        <f>L68+N68+P67:P68+R68+T68+V68+X68+Z68+AB68+AD68+AF68+AJ68+AH68</f>
        <v>2995</v>
      </c>
      <c r="G68" s="151">
        <f t="shared" si="44"/>
        <v>199644</v>
      </c>
      <c r="H68" s="152" t="e">
        <f t="shared" si="44"/>
        <v>#REF!</v>
      </c>
      <c r="I68" s="151"/>
      <c r="J68" s="152"/>
      <c r="K68" s="151">
        <v>3937</v>
      </c>
      <c r="L68" s="152"/>
      <c r="M68" s="151"/>
      <c r="N68" s="152">
        <v>1181</v>
      </c>
      <c r="O68" s="151"/>
      <c r="P68" s="152"/>
      <c r="Q68" s="151"/>
      <c r="R68" s="152"/>
      <c r="S68" s="151"/>
      <c r="T68" s="152"/>
      <c r="U68" s="151"/>
      <c r="V68" s="152"/>
      <c r="W68" s="151"/>
      <c r="X68" s="152"/>
      <c r="Y68" s="151"/>
      <c r="Z68" s="152">
        <f>414</f>
        <v>414</v>
      </c>
      <c r="AA68" s="151"/>
      <c r="AB68" s="152">
        <v>1400</v>
      </c>
      <c r="AC68" s="151"/>
      <c r="AD68" s="152"/>
      <c r="AE68" s="151">
        <f>'[5]7. beruházás'!J8+'[5]7. beruházás'!J12+'[5]7. beruházás'!J13+'[5]7. beruházás'!J17+'[5]7. beruházás'!J19+'[5]7. beruházás'!J24+'[5]7. beruházás'!J26</f>
        <v>102383</v>
      </c>
      <c r="AF68" s="152">
        <v>0</v>
      </c>
      <c r="AG68" s="151"/>
      <c r="AH68" s="152">
        <v>0</v>
      </c>
      <c r="AI68" s="151"/>
      <c r="AJ68" s="152"/>
      <c r="AK68" s="151"/>
      <c r="AL68" s="152"/>
      <c r="AM68" s="151"/>
      <c r="AN68" s="152"/>
      <c r="AO68" s="151"/>
      <c r="AP68" s="152"/>
      <c r="AQ68" s="151"/>
      <c r="AR68" s="152"/>
      <c r="AS68" s="151"/>
      <c r="AT68" s="152"/>
      <c r="AU68" s="151"/>
      <c r="AV68" s="152"/>
      <c r="AW68" s="151"/>
      <c r="AX68" s="152"/>
      <c r="AY68" s="151"/>
      <c r="AZ68" s="152"/>
      <c r="BA68" s="151"/>
      <c r="BB68" s="152"/>
      <c r="BC68" s="151"/>
      <c r="BD68" s="152"/>
      <c r="BE68" s="151"/>
      <c r="BF68" s="152"/>
      <c r="BG68" s="151"/>
      <c r="BH68" s="152"/>
      <c r="BI68" s="151"/>
      <c r="BJ68" s="152"/>
      <c r="BK68" s="151"/>
      <c r="BL68" s="152"/>
      <c r="BM68" s="151"/>
      <c r="BN68" s="152"/>
      <c r="BO68" s="151"/>
      <c r="BP68" s="152"/>
      <c r="BQ68" s="151"/>
      <c r="BR68" s="152"/>
      <c r="BS68" s="151"/>
      <c r="BT68" s="152"/>
      <c r="BU68" s="151"/>
      <c r="BV68" s="152"/>
      <c r="BW68" s="151"/>
      <c r="BX68" s="152"/>
      <c r="BY68" s="151"/>
      <c r="BZ68" s="152"/>
      <c r="CA68" s="151"/>
      <c r="CB68" s="152"/>
      <c r="CC68" s="151"/>
      <c r="CD68" s="152"/>
      <c r="CE68" s="151"/>
      <c r="CF68" s="152"/>
      <c r="CG68" s="151"/>
      <c r="CH68" s="152"/>
      <c r="CI68" s="151"/>
      <c r="CJ68" s="152"/>
      <c r="CK68" s="151"/>
      <c r="CL68" s="152"/>
      <c r="CM68" s="151"/>
      <c r="CN68" s="152"/>
      <c r="CO68" s="151"/>
      <c r="CP68" s="152"/>
      <c r="CQ68" s="151"/>
      <c r="CR68" s="152"/>
      <c r="CS68" s="151"/>
      <c r="CT68" s="152"/>
      <c r="CU68" s="151"/>
      <c r="CV68" s="152"/>
      <c r="CW68" s="151"/>
      <c r="CX68" s="152"/>
      <c r="CY68" s="151"/>
      <c r="CZ68" s="152"/>
      <c r="DA68" s="151"/>
      <c r="DB68" s="152"/>
      <c r="DC68" s="151"/>
      <c r="DD68" s="152"/>
      <c r="DE68" s="151"/>
      <c r="DF68" s="152"/>
      <c r="DG68" s="151"/>
      <c r="DH68" s="152"/>
      <c r="DI68" s="151">
        <f>'[5]7. beruházás'!J6+'[5]7. beruházás'!J7+'[5]7. beruházás'!J9+'[5]7. beruházás'!J10+'[5]7. beruházás'!J11+'[5]7. beruházás'!J14+'[5]7. beruházás'!J16+'[5]7. beruházás'!J15+'[5]7. beruházás'!J22+'[5]7. beruházás'!J25</f>
        <v>199644</v>
      </c>
      <c r="DJ68" s="152" t="e">
        <f>Beruházás!C7+Beruházás!C24+Beruházás!C34+Beruházás!C40+Beruházás!C43+Beruházás!C63+Beruházás!C64+Beruházás!C78+Beruházás!#REF!+Beruházás!C83+Beruházás!#REF!+Beruházás!#REF!+Beruházás!C84+Beruházás!#REF!-195901</f>
        <v>#REF!</v>
      </c>
      <c r="DK68" s="151"/>
      <c r="DL68" s="152"/>
      <c r="DM68" s="151"/>
      <c r="DN68" s="152"/>
      <c r="DO68" s="151"/>
      <c r="DP68" s="152"/>
      <c r="DQ68" s="151"/>
      <c r="DR68" s="152"/>
      <c r="DS68" s="151"/>
      <c r="DT68" s="152"/>
      <c r="DU68" s="151"/>
      <c r="DV68" s="152"/>
    </row>
    <row r="69" spans="1:126" x14ac:dyDescent="0.2">
      <c r="A69" s="150" t="s">
        <v>201</v>
      </c>
      <c r="B69" s="150" t="s">
        <v>203</v>
      </c>
      <c r="C69" s="151">
        <f t="shared" si="32"/>
        <v>3937</v>
      </c>
      <c r="D69" s="152">
        <f t="shared" si="28"/>
        <v>0</v>
      </c>
      <c r="E69" s="151">
        <f t="shared" si="42"/>
        <v>0</v>
      </c>
      <c r="F69" s="152">
        <f t="shared" si="43"/>
        <v>0</v>
      </c>
      <c r="G69" s="151">
        <f t="shared" si="44"/>
        <v>3937</v>
      </c>
      <c r="H69" s="152">
        <f t="shared" si="44"/>
        <v>0</v>
      </c>
      <c r="I69" s="151"/>
      <c r="J69" s="152"/>
      <c r="K69" s="151"/>
      <c r="L69" s="152"/>
      <c r="M69" s="151"/>
      <c r="N69" s="152"/>
      <c r="O69" s="151"/>
      <c r="P69" s="152"/>
      <c r="Q69" s="151"/>
      <c r="R69" s="152"/>
      <c r="S69" s="151"/>
      <c r="T69" s="152"/>
      <c r="U69" s="151"/>
      <c r="V69" s="152"/>
      <c r="W69" s="151"/>
      <c r="X69" s="152"/>
      <c r="Y69" s="151"/>
      <c r="Z69" s="152"/>
      <c r="AA69" s="151"/>
      <c r="AB69" s="152"/>
      <c r="AC69" s="151"/>
      <c r="AD69" s="152"/>
      <c r="AE69" s="151"/>
      <c r="AF69" s="152"/>
      <c r="AG69" s="151"/>
      <c r="AH69" s="152"/>
      <c r="AI69" s="151"/>
      <c r="AJ69" s="152"/>
      <c r="AK69" s="151"/>
      <c r="AL69" s="152"/>
      <c r="AM69" s="151"/>
      <c r="AN69" s="152"/>
      <c r="AO69" s="151"/>
      <c r="AP69" s="152"/>
      <c r="AQ69" s="151"/>
      <c r="AR69" s="152"/>
      <c r="AS69" s="151"/>
      <c r="AT69" s="152"/>
      <c r="AU69" s="151"/>
      <c r="AV69" s="152"/>
      <c r="AW69" s="151"/>
      <c r="AX69" s="152"/>
      <c r="AY69" s="151"/>
      <c r="AZ69" s="152"/>
      <c r="BA69" s="151"/>
      <c r="BB69" s="152"/>
      <c r="BC69" s="151"/>
      <c r="BD69" s="152"/>
      <c r="BE69" s="151"/>
      <c r="BF69" s="152"/>
      <c r="BG69" s="151"/>
      <c r="BH69" s="152"/>
      <c r="BI69" s="151"/>
      <c r="BJ69" s="152"/>
      <c r="BK69" s="151"/>
      <c r="BL69" s="152"/>
      <c r="BM69" s="151"/>
      <c r="BN69" s="152"/>
      <c r="BO69" s="151"/>
      <c r="BP69" s="152"/>
      <c r="BQ69" s="151"/>
      <c r="BR69" s="152"/>
      <c r="BS69" s="151"/>
      <c r="BT69" s="152"/>
      <c r="BU69" s="151"/>
      <c r="BV69" s="152"/>
      <c r="BW69" s="151"/>
      <c r="BX69" s="152"/>
      <c r="BY69" s="151"/>
      <c r="BZ69" s="152"/>
      <c r="CA69" s="151"/>
      <c r="CB69" s="152"/>
      <c r="CC69" s="151"/>
      <c r="CD69" s="152"/>
      <c r="CE69" s="151"/>
      <c r="CF69" s="152"/>
      <c r="CG69" s="151"/>
      <c r="CH69" s="152"/>
      <c r="CI69" s="151"/>
      <c r="CJ69" s="152"/>
      <c r="CK69" s="151"/>
      <c r="CL69" s="152"/>
      <c r="CM69" s="151"/>
      <c r="CN69" s="152"/>
      <c r="CO69" s="151"/>
      <c r="CP69" s="152"/>
      <c r="CQ69" s="151"/>
      <c r="CR69" s="152"/>
      <c r="CS69" s="151"/>
      <c r="CT69" s="152"/>
      <c r="CU69" s="151"/>
      <c r="CV69" s="152"/>
      <c r="CW69" s="151"/>
      <c r="CX69" s="152"/>
      <c r="CY69" s="151"/>
      <c r="CZ69" s="152"/>
      <c r="DA69" s="151"/>
      <c r="DB69" s="152"/>
      <c r="DC69" s="151"/>
      <c r="DD69" s="152"/>
      <c r="DE69" s="151"/>
      <c r="DF69" s="152"/>
      <c r="DG69" s="151"/>
      <c r="DH69" s="152"/>
      <c r="DI69" s="151">
        <f>'[5]7. beruházás'!J28</f>
        <v>3937</v>
      </c>
      <c r="DJ69" s="152"/>
      <c r="DK69" s="151"/>
      <c r="DL69" s="152"/>
      <c r="DM69" s="151"/>
      <c r="DN69" s="152"/>
      <c r="DO69" s="151"/>
      <c r="DP69" s="152"/>
      <c r="DQ69" s="151"/>
      <c r="DR69" s="152"/>
      <c r="DS69" s="151"/>
      <c r="DT69" s="152"/>
      <c r="DU69" s="151"/>
      <c r="DV69" s="152"/>
    </row>
    <row r="70" spans="1:126" x14ac:dyDescent="0.2">
      <c r="A70" s="150" t="s">
        <v>204</v>
      </c>
      <c r="B70" s="150" t="s">
        <v>919</v>
      </c>
      <c r="C70" s="151">
        <f t="shared" si="32"/>
        <v>204456</v>
      </c>
      <c r="D70" s="152">
        <f t="shared" si="28"/>
        <v>200219</v>
      </c>
      <c r="E70" s="151">
        <f t="shared" si="42"/>
        <v>300</v>
      </c>
      <c r="F70" s="152">
        <f t="shared" si="43"/>
        <v>200219</v>
      </c>
      <c r="G70" s="151">
        <f t="shared" si="44"/>
        <v>3937</v>
      </c>
      <c r="H70" s="152">
        <f t="shared" si="44"/>
        <v>0</v>
      </c>
      <c r="I70" s="151"/>
      <c r="J70" s="152"/>
      <c r="K70" s="151"/>
      <c r="L70" s="152"/>
      <c r="M70" s="151"/>
      <c r="N70" s="152"/>
      <c r="O70" s="151"/>
      <c r="P70" s="152"/>
      <c r="Q70" s="151"/>
      <c r="R70" s="152"/>
      <c r="S70" s="151"/>
      <c r="T70" s="152"/>
      <c r="U70" s="151"/>
      <c r="V70" s="152"/>
      <c r="W70" s="151"/>
      <c r="X70" s="152"/>
      <c r="Y70" s="151"/>
      <c r="Z70" s="152">
        <v>3937</v>
      </c>
      <c r="AA70" s="151"/>
      <c r="AB70" s="152"/>
      <c r="AC70" s="151"/>
      <c r="AD70" s="152"/>
      <c r="AE70" s="151">
        <f>'[5]7. beruházás'!J23</f>
        <v>300</v>
      </c>
      <c r="AF70" s="152">
        <f>381+195901</f>
        <v>196282</v>
      </c>
      <c r="AG70" s="151"/>
      <c r="AH70" s="152"/>
      <c r="AI70" s="151"/>
      <c r="AJ70" s="152"/>
      <c r="AK70" s="151"/>
      <c r="AL70" s="152"/>
      <c r="AM70" s="151"/>
      <c r="AN70" s="152"/>
      <c r="AO70" s="151"/>
      <c r="AP70" s="152"/>
      <c r="AQ70" s="151"/>
      <c r="AR70" s="152"/>
      <c r="AS70" s="151"/>
      <c r="AT70" s="152"/>
      <c r="AU70" s="151"/>
      <c r="AV70" s="152"/>
      <c r="AW70" s="151"/>
      <c r="AX70" s="152"/>
      <c r="AY70" s="151"/>
      <c r="AZ70" s="152"/>
      <c r="BA70" s="151"/>
      <c r="BB70" s="152"/>
      <c r="BC70" s="151"/>
      <c r="BD70" s="152"/>
      <c r="BE70" s="151"/>
      <c r="BF70" s="152"/>
      <c r="BG70" s="151"/>
      <c r="BH70" s="152"/>
      <c r="BI70" s="151"/>
      <c r="BJ70" s="152"/>
      <c r="BK70" s="151"/>
      <c r="BL70" s="152"/>
      <c r="BM70" s="151"/>
      <c r="BN70" s="152"/>
      <c r="BO70" s="151"/>
      <c r="BP70" s="152"/>
      <c r="BQ70" s="151"/>
      <c r="BR70" s="152"/>
      <c r="BS70" s="151"/>
      <c r="BT70" s="152"/>
      <c r="BU70" s="151"/>
      <c r="BV70" s="152"/>
      <c r="BW70" s="151"/>
      <c r="BX70" s="152"/>
      <c r="BY70" s="151"/>
      <c r="BZ70" s="152"/>
      <c r="CA70" s="151"/>
      <c r="CB70" s="152"/>
      <c r="CC70" s="151"/>
      <c r="CD70" s="152"/>
      <c r="CE70" s="151"/>
      <c r="CF70" s="152"/>
      <c r="CG70" s="151"/>
      <c r="CH70" s="152"/>
      <c r="CI70" s="151"/>
      <c r="CJ70" s="152"/>
      <c r="CK70" s="151"/>
      <c r="CL70" s="152"/>
      <c r="CM70" s="151"/>
      <c r="CN70" s="152"/>
      <c r="CO70" s="151"/>
      <c r="CP70" s="152"/>
      <c r="CQ70" s="151"/>
      <c r="CR70" s="152"/>
      <c r="CS70" s="151"/>
      <c r="CT70" s="152"/>
      <c r="CU70" s="151"/>
      <c r="CV70" s="152"/>
      <c r="CW70" s="151"/>
      <c r="CX70" s="152"/>
      <c r="CY70" s="151"/>
      <c r="CZ70" s="152"/>
      <c r="DA70" s="151"/>
      <c r="DB70" s="152"/>
      <c r="DC70" s="151"/>
      <c r="DD70" s="152"/>
      <c r="DE70" s="151"/>
      <c r="DF70" s="152"/>
      <c r="DG70" s="151"/>
      <c r="DH70" s="152"/>
      <c r="DI70" s="151">
        <f>'[5]7. beruházás'!J27</f>
        <v>3937</v>
      </c>
      <c r="DJ70" s="152"/>
      <c r="DK70" s="151"/>
      <c r="DL70" s="152"/>
      <c r="DM70" s="151"/>
      <c r="DN70" s="152"/>
      <c r="DO70" s="151"/>
      <c r="DP70" s="152"/>
      <c r="DQ70" s="151"/>
      <c r="DR70" s="152"/>
      <c r="DS70" s="151"/>
      <c r="DT70" s="152"/>
      <c r="DU70" s="151"/>
      <c r="DV70" s="152"/>
    </row>
    <row r="71" spans="1:126" x14ac:dyDescent="0.2">
      <c r="A71" s="150" t="s">
        <v>209</v>
      </c>
      <c r="B71" s="150" t="s">
        <v>211</v>
      </c>
      <c r="C71" s="151">
        <f t="shared" si="32"/>
        <v>0</v>
      </c>
      <c r="D71" s="152">
        <f t="shared" si="28"/>
        <v>0</v>
      </c>
      <c r="E71" s="151">
        <f t="shared" si="42"/>
        <v>0</v>
      </c>
      <c r="F71" s="152">
        <f t="shared" si="43"/>
        <v>0</v>
      </c>
      <c r="G71" s="151">
        <f t="shared" si="44"/>
        <v>0</v>
      </c>
      <c r="H71" s="152">
        <f t="shared" si="44"/>
        <v>0</v>
      </c>
      <c r="I71" s="151"/>
      <c r="J71" s="152"/>
      <c r="K71" s="151"/>
      <c r="L71" s="152"/>
      <c r="M71" s="151"/>
      <c r="N71" s="152"/>
      <c r="O71" s="151"/>
      <c r="P71" s="152"/>
      <c r="Q71" s="151"/>
      <c r="R71" s="152"/>
      <c r="S71" s="151"/>
      <c r="T71" s="152"/>
      <c r="U71" s="151"/>
      <c r="V71" s="152"/>
      <c r="W71" s="151"/>
      <c r="X71" s="152"/>
      <c r="Y71" s="151"/>
      <c r="Z71" s="152"/>
      <c r="AA71" s="151"/>
      <c r="AB71" s="152"/>
      <c r="AC71" s="151"/>
      <c r="AD71" s="152"/>
      <c r="AE71" s="151"/>
      <c r="AF71" s="152"/>
      <c r="AG71" s="151"/>
      <c r="AH71" s="152"/>
      <c r="AI71" s="151"/>
      <c r="AJ71" s="152"/>
      <c r="AK71" s="151"/>
      <c r="AL71" s="152"/>
      <c r="AM71" s="151"/>
      <c r="AN71" s="152"/>
      <c r="AO71" s="151"/>
      <c r="AP71" s="152"/>
      <c r="AQ71" s="151"/>
      <c r="AR71" s="152"/>
      <c r="AS71" s="151"/>
      <c r="AT71" s="152"/>
      <c r="AU71" s="151"/>
      <c r="AV71" s="152"/>
      <c r="AW71" s="151"/>
      <c r="AX71" s="152"/>
      <c r="AY71" s="151"/>
      <c r="AZ71" s="152"/>
      <c r="BA71" s="151"/>
      <c r="BB71" s="152"/>
      <c r="BC71" s="151"/>
      <c r="BD71" s="152"/>
      <c r="BE71" s="151"/>
      <c r="BF71" s="152"/>
      <c r="BG71" s="151"/>
      <c r="BH71" s="152"/>
      <c r="BI71" s="151"/>
      <c r="BJ71" s="152"/>
      <c r="BK71" s="151"/>
      <c r="BL71" s="152"/>
      <c r="BM71" s="151"/>
      <c r="BN71" s="152"/>
      <c r="BO71" s="151"/>
      <c r="BP71" s="152"/>
      <c r="BQ71" s="151"/>
      <c r="BR71" s="152"/>
      <c r="BS71" s="151"/>
      <c r="BT71" s="152"/>
      <c r="BU71" s="151"/>
      <c r="BV71" s="152"/>
      <c r="BW71" s="151"/>
      <c r="BX71" s="152"/>
      <c r="BY71" s="151"/>
      <c r="BZ71" s="152"/>
      <c r="CA71" s="151"/>
      <c r="CB71" s="152"/>
      <c r="CC71" s="151"/>
      <c r="CD71" s="152"/>
      <c r="CE71" s="151"/>
      <c r="CF71" s="152"/>
      <c r="CG71" s="151"/>
      <c r="CH71" s="152"/>
      <c r="CI71" s="151"/>
      <c r="CJ71" s="152"/>
      <c r="CK71" s="151"/>
      <c r="CL71" s="152"/>
      <c r="CM71" s="151"/>
      <c r="CN71" s="152"/>
      <c r="CO71" s="151"/>
      <c r="CP71" s="152"/>
      <c r="CQ71" s="151"/>
      <c r="CR71" s="152"/>
      <c r="CS71" s="151"/>
      <c r="CT71" s="152"/>
      <c r="CU71" s="151"/>
      <c r="CV71" s="152"/>
      <c r="CW71" s="151"/>
      <c r="CX71" s="152"/>
      <c r="CY71" s="151"/>
      <c r="CZ71" s="152"/>
      <c r="DA71" s="151"/>
      <c r="DB71" s="152"/>
      <c r="DC71" s="151"/>
      <c r="DD71" s="152"/>
      <c r="DE71" s="151"/>
      <c r="DF71" s="152"/>
      <c r="DG71" s="151"/>
      <c r="DH71" s="152"/>
      <c r="DI71" s="151"/>
      <c r="DJ71" s="152"/>
      <c r="DK71" s="151"/>
      <c r="DL71" s="152"/>
      <c r="DM71" s="151"/>
      <c r="DN71" s="152"/>
      <c r="DO71" s="151"/>
      <c r="DP71" s="152"/>
      <c r="DQ71" s="151"/>
      <c r="DR71" s="152"/>
      <c r="DS71" s="151"/>
      <c r="DT71" s="152"/>
      <c r="DU71" s="151"/>
      <c r="DV71" s="152"/>
    </row>
    <row r="72" spans="1:126" x14ac:dyDescent="0.2">
      <c r="A72" s="150" t="s">
        <v>212</v>
      </c>
      <c r="B72" s="150" t="s">
        <v>920</v>
      </c>
      <c r="C72" s="151">
        <f t="shared" si="32"/>
        <v>0</v>
      </c>
      <c r="D72" s="152">
        <f t="shared" si="28"/>
        <v>0</v>
      </c>
      <c r="E72" s="151">
        <f t="shared" si="42"/>
        <v>0</v>
      </c>
      <c r="F72" s="152">
        <f t="shared" si="43"/>
        <v>0</v>
      </c>
      <c r="G72" s="151">
        <f t="shared" si="44"/>
        <v>0</v>
      </c>
      <c r="H72" s="152">
        <f t="shared" si="44"/>
        <v>0</v>
      </c>
      <c r="I72" s="151"/>
      <c r="J72" s="152"/>
      <c r="K72" s="151"/>
      <c r="L72" s="152"/>
      <c r="M72" s="151"/>
      <c r="N72" s="152"/>
      <c r="O72" s="151"/>
      <c r="P72" s="152"/>
      <c r="Q72" s="151"/>
      <c r="R72" s="152"/>
      <c r="S72" s="151"/>
      <c r="T72" s="152"/>
      <c r="U72" s="151"/>
      <c r="V72" s="152"/>
      <c r="W72" s="151"/>
      <c r="X72" s="152"/>
      <c r="Y72" s="151"/>
      <c r="Z72" s="152"/>
      <c r="AA72" s="151"/>
      <c r="AB72" s="152"/>
      <c r="AC72" s="151"/>
      <c r="AD72" s="152"/>
      <c r="AE72" s="151"/>
      <c r="AF72" s="152"/>
      <c r="AG72" s="151"/>
      <c r="AH72" s="152"/>
      <c r="AI72" s="151"/>
      <c r="AJ72" s="152"/>
      <c r="AK72" s="151"/>
      <c r="AL72" s="152"/>
      <c r="AM72" s="151"/>
      <c r="AN72" s="152"/>
      <c r="AO72" s="151"/>
      <c r="AP72" s="152"/>
      <c r="AQ72" s="151"/>
      <c r="AR72" s="152"/>
      <c r="AS72" s="151"/>
      <c r="AT72" s="152"/>
      <c r="AU72" s="151"/>
      <c r="AV72" s="152"/>
      <c r="AW72" s="151"/>
      <c r="AX72" s="152"/>
      <c r="AY72" s="151"/>
      <c r="AZ72" s="152"/>
      <c r="BA72" s="151"/>
      <c r="BB72" s="152"/>
      <c r="BC72" s="151"/>
      <c r="BD72" s="152"/>
      <c r="BE72" s="151"/>
      <c r="BF72" s="152"/>
      <c r="BG72" s="151"/>
      <c r="BH72" s="152"/>
      <c r="BI72" s="151"/>
      <c r="BJ72" s="152"/>
      <c r="BK72" s="151"/>
      <c r="BL72" s="152"/>
      <c r="BM72" s="151"/>
      <c r="BN72" s="152"/>
      <c r="BO72" s="151"/>
      <c r="BP72" s="152"/>
      <c r="BQ72" s="151"/>
      <c r="BR72" s="152"/>
      <c r="BS72" s="151"/>
      <c r="BT72" s="152"/>
      <c r="BU72" s="151"/>
      <c r="BV72" s="152"/>
      <c r="BW72" s="151"/>
      <c r="BX72" s="152"/>
      <c r="BY72" s="151"/>
      <c r="BZ72" s="152"/>
      <c r="CA72" s="151"/>
      <c r="CB72" s="152"/>
      <c r="CC72" s="151"/>
      <c r="CD72" s="152"/>
      <c r="CE72" s="151"/>
      <c r="CF72" s="152"/>
      <c r="CG72" s="151"/>
      <c r="CH72" s="152"/>
      <c r="CI72" s="151"/>
      <c r="CJ72" s="152"/>
      <c r="CK72" s="151"/>
      <c r="CL72" s="152"/>
      <c r="CM72" s="151"/>
      <c r="CN72" s="152"/>
      <c r="CO72" s="151"/>
      <c r="CP72" s="152"/>
      <c r="CQ72" s="151"/>
      <c r="CR72" s="152"/>
      <c r="CS72" s="151"/>
      <c r="CT72" s="152"/>
      <c r="CU72" s="151"/>
      <c r="CV72" s="152"/>
      <c r="CW72" s="151"/>
      <c r="CX72" s="152"/>
      <c r="CY72" s="151"/>
      <c r="CZ72" s="152"/>
      <c r="DA72" s="151"/>
      <c r="DB72" s="152"/>
      <c r="DC72" s="151"/>
      <c r="DD72" s="152"/>
      <c r="DE72" s="151"/>
      <c r="DF72" s="152"/>
      <c r="DG72" s="151"/>
      <c r="DH72" s="152"/>
      <c r="DI72" s="151"/>
      <c r="DJ72" s="152"/>
      <c r="DK72" s="151"/>
      <c r="DL72" s="152"/>
      <c r="DM72" s="151"/>
      <c r="DN72" s="152"/>
      <c r="DO72" s="151"/>
      <c r="DP72" s="152"/>
      <c r="DQ72" s="151"/>
      <c r="DR72" s="152"/>
      <c r="DS72" s="151"/>
      <c r="DT72" s="152"/>
      <c r="DU72" s="151"/>
      <c r="DV72" s="152"/>
    </row>
    <row r="73" spans="1:126" x14ac:dyDescent="0.2">
      <c r="A73" s="150" t="s">
        <v>215</v>
      </c>
      <c r="B73" s="150" t="s">
        <v>921</v>
      </c>
      <c r="C73" s="151">
        <f t="shared" si="32"/>
        <v>89670</v>
      </c>
      <c r="D73" s="152">
        <f t="shared" si="28"/>
        <v>3998</v>
      </c>
      <c r="E73" s="151">
        <f t="shared" si="42"/>
        <v>29643</v>
      </c>
      <c r="F73" s="152">
        <f>L73+N73+P72:P73+R73+T73+V73+X73+Z73+AB73+AD73+AF73+AJ73+AH73</f>
        <v>3998</v>
      </c>
      <c r="G73" s="151">
        <f t="shared" si="44"/>
        <v>56029</v>
      </c>
      <c r="H73" s="152">
        <f t="shared" si="44"/>
        <v>0</v>
      </c>
      <c r="I73" s="151"/>
      <c r="J73" s="152"/>
      <c r="K73" s="151">
        <f>ROUND((K67+K68+K69+K70)*0.27,0)</f>
        <v>1824</v>
      </c>
      <c r="L73" s="152">
        <f>ROUND((L67+L68+L69+L70)*0.27,0)</f>
        <v>2126</v>
      </c>
      <c r="M73" s="151"/>
      <c r="N73" s="152">
        <f>ROUND((N67+N68+N69+N70)*0.27,0)</f>
        <v>319</v>
      </c>
      <c r="O73" s="151"/>
      <c r="P73" s="152"/>
      <c r="Q73" s="151"/>
      <c r="R73" s="152"/>
      <c r="S73" s="151"/>
      <c r="T73" s="152"/>
      <c r="U73" s="151"/>
      <c r="V73" s="152">
        <f>ROUND((V67+V68+V69+V70)*0.27,0)</f>
        <v>0</v>
      </c>
      <c r="W73" s="151"/>
      <c r="X73" s="152"/>
      <c r="Y73" s="151"/>
      <c r="Z73" s="152">
        <f>ROUND((Z67+Z68+Z69+Z70)*0.27,0)</f>
        <v>1175</v>
      </c>
      <c r="AA73" s="151"/>
      <c r="AB73" s="152">
        <f>ROUND((AB67+AB68+AB69+AB70)*0.27,0)</f>
        <v>378</v>
      </c>
      <c r="AC73" s="151"/>
      <c r="AD73" s="152"/>
      <c r="AE73" s="151">
        <f>'[5]7. beruházás'!K23+'[5]7. beruházás'!K8+'[5]7. beruházás'!K12+'[5]7. beruházás'!K13+'[5]7. beruházás'!K17+'[5]7. beruházás'!K18+'[5]7. beruházás'!K19+'[5]7. beruházás'!K24+'[5]7. beruházás'!K26</f>
        <v>27819</v>
      </c>
      <c r="AF73" s="152"/>
      <c r="AG73" s="151"/>
      <c r="AH73" s="152">
        <f>ROUND((AH67+AH68+AH69+AH70)*0.27,0)</f>
        <v>0</v>
      </c>
      <c r="AI73" s="151"/>
      <c r="AJ73" s="152"/>
      <c r="AK73" s="151"/>
      <c r="AL73" s="152"/>
      <c r="AM73" s="151"/>
      <c r="AN73" s="152"/>
      <c r="AO73" s="151"/>
      <c r="AP73" s="152"/>
      <c r="AQ73" s="151"/>
      <c r="AR73" s="152"/>
      <c r="AS73" s="151"/>
      <c r="AT73" s="152"/>
      <c r="AU73" s="151"/>
      <c r="AV73" s="152"/>
      <c r="AW73" s="151"/>
      <c r="AX73" s="152"/>
      <c r="AY73" s="151"/>
      <c r="AZ73" s="152"/>
      <c r="BA73" s="151"/>
      <c r="BB73" s="152"/>
      <c r="BC73" s="151"/>
      <c r="BD73" s="152"/>
      <c r="BE73" s="151"/>
      <c r="BF73" s="152"/>
      <c r="BG73" s="151"/>
      <c r="BH73" s="152"/>
      <c r="BI73" s="151"/>
      <c r="BJ73" s="152"/>
      <c r="BK73" s="151"/>
      <c r="BL73" s="152"/>
      <c r="BM73" s="151"/>
      <c r="BN73" s="152"/>
      <c r="BO73" s="151"/>
      <c r="BP73" s="152"/>
      <c r="BQ73" s="151"/>
      <c r="BR73" s="152"/>
      <c r="BS73" s="151"/>
      <c r="BT73" s="152"/>
      <c r="BU73" s="151"/>
      <c r="BV73" s="152"/>
      <c r="BW73" s="151"/>
      <c r="BX73" s="152"/>
      <c r="BY73" s="151"/>
      <c r="BZ73" s="152"/>
      <c r="CA73" s="151"/>
      <c r="CB73" s="152"/>
      <c r="CC73" s="151"/>
      <c r="CD73" s="152"/>
      <c r="CE73" s="151"/>
      <c r="CF73" s="152"/>
      <c r="CG73" s="151"/>
      <c r="CH73" s="152"/>
      <c r="CI73" s="151"/>
      <c r="CJ73" s="152"/>
      <c r="CK73" s="151"/>
      <c r="CL73" s="152"/>
      <c r="CM73" s="151"/>
      <c r="CN73" s="152"/>
      <c r="CO73" s="151"/>
      <c r="CP73" s="152"/>
      <c r="CQ73" s="151"/>
      <c r="CR73" s="152"/>
      <c r="CS73" s="151"/>
      <c r="CT73" s="152"/>
      <c r="CU73" s="151"/>
      <c r="CV73" s="152"/>
      <c r="CW73" s="151"/>
      <c r="CX73" s="152"/>
      <c r="CY73" s="151"/>
      <c r="CZ73" s="152"/>
      <c r="DA73" s="151"/>
      <c r="DB73" s="152"/>
      <c r="DC73" s="151"/>
      <c r="DD73" s="152"/>
      <c r="DE73" s="151"/>
      <c r="DF73" s="152"/>
      <c r="DG73" s="151"/>
      <c r="DH73" s="152"/>
      <c r="DI73" s="151">
        <f>'[5]7. beruházás'!K6+'[5]7. beruházás'!K7+'[5]7. beruházás'!K9+'[5]7. beruházás'!K10+'[5]7. beruházás'!K11+'[5]7. beruházás'!K14+'[5]7. beruházás'!K16+'[5]7. beruházás'!K15+'[5]7. beruházás'!K22+'[5]7. beruházás'!K25+'[5]7. beruházás'!K27+'[5]7. beruházás'!K28</f>
        <v>56029</v>
      </c>
      <c r="DJ73" s="152"/>
      <c r="DK73" s="151"/>
      <c r="DL73" s="152"/>
      <c r="DM73" s="151"/>
      <c r="DN73" s="152"/>
      <c r="DO73" s="151"/>
      <c r="DP73" s="152"/>
      <c r="DQ73" s="151"/>
      <c r="DR73" s="152"/>
      <c r="DS73" s="151"/>
      <c r="DT73" s="152"/>
      <c r="DU73" s="151"/>
      <c r="DV73" s="152"/>
    </row>
    <row r="74" spans="1:126" x14ac:dyDescent="0.2">
      <c r="A74" s="153" t="s">
        <v>218</v>
      </c>
      <c r="B74" s="153" t="s">
        <v>351</v>
      </c>
      <c r="C74" s="154" t="e">
        <f t="shared" ref="C74:I74" si="45">SUM(C67:C73)</f>
        <v>#REF!</v>
      </c>
      <c r="D74" s="155" t="e">
        <f t="shared" si="45"/>
        <v>#REF!</v>
      </c>
      <c r="E74" s="154">
        <f t="shared" si="45"/>
        <v>139433</v>
      </c>
      <c r="F74" s="155">
        <f t="shared" si="45"/>
        <v>215086</v>
      </c>
      <c r="G74" s="154">
        <f t="shared" si="45"/>
        <v>263547</v>
      </c>
      <c r="H74" s="155" t="e">
        <f t="shared" si="45"/>
        <v>#REF!</v>
      </c>
      <c r="I74" s="154">
        <f t="shared" si="45"/>
        <v>0</v>
      </c>
      <c r="J74" s="155">
        <f t="shared" ref="J74:AO74" si="46">SUM(J67:J73)</f>
        <v>0</v>
      </c>
      <c r="K74" s="154">
        <f t="shared" si="46"/>
        <v>8581</v>
      </c>
      <c r="L74" s="155">
        <f t="shared" si="46"/>
        <v>10000</v>
      </c>
      <c r="M74" s="154">
        <f t="shared" si="46"/>
        <v>0</v>
      </c>
      <c r="N74" s="155">
        <f t="shared" si="46"/>
        <v>1500</v>
      </c>
      <c r="O74" s="154">
        <f t="shared" si="46"/>
        <v>0</v>
      </c>
      <c r="P74" s="155">
        <f t="shared" si="46"/>
        <v>0</v>
      </c>
      <c r="Q74" s="154">
        <f t="shared" si="46"/>
        <v>0</v>
      </c>
      <c r="R74" s="155">
        <f t="shared" si="46"/>
        <v>0</v>
      </c>
      <c r="S74" s="154">
        <f t="shared" si="46"/>
        <v>0</v>
      </c>
      <c r="T74" s="155">
        <f>SUM(T67:T73)</f>
        <v>0</v>
      </c>
      <c r="U74" s="154">
        <f t="shared" si="46"/>
        <v>0</v>
      </c>
      <c r="V74" s="155">
        <f>SUM(V67:V73)</f>
        <v>0</v>
      </c>
      <c r="W74" s="154">
        <f t="shared" si="46"/>
        <v>0</v>
      </c>
      <c r="X74" s="155">
        <f t="shared" si="46"/>
        <v>0</v>
      </c>
      <c r="Y74" s="154">
        <f t="shared" si="46"/>
        <v>0</v>
      </c>
      <c r="Z74" s="155">
        <f t="shared" si="46"/>
        <v>5526</v>
      </c>
      <c r="AA74" s="154">
        <f t="shared" si="46"/>
        <v>0</v>
      </c>
      <c r="AB74" s="155">
        <f>SUM(AB67:AB73)</f>
        <v>1778</v>
      </c>
      <c r="AC74" s="154">
        <f t="shared" si="46"/>
        <v>0</v>
      </c>
      <c r="AD74" s="155">
        <f>SUM(AD67:AD73)</f>
        <v>0</v>
      </c>
      <c r="AE74" s="154">
        <f t="shared" si="46"/>
        <v>130852</v>
      </c>
      <c r="AF74" s="155">
        <f>SUM(AF67:AF73)</f>
        <v>196282</v>
      </c>
      <c r="AG74" s="154"/>
      <c r="AH74" s="155">
        <f>SUM(AH67:AH73)</f>
        <v>0</v>
      </c>
      <c r="AI74" s="154">
        <f>SUM(AI67:AI73)</f>
        <v>0</v>
      </c>
      <c r="AJ74" s="155">
        <f>SUM(AJ67:AJ73)</f>
        <v>0</v>
      </c>
      <c r="AK74" s="154">
        <f t="shared" si="46"/>
        <v>0</v>
      </c>
      <c r="AL74" s="155">
        <f>SUM(AL67:AL73)</f>
        <v>0</v>
      </c>
      <c r="AM74" s="154">
        <f t="shared" si="46"/>
        <v>0</v>
      </c>
      <c r="AN74" s="155"/>
      <c r="AO74" s="154">
        <f t="shared" si="46"/>
        <v>0</v>
      </c>
      <c r="AP74" s="155">
        <f>SUM(AP67:AP73)</f>
        <v>0</v>
      </c>
      <c r="AQ74" s="154">
        <f t="shared" ref="AQ74:DS74" si="47">SUM(AQ67:AQ73)</f>
        <v>0</v>
      </c>
      <c r="AR74" s="155">
        <f>SUM(AR67:AR73)</f>
        <v>0</v>
      </c>
      <c r="AS74" s="154">
        <f t="shared" si="47"/>
        <v>0</v>
      </c>
      <c r="AT74" s="155">
        <f>SUM(AT67:AT73)</f>
        <v>0</v>
      </c>
      <c r="AU74" s="154">
        <f t="shared" si="47"/>
        <v>0</v>
      </c>
      <c r="AV74" s="155">
        <f>SUM(AV67:AV73)</f>
        <v>0</v>
      </c>
      <c r="AW74" s="154">
        <f t="shared" si="47"/>
        <v>0</v>
      </c>
      <c r="AX74" s="155">
        <f>SUM(AX67:AX73)</f>
        <v>0</v>
      </c>
      <c r="AY74" s="154">
        <f t="shared" si="47"/>
        <v>0</v>
      </c>
      <c r="AZ74" s="155">
        <f>SUM(AZ67:AZ73)</f>
        <v>0</v>
      </c>
      <c r="BA74" s="154">
        <f t="shared" si="47"/>
        <v>0</v>
      </c>
      <c r="BB74" s="155">
        <f>SUM(BB67:BB73)</f>
        <v>0</v>
      </c>
      <c r="BC74" s="154">
        <f t="shared" si="47"/>
        <v>0</v>
      </c>
      <c r="BD74" s="155">
        <f>SUM(BD67:BD73)</f>
        <v>0</v>
      </c>
      <c r="BE74" s="154">
        <f t="shared" si="47"/>
        <v>0</v>
      </c>
      <c r="BF74" s="155">
        <f>SUM(BF67:BF73)</f>
        <v>0</v>
      </c>
      <c r="BG74" s="154">
        <f t="shared" si="47"/>
        <v>0</v>
      </c>
      <c r="BH74" s="155">
        <f>SUM(BH67:BH73)</f>
        <v>0</v>
      </c>
      <c r="BI74" s="154">
        <f t="shared" si="47"/>
        <v>0</v>
      </c>
      <c r="BJ74" s="155">
        <f>SUM(BJ67:BJ73)</f>
        <v>0</v>
      </c>
      <c r="BK74" s="154">
        <f t="shared" si="47"/>
        <v>0</v>
      </c>
      <c r="BL74" s="155">
        <f>SUM(BL67:BL73)</f>
        <v>0</v>
      </c>
      <c r="BM74" s="154">
        <f t="shared" si="47"/>
        <v>0</v>
      </c>
      <c r="BN74" s="155">
        <f>SUM(BN67:BN73)</f>
        <v>0</v>
      </c>
      <c r="BO74" s="154">
        <f t="shared" si="47"/>
        <v>0</v>
      </c>
      <c r="BP74" s="155">
        <f>SUM(BP67:BP73)</f>
        <v>0</v>
      </c>
      <c r="BQ74" s="154">
        <f t="shared" si="47"/>
        <v>0</v>
      </c>
      <c r="BR74" s="155">
        <f>SUM(BR67:BR73)</f>
        <v>0</v>
      </c>
      <c r="BS74" s="154">
        <f t="shared" si="47"/>
        <v>0</v>
      </c>
      <c r="BT74" s="155">
        <f>SUM(BT67:BT73)</f>
        <v>0</v>
      </c>
      <c r="BU74" s="154">
        <f t="shared" si="47"/>
        <v>0</v>
      </c>
      <c r="BV74" s="155">
        <f>SUM(BV67:BV73)</f>
        <v>0</v>
      </c>
      <c r="BW74" s="154">
        <f t="shared" si="47"/>
        <v>0</v>
      </c>
      <c r="BX74" s="155">
        <f>SUM(BX67:BX73)</f>
        <v>0</v>
      </c>
      <c r="BY74" s="154">
        <f t="shared" si="47"/>
        <v>0</v>
      </c>
      <c r="BZ74" s="155">
        <f>SUM(BZ67:BZ73)</f>
        <v>0</v>
      </c>
      <c r="CA74" s="154">
        <f t="shared" si="47"/>
        <v>0</v>
      </c>
      <c r="CB74" s="155">
        <f>SUM(CB67:CB73)</f>
        <v>0</v>
      </c>
      <c r="CC74" s="154">
        <f t="shared" si="47"/>
        <v>0</v>
      </c>
      <c r="CD74" s="155">
        <f>SUM(CD67:CD73)</f>
        <v>0</v>
      </c>
      <c r="CE74" s="154">
        <f>SUM(CE67:CE73)</f>
        <v>0</v>
      </c>
      <c r="CF74" s="155">
        <f>SUM(CF67:CF73)</f>
        <v>0</v>
      </c>
      <c r="CG74" s="154">
        <f t="shared" si="47"/>
        <v>0</v>
      </c>
      <c r="CH74" s="155">
        <f>SUM(CH67:CH73)</f>
        <v>0</v>
      </c>
      <c r="CI74" s="154">
        <f t="shared" si="47"/>
        <v>0</v>
      </c>
      <c r="CJ74" s="155">
        <f>SUM(CJ67:CJ73)</f>
        <v>0</v>
      </c>
      <c r="CK74" s="154">
        <f t="shared" si="47"/>
        <v>0</v>
      </c>
      <c r="CL74" s="155">
        <f>SUM(CL67:CL73)</f>
        <v>0</v>
      </c>
      <c r="CM74" s="154">
        <f t="shared" si="47"/>
        <v>0</v>
      </c>
      <c r="CN74" s="155">
        <f>SUM(CN67:CN73)</f>
        <v>0</v>
      </c>
      <c r="CO74" s="154">
        <f t="shared" si="47"/>
        <v>0</v>
      </c>
      <c r="CP74" s="155">
        <f>SUM(CP67:CP73)</f>
        <v>0</v>
      </c>
      <c r="CQ74" s="154">
        <f t="shared" si="47"/>
        <v>0</v>
      </c>
      <c r="CR74" s="155">
        <f>SUM(CR67:CR73)</f>
        <v>0</v>
      </c>
      <c r="CS74" s="154">
        <f t="shared" si="47"/>
        <v>0</v>
      </c>
      <c r="CT74" s="155">
        <f>SUM(CT67:CT73)</f>
        <v>0</v>
      </c>
      <c r="CU74" s="154">
        <f t="shared" si="47"/>
        <v>0</v>
      </c>
      <c r="CV74" s="155">
        <f>SUM(CV67:CV73)</f>
        <v>0</v>
      </c>
      <c r="CW74" s="154">
        <f t="shared" si="47"/>
        <v>0</v>
      </c>
      <c r="CX74" s="155">
        <f>SUM(CX67:CX73)</f>
        <v>0</v>
      </c>
      <c r="CY74" s="154">
        <f t="shared" si="47"/>
        <v>0</v>
      </c>
      <c r="CZ74" s="155"/>
      <c r="DA74" s="154">
        <f t="shared" si="47"/>
        <v>0</v>
      </c>
      <c r="DB74" s="155"/>
      <c r="DC74" s="154">
        <f t="shared" si="47"/>
        <v>0</v>
      </c>
      <c r="DD74" s="155">
        <f>SUM(DD67:DD73)</f>
        <v>0</v>
      </c>
      <c r="DE74" s="154">
        <f t="shared" si="47"/>
        <v>0</v>
      </c>
      <c r="DF74" s="155">
        <f>SUM(DF67:DF73)</f>
        <v>0</v>
      </c>
      <c r="DG74" s="154">
        <f t="shared" si="47"/>
        <v>0</v>
      </c>
      <c r="DH74" s="155">
        <f>SUM(DH67:DH73)</f>
        <v>0</v>
      </c>
      <c r="DI74" s="154">
        <f t="shared" si="47"/>
        <v>263547</v>
      </c>
      <c r="DJ74" s="155" t="e">
        <f>SUM(DJ67:DJ73)</f>
        <v>#REF!</v>
      </c>
      <c r="DK74" s="154">
        <f t="shared" si="47"/>
        <v>0</v>
      </c>
      <c r="DL74" s="155">
        <f>SUM(DL67:DL73)</f>
        <v>0</v>
      </c>
      <c r="DM74" s="154">
        <f t="shared" si="47"/>
        <v>0</v>
      </c>
      <c r="DN74" s="155">
        <f>SUM(DN67:DN73)</f>
        <v>0</v>
      </c>
      <c r="DO74" s="154">
        <f t="shared" si="47"/>
        <v>0</v>
      </c>
      <c r="DP74" s="155">
        <f>SUM(DP67:DP73)</f>
        <v>0</v>
      </c>
      <c r="DQ74" s="154">
        <f t="shared" si="47"/>
        <v>0</v>
      </c>
      <c r="DR74" s="155"/>
      <c r="DS74" s="154">
        <f t="shared" si="47"/>
        <v>0</v>
      </c>
      <c r="DT74" s="155">
        <f>SUM(DT67:DT73)</f>
        <v>0</v>
      </c>
      <c r="DU74" s="154"/>
      <c r="DV74" s="155"/>
    </row>
    <row r="75" spans="1:126" x14ac:dyDescent="0.2">
      <c r="A75" s="150" t="s">
        <v>221</v>
      </c>
      <c r="B75" s="150" t="s">
        <v>223</v>
      </c>
      <c r="C75" s="151">
        <f t="shared" si="32"/>
        <v>327097</v>
      </c>
      <c r="D75" s="152">
        <f t="shared" si="28"/>
        <v>213922</v>
      </c>
      <c r="E75" s="151">
        <f>K75+M75+O74:O75+Q75+S75+U75+W75+Y75+AA75+AC75+AE75+AI75</f>
        <v>90308</v>
      </c>
      <c r="F75" s="152">
        <f>L75+N75+P74:P75+R75+T75+V75+X75+Z75+AB75+AD75+AF75+AJ75+AH75</f>
        <v>196922</v>
      </c>
      <c r="G75" s="151">
        <f t="shared" si="44"/>
        <v>22867</v>
      </c>
      <c r="H75" s="152">
        <f t="shared" si="44"/>
        <v>17000</v>
      </c>
      <c r="I75" s="151"/>
      <c r="J75" s="152"/>
      <c r="K75" s="151"/>
      <c r="L75" s="152"/>
      <c r="M75" s="151"/>
      <c r="N75" s="152"/>
      <c r="O75" s="151"/>
      <c r="P75" s="152"/>
      <c r="Q75" s="151"/>
      <c r="R75" s="152"/>
      <c r="S75" s="151"/>
      <c r="T75" s="152"/>
      <c r="U75" s="151"/>
      <c r="V75" s="152"/>
      <c r="W75" s="151"/>
      <c r="X75" s="152"/>
      <c r="Y75" s="151"/>
      <c r="Z75" s="152"/>
      <c r="AA75" s="151"/>
      <c r="AB75" s="152"/>
      <c r="AC75" s="151"/>
      <c r="AD75" s="152"/>
      <c r="AE75" s="151">
        <f>'[5]8. felújítás'!J6+'[5]8. felújítás'!J12+'[5]8. felújítás'!J13+'[5]8. felújítás'!J14+'[5]8. felújítás'!J8</f>
        <v>90308</v>
      </c>
      <c r="AF75" s="152">
        <v>196922</v>
      </c>
      <c r="AG75" s="151"/>
      <c r="AH75" s="152">
        <v>0</v>
      </c>
      <c r="AI75" s="151"/>
      <c r="AJ75" s="152"/>
      <c r="AK75" s="151"/>
      <c r="AL75" s="152"/>
      <c r="AM75" s="151"/>
      <c r="AN75" s="152"/>
      <c r="AO75" s="151"/>
      <c r="AP75" s="152"/>
      <c r="AQ75" s="151"/>
      <c r="AR75" s="152"/>
      <c r="AS75" s="151"/>
      <c r="AT75" s="152"/>
      <c r="AU75" s="151"/>
      <c r="AV75" s="152"/>
      <c r="AW75" s="151"/>
      <c r="AX75" s="152"/>
      <c r="AY75" s="151"/>
      <c r="AZ75" s="152"/>
      <c r="BA75" s="151"/>
      <c r="BB75" s="152"/>
      <c r="BC75" s="151"/>
      <c r="BD75" s="152"/>
      <c r="BE75" s="151"/>
      <c r="BF75" s="152"/>
      <c r="BG75" s="151"/>
      <c r="BH75" s="152"/>
      <c r="BI75" s="151"/>
      <c r="BJ75" s="152"/>
      <c r="BK75" s="151"/>
      <c r="BL75" s="152"/>
      <c r="BM75" s="151"/>
      <c r="BN75" s="152"/>
      <c r="BO75" s="151"/>
      <c r="BP75" s="152"/>
      <c r="BQ75" s="151"/>
      <c r="BR75" s="152"/>
      <c r="BS75" s="151"/>
      <c r="BT75" s="152"/>
      <c r="BU75" s="151"/>
      <c r="BV75" s="152"/>
      <c r="BW75" s="151"/>
      <c r="BX75" s="152"/>
      <c r="BY75" s="151"/>
      <c r="BZ75" s="152"/>
      <c r="CA75" s="151"/>
      <c r="CB75" s="152"/>
      <c r="CC75" s="151"/>
      <c r="CD75" s="152"/>
      <c r="CE75" s="151"/>
      <c r="CF75" s="152"/>
      <c r="CG75" s="151"/>
      <c r="CH75" s="152"/>
      <c r="CI75" s="151"/>
      <c r="CJ75" s="152"/>
      <c r="CK75" s="151"/>
      <c r="CL75" s="152"/>
      <c r="CM75" s="151"/>
      <c r="CN75" s="152"/>
      <c r="CO75" s="151"/>
      <c r="CP75" s="152"/>
      <c r="CQ75" s="151"/>
      <c r="CR75" s="152"/>
      <c r="CS75" s="151"/>
      <c r="CT75" s="152"/>
      <c r="CU75" s="151"/>
      <c r="CV75" s="152"/>
      <c r="CW75" s="151"/>
      <c r="CX75" s="152"/>
      <c r="CY75" s="151"/>
      <c r="CZ75" s="152"/>
      <c r="DA75" s="151"/>
      <c r="DB75" s="152"/>
      <c r="DC75" s="151"/>
      <c r="DD75" s="152"/>
      <c r="DE75" s="151"/>
      <c r="DF75" s="152"/>
      <c r="DG75" s="151"/>
      <c r="DH75" s="152"/>
      <c r="DI75" s="151"/>
      <c r="DJ75" s="152"/>
      <c r="DK75" s="151">
        <f>'[5]8. felújítás'!J7+'[5]8. felújítás'!J15+'[5]8. felújítás'!J16+'[5]8. felújítás'!J17</f>
        <v>22867</v>
      </c>
      <c r="DL75" s="152">
        <v>17000</v>
      </c>
      <c r="DM75" s="151"/>
      <c r="DN75" s="152"/>
      <c r="DO75" s="151"/>
      <c r="DP75" s="152"/>
      <c r="DQ75" s="151"/>
      <c r="DR75" s="152"/>
      <c r="DS75" s="151"/>
      <c r="DT75" s="152"/>
      <c r="DU75" s="151"/>
      <c r="DV75" s="152"/>
    </row>
    <row r="76" spans="1:126" x14ac:dyDescent="0.2">
      <c r="A76" s="150" t="s">
        <v>224</v>
      </c>
      <c r="B76" s="150" t="s">
        <v>922</v>
      </c>
      <c r="C76" s="151">
        <f t="shared" si="32"/>
        <v>0</v>
      </c>
      <c r="D76" s="152">
        <f t="shared" si="28"/>
        <v>0</v>
      </c>
      <c r="E76" s="151">
        <f>K76+M76+O75:O76+Q76+S76+U76+W76+Y76+AA76+AC76+AE76+AI76</f>
        <v>0</v>
      </c>
      <c r="F76" s="152">
        <f>L76+N76+P75:P76+R76+T76+V76+X76+Z76+AB76+AD76+AF76+AJ76+AH76</f>
        <v>0</v>
      </c>
      <c r="G76" s="151">
        <f t="shared" si="44"/>
        <v>0</v>
      </c>
      <c r="H76" s="152">
        <f t="shared" si="44"/>
        <v>0</v>
      </c>
      <c r="I76" s="151"/>
      <c r="J76" s="152"/>
      <c r="K76" s="151"/>
      <c r="L76" s="152"/>
      <c r="M76" s="151"/>
      <c r="N76" s="152"/>
      <c r="O76" s="151"/>
      <c r="P76" s="152"/>
      <c r="Q76" s="151"/>
      <c r="R76" s="152"/>
      <c r="S76" s="151"/>
      <c r="T76" s="152"/>
      <c r="U76" s="151"/>
      <c r="V76" s="152"/>
      <c r="W76" s="151"/>
      <c r="X76" s="152"/>
      <c r="Y76" s="151"/>
      <c r="Z76" s="152"/>
      <c r="AA76" s="151"/>
      <c r="AB76" s="152"/>
      <c r="AC76" s="151"/>
      <c r="AD76" s="152"/>
      <c r="AE76" s="151"/>
      <c r="AF76" s="152"/>
      <c r="AG76" s="151"/>
      <c r="AH76" s="152"/>
      <c r="AI76" s="151"/>
      <c r="AJ76" s="152"/>
      <c r="AK76" s="151"/>
      <c r="AL76" s="152"/>
      <c r="AM76" s="151"/>
      <c r="AN76" s="152"/>
      <c r="AO76" s="151"/>
      <c r="AP76" s="152"/>
      <c r="AQ76" s="151"/>
      <c r="AR76" s="152"/>
      <c r="AS76" s="151"/>
      <c r="AT76" s="152"/>
      <c r="AU76" s="151"/>
      <c r="AV76" s="152"/>
      <c r="AW76" s="151"/>
      <c r="AX76" s="152"/>
      <c r="AY76" s="151"/>
      <c r="AZ76" s="152"/>
      <c r="BA76" s="151"/>
      <c r="BB76" s="152"/>
      <c r="BC76" s="151"/>
      <c r="BD76" s="152"/>
      <c r="BE76" s="151"/>
      <c r="BF76" s="152"/>
      <c r="BG76" s="151"/>
      <c r="BH76" s="152"/>
      <c r="BI76" s="151"/>
      <c r="BJ76" s="152"/>
      <c r="BK76" s="151"/>
      <c r="BL76" s="152"/>
      <c r="BM76" s="151"/>
      <c r="BN76" s="152"/>
      <c r="BO76" s="151"/>
      <c r="BP76" s="152"/>
      <c r="BQ76" s="151"/>
      <c r="BR76" s="152"/>
      <c r="BS76" s="151"/>
      <c r="BT76" s="152"/>
      <c r="BU76" s="151"/>
      <c r="BV76" s="152"/>
      <c r="BW76" s="151"/>
      <c r="BX76" s="152"/>
      <c r="BY76" s="151"/>
      <c r="BZ76" s="152"/>
      <c r="CA76" s="151"/>
      <c r="CB76" s="152"/>
      <c r="CC76" s="151"/>
      <c r="CD76" s="152"/>
      <c r="CE76" s="151"/>
      <c r="CF76" s="152"/>
      <c r="CG76" s="151"/>
      <c r="CH76" s="152"/>
      <c r="CI76" s="151"/>
      <c r="CJ76" s="152"/>
      <c r="CK76" s="151"/>
      <c r="CL76" s="152"/>
      <c r="CM76" s="151"/>
      <c r="CN76" s="152"/>
      <c r="CO76" s="151"/>
      <c r="CP76" s="152"/>
      <c r="CQ76" s="151"/>
      <c r="CR76" s="152"/>
      <c r="CS76" s="151"/>
      <c r="CT76" s="152"/>
      <c r="CU76" s="151"/>
      <c r="CV76" s="152"/>
      <c r="CW76" s="151"/>
      <c r="CX76" s="152"/>
      <c r="CY76" s="151"/>
      <c r="CZ76" s="152"/>
      <c r="DA76" s="151"/>
      <c r="DB76" s="152"/>
      <c r="DC76" s="151"/>
      <c r="DD76" s="152"/>
      <c r="DE76" s="151"/>
      <c r="DF76" s="152"/>
      <c r="DG76" s="151"/>
      <c r="DH76" s="152"/>
      <c r="DI76" s="151"/>
      <c r="DJ76" s="152"/>
      <c r="DK76" s="151"/>
      <c r="DL76" s="152"/>
      <c r="DM76" s="151"/>
      <c r="DN76" s="152"/>
      <c r="DO76" s="151"/>
      <c r="DP76" s="152"/>
      <c r="DQ76" s="151"/>
      <c r="DR76" s="152"/>
      <c r="DS76" s="151"/>
      <c r="DT76" s="152"/>
      <c r="DU76" s="151"/>
      <c r="DV76" s="152"/>
    </row>
    <row r="77" spans="1:126" x14ac:dyDescent="0.2">
      <c r="A77" s="150" t="s">
        <v>227</v>
      </c>
      <c r="B77" s="150" t="s">
        <v>923</v>
      </c>
      <c r="C77" s="151">
        <f t="shared" si="32"/>
        <v>0</v>
      </c>
      <c r="D77" s="152">
        <f t="shared" si="28"/>
        <v>0</v>
      </c>
      <c r="E77" s="151">
        <f>K77+M77+O76:O77+Q77+S77+U77+W77+Y77+AA77+AC77+AE77+AI77</f>
        <v>0</v>
      </c>
      <c r="F77" s="152">
        <f>L77+N77+P76:P77+R77+T77+V77+X77+Z77+AB77+AD77+AF77+AJ77+AH77</f>
        <v>0</v>
      </c>
      <c r="G77" s="151">
        <f t="shared" si="44"/>
        <v>0</v>
      </c>
      <c r="H77" s="152">
        <f t="shared" si="44"/>
        <v>0</v>
      </c>
      <c r="I77" s="151"/>
      <c r="J77" s="152"/>
      <c r="K77" s="151"/>
      <c r="L77" s="152"/>
      <c r="M77" s="151"/>
      <c r="N77" s="152"/>
      <c r="O77" s="151"/>
      <c r="P77" s="152"/>
      <c r="Q77" s="151"/>
      <c r="R77" s="152"/>
      <c r="S77" s="151"/>
      <c r="T77" s="152"/>
      <c r="U77" s="151"/>
      <c r="V77" s="152"/>
      <c r="W77" s="151"/>
      <c r="X77" s="152"/>
      <c r="Y77" s="151"/>
      <c r="Z77" s="152"/>
      <c r="AA77" s="151"/>
      <c r="AB77" s="152"/>
      <c r="AC77" s="151"/>
      <c r="AD77" s="152"/>
      <c r="AE77" s="151"/>
      <c r="AF77" s="152"/>
      <c r="AG77" s="151"/>
      <c r="AH77" s="152"/>
      <c r="AI77" s="151"/>
      <c r="AJ77" s="152"/>
      <c r="AK77" s="151"/>
      <c r="AL77" s="152"/>
      <c r="AM77" s="151"/>
      <c r="AN77" s="152"/>
      <c r="AO77" s="151"/>
      <c r="AP77" s="152"/>
      <c r="AQ77" s="151"/>
      <c r="AR77" s="152"/>
      <c r="AS77" s="151"/>
      <c r="AT77" s="152"/>
      <c r="AU77" s="151"/>
      <c r="AV77" s="152"/>
      <c r="AW77" s="151"/>
      <c r="AX77" s="152"/>
      <c r="AY77" s="151"/>
      <c r="AZ77" s="152"/>
      <c r="BA77" s="151"/>
      <c r="BB77" s="152"/>
      <c r="BC77" s="151"/>
      <c r="BD77" s="152"/>
      <c r="BE77" s="151"/>
      <c r="BF77" s="152"/>
      <c r="BG77" s="151"/>
      <c r="BH77" s="152"/>
      <c r="BI77" s="151"/>
      <c r="BJ77" s="152"/>
      <c r="BK77" s="151"/>
      <c r="BL77" s="152"/>
      <c r="BM77" s="151"/>
      <c r="BN77" s="152"/>
      <c r="BO77" s="151"/>
      <c r="BP77" s="152"/>
      <c r="BQ77" s="151"/>
      <c r="BR77" s="152"/>
      <c r="BS77" s="151"/>
      <c r="BT77" s="152"/>
      <c r="BU77" s="151"/>
      <c r="BV77" s="152"/>
      <c r="BW77" s="151"/>
      <c r="BX77" s="152"/>
      <c r="BY77" s="151"/>
      <c r="BZ77" s="152"/>
      <c r="CA77" s="151"/>
      <c r="CB77" s="152"/>
      <c r="CC77" s="151"/>
      <c r="CD77" s="152"/>
      <c r="CE77" s="151"/>
      <c r="CF77" s="152"/>
      <c r="CG77" s="151"/>
      <c r="CH77" s="152"/>
      <c r="CI77" s="151"/>
      <c r="CJ77" s="152"/>
      <c r="CK77" s="151"/>
      <c r="CL77" s="152"/>
      <c r="CM77" s="151"/>
      <c r="CN77" s="152"/>
      <c r="CO77" s="151"/>
      <c r="CP77" s="152"/>
      <c r="CQ77" s="151"/>
      <c r="CR77" s="152"/>
      <c r="CS77" s="151"/>
      <c r="CT77" s="152"/>
      <c r="CU77" s="151"/>
      <c r="CV77" s="152"/>
      <c r="CW77" s="151"/>
      <c r="CX77" s="152"/>
      <c r="CY77" s="151"/>
      <c r="CZ77" s="152"/>
      <c r="DA77" s="151"/>
      <c r="DB77" s="152"/>
      <c r="DC77" s="151"/>
      <c r="DD77" s="152"/>
      <c r="DE77" s="151"/>
      <c r="DF77" s="152"/>
      <c r="DG77" s="151"/>
      <c r="DH77" s="152"/>
      <c r="DI77" s="151"/>
      <c r="DJ77" s="152"/>
      <c r="DK77" s="151"/>
      <c r="DL77" s="152"/>
      <c r="DM77" s="151"/>
      <c r="DN77" s="152"/>
      <c r="DO77" s="151"/>
      <c r="DP77" s="152"/>
      <c r="DQ77" s="151"/>
      <c r="DR77" s="152"/>
      <c r="DS77" s="151"/>
      <c r="DT77" s="152"/>
      <c r="DU77" s="151"/>
      <c r="DV77" s="152"/>
    </row>
    <row r="78" spans="1:126" x14ac:dyDescent="0.2">
      <c r="A78" s="150" t="s">
        <v>232</v>
      </c>
      <c r="B78" s="150" t="s">
        <v>924</v>
      </c>
      <c r="C78" s="151">
        <f t="shared" si="32"/>
        <v>30557</v>
      </c>
      <c r="D78" s="152">
        <f t="shared" si="28"/>
        <v>0</v>
      </c>
      <c r="E78" s="151">
        <f>K78+M78+O77:O78+Q78+S78+U78+W78+Y78+AA78+AC78+AE78+AI78</f>
        <v>24384</v>
      </c>
      <c r="F78" s="152">
        <f>L78+N78+P77:P78+R78+T78+V78+X78+Z78+AB78+AD78+AF78+AJ78+AH78</f>
        <v>0</v>
      </c>
      <c r="G78" s="151">
        <f t="shared" si="44"/>
        <v>6173</v>
      </c>
      <c r="H78" s="152">
        <f t="shared" si="44"/>
        <v>0</v>
      </c>
      <c r="I78" s="151"/>
      <c r="J78" s="152"/>
      <c r="K78" s="151"/>
      <c r="L78" s="152"/>
      <c r="M78" s="151"/>
      <c r="N78" s="152"/>
      <c r="O78" s="151"/>
      <c r="P78" s="152"/>
      <c r="Q78" s="151"/>
      <c r="R78" s="152"/>
      <c r="S78" s="151"/>
      <c r="T78" s="152"/>
      <c r="U78" s="151"/>
      <c r="V78" s="152"/>
      <c r="W78" s="151"/>
      <c r="X78" s="152"/>
      <c r="Y78" s="151"/>
      <c r="Z78" s="152"/>
      <c r="AA78" s="151"/>
      <c r="AB78" s="152"/>
      <c r="AC78" s="151"/>
      <c r="AD78" s="152"/>
      <c r="AE78" s="151">
        <f>'[5]8. felújítás'!K6+'[5]8. felújítás'!K12+'[5]8. felújítás'!K13+'[5]8. felújítás'!K14+'[5]8. felújítás'!K8</f>
        <v>24384</v>
      </c>
      <c r="AF78" s="152">
        <v>0</v>
      </c>
      <c r="AG78" s="151"/>
      <c r="AH78" s="152">
        <v>0</v>
      </c>
      <c r="AI78" s="151"/>
      <c r="AJ78" s="152"/>
      <c r="AK78" s="151"/>
      <c r="AL78" s="152"/>
      <c r="AM78" s="151"/>
      <c r="AN78" s="152"/>
      <c r="AO78" s="151"/>
      <c r="AP78" s="152"/>
      <c r="AQ78" s="151"/>
      <c r="AR78" s="152"/>
      <c r="AS78" s="151"/>
      <c r="AT78" s="152"/>
      <c r="AU78" s="151"/>
      <c r="AV78" s="152"/>
      <c r="AW78" s="151"/>
      <c r="AX78" s="152"/>
      <c r="AY78" s="151"/>
      <c r="AZ78" s="152"/>
      <c r="BA78" s="151"/>
      <c r="BB78" s="152"/>
      <c r="BC78" s="151"/>
      <c r="BD78" s="152"/>
      <c r="BE78" s="151"/>
      <c r="BF78" s="152"/>
      <c r="BG78" s="151"/>
      <c r="BH78" s="152"/>
      <c r="BI78" s="151"/>
      <c r="BJ78" s="152"/>
      <c r="BK78" s="151"/>
      <c r="BL78" s="152"/>
      <c r="BM78" s="151"/>
      <c r="BN78" s="152"/>
      <c r="BO78" s="151"/>
      <c r="BP78" s="152"/>
      <c r="BQ78" s="151"/>
      <c r="BR78" s="152"/>
      <c r="BS78" s="151"/>
      <c r="BT78" s="152"/>
      <c r="BU78" s="151"/>
      <c r="BV78" s="152"/>
      <c r="BW78" s="151"/>
      <c r="BX78" s="152"/>
      <c r="BY78" s="151"/>
      <c r="BZ78" s="152"/>
      <c r="CA78" s="151"/>
      <c r="CB78" s="152"/>
      <c r="CC78" s="151"/>
      <c r="CD78" s="152"/>
      <c r="CE78" s="151"/>
      <c r="CF78" s="152"/>
      <c r="CG78" s="151"/>
      <c r="CH78" s="152"/>
      <c r="CI78" s="151"/>
      <c r="CJ78" s="152"/>
      <c r="CK78" s="151"/>
      <c r="CL78" s="152"/>
      <c r="CM78" s="151"/>
      <c r="CN78" s="152"/>
      <c r="CO78" s="151"/>
      <c r="CP78" s="152"/>
      <c r="CQ78" s="151"/>
      <c r="CR78" s="152"/>
      <c r="CS78" s="151"/>
      <c r="CT78" s="152"/>
      <c r="CU78" s="151"/>
      <c r="CV78" s="152"/>
      <c r="CW78" s="151"/>
      <c r="CX78" s="152"/>
      <c r="CY78" s="151"/>
      <c r="CZ78" s="152"/>
      <c r="DA78" s="151"/>
      <c r="DB78" s="152"/>
      <c r="DC78" s="151"/>
      <c r="DD78" s="152"/>
      <c r="DE78" s="151"/>
      <c r="DF78" s="152"/>
      <c r="DG78" s="151"/>
      <c r="DH78" s="152"/>
      <c r="DI78" s="151"/>
      <c r="DJ78" s="152"/>
      <c r="DK78" s="151">
        <f>'[5]8. felújítás'!K7+'[5]8. felújítás'!K15+'[5]8. felújítás'!K16+'[5]8. felújítás'!K17</f>
        <v>6173</v>
      </c>
      <c r="DL78" s="152"/>
      <c r="DM78" s="151"/>
      <c r="DN78" s="152"/>
      <c r="DO78" s="151"/>
      <c r="DP78" s="152"/>
      <c r="DQ78" s="151"/>
      <c r="DR78" s="152"/>
      <c r="DS78" s="151"/>
      <c r="DT78" s="152"/>
      <c r="DU78" s="151"/>
      <c r="DV78" s="152"/>
    </row>
    <row r="79" spans="1:126" x14ac:dyDescent="0.2">
      <c r="A79" s="153" t="s">
        <v>235</v>
      </c>
      <c r="B79" s="153" t="s">
        <v>342</v>
      </c>
      <c r="C79" s="154">
        <f t="shared" ref="C79:I79" si="48">SUM(C75:C78)</f>
        <v>357654</v>
      </c>
      <c r="D79" s="155">
        <f t="shared" si="48"/>
        <v>213922</v>
      </c>
      <c r="E79" s="154">
        <f t="shared" si="48"/>
        <v>114692</v>
      </c>
      <c r="F79" s="155">
        <f t="shared" si="48"/>
        <v>196922</v>
      </c>
      <c r="G79" s="154">
        <f t="shared" si="48"/>
        <v>29040</v>
      </c>
      <c r="H79" s="155">
        <f t="shared" si="48"/>
        <v>17000</v>
      </c>
      <c r="I79" s="154">
        <f t="shared" si="48"/>
        <v>0</v>
      </c>
      <c r="J79" s="155">
        <f t="shared" ref="J79:AO79" si="49">SUM(J75:J78)</f>
        <v>0</v>
      </c>
      <c r="K79" s="154">
        <f t="shared" si="49"/>
        <v>0</v>
      </c>
      <c r="L79" s="155">
        <f t="shared" si="49"/>
        <v>0</v>
      </c>
      <c r="M79" s="154">
        <f t="shared" si="49"/>
        <v>0</v>
      </c>
      <c r="N79" s="155">
        <f t="shared" si="49"/>
        <v>0</v>
      </c>
      <c r="O79" s="154">
        <f t="shared" si="49"/>
        <v>0</v>
      </c>
      <c r="P79" s="155">
        <f t="shared" si="49"/>
        <v>0</v>
      </c>
      <c r="Q79" s="154">
        <f t="shared" si="49"/>
        <v>0</v>
      </c>
      <c r="R79" s="155">
        <f t="shared" si="49"/>
        <v>0</v>
      </c>
      <c r="S79" s="154">
        <f t="shared" si="49"/>
        <v>0</v>
      </c>
      <c r="T79" s="155">
        <f>SUM(T75:T78)</f>
        <v>0</v>
      </c>
      <c r="U79" s="154">
        <f t="shared" si="49"/>
        <v>0</v>
      </c>
      <c r="V79" s="155">
        <f>SUM(V75:V78)</f>
        <v>0</v>
      </c>
      <c r="W79" s="154">
        <f t="shared" si="49"/>
        <v>0</v>
      </c>
      <c r="X79" s="155">
        <f t="shared" si="49"/>
        <v>0</v>
      </c>
      <c r="Y79" s="154">
        <f t="shared" si="49"/>
        <v>0</v>
      </c>
      <c r="Z79" s="155">
        <f t="shared" si="49"/>
        <v>0</v>
      </c>
      <c r="AA79" s="154">
        <f t="shared" si="49"/>
        <v>0</v>
      </c>
      <c r="AB79" s="155">
        <f>SUM(AB75:AB78)</f>
        <v>0</v>
      </c>
      <c r="AC79" s="154">
        <f t="shared" si="49"/>
        <v>0</v>
      </c>
      <c r="AD79" s="155">
        <f>SUM(AD75:AD78)</f>
        <v>0</v>
      </c>
      <c r="AE79" s="154">
        <f t="shared" si="49"/>
        <v>114692</v>
      </c>
      <c r="AF79" s="155">
        <f>SUM(AF75:AF78)</f>
        <v>196922</v>
      </c>
      <c r="AG79" s="154"/>
      <c r="AH79" s="155">
        <f>SUM(AH75:AH78)</f>
        <v>0</v>
      </c>
      <c r="AI79" s="154">
        <f>SUM(AI75:AI78)</f>
        <v>0</v>
      </c>
      <c r="AJ79" s="155">
        <f>SUM(AJ75:AJ78)</f>
        <v>0</v>
      </c>
      <c r="AK79" s="154">
        <f t="shared" si="49"/>
        <v>0</v>
      </c>
      <c r="AL79" s="155">
        <f>SUM(AL75:AL78)</f>
        <v>0</v>
      </c>
      <c r="AM79" s="154">
        <f t="shared" si="49"/>
        <v>0</v>
      </c>
      <c r="AN79" s="155"/>
      <c r="AO79" s="154">
        <f t="shared" si="49"/>
        <v>0</v>
      </c>
      <c r="AP79" s="155">
        <f>SUM(AP75:AP78)</f>
        <v>0</v>
      </c>
      <c r="AQ79" s="154">
        <f t="shared" ref="AQ79:DS79" si="50">SUM(AQ75:AQ78)</f>
        <v>0</v>
      </c>
      <c r="AR79" s="155">
        <f>SUM(AR75:AR78)</f>
        <v>0</v>
      </c>
      <c r="AS79" s="154">
        <f t="shared" si="50"/>
        <v>0</v>
      </c>
      <c r="AT79" s="155">
        <f>SUM(AT75:AT78)</f>
        <v>0</v>
      </c>
      <c r="AU79" s="154">
        <f t="shared" si="50"/>
        <v>0</v>
      </c>
      <c r="AV79" s="155">
        <f>SUM(AV75:AV78)</f>
        <v>0</v>
      </c>
      <c r="AW79" s="154">
        <f t="shared" si="50"/>
        <v>0</v>
      </c>
      <c r="AX79" s="155">
        <f>SUM(AX75:AX78)</f>
        <v>0</v>
      </c>
      <c r="AY79" s="154">
        <f t="shared" si="50"/>
        <v>0</v>
      </c>
      <c r="AZ79" s="155">
        <f>SUM(AZ75:AZ78)</f>
        <v>0</v>
      </c>
      <c r="BA79" s="154">
        <f t="shared" si="50"/>
        <v>0</v>
      </c>
      <c r="BB79" s="155">
        <f>SUM(BB75:BB78)</f>
        <v>0</v>
      </c>
      <c r="BC79" s="154">
        <f t="shared" si="50"/>
        <v>0</v>
      </c>
      <c r="BD79" s="155">
        <f>SUM(BD75:BD78)</f>
        <v>0</v>
      </c>
      <c r="BE79" s="154">
        <f t="shared" si="50"/>
        <v>0</v>
      </c>
      <c r="BF79" s="155">
        <f>SUM(BF75:BF78)</f>
        <v>0</v>
      </c>
      <c r="BG79" s="154">
        <f t="shared" si="50"/>
        <v>0</v>
      </c>
      <c r="BH79" s="155">
        <f>SUM(BH75:BH78)</f>
        <v>0</v>
      </c>
      <c r="BI79" s="154">
        <f t="shared" si="50"/>
        <v>0</v>
      </c>
      <c r="BJ79" s="155">
        <f>SUM(BJ75:BJ78)</f>
        <v>0</v>
      </c>
      <c r="BK79" s="154">
        <f t="shared" si="50"/>
        <v>0</v>
      </c>
      <c r="BL79" s="155">
        <f>SUM(BL75:BL78)</f>
        <v>0</v>
      </c>
      <c r="BM79" s="154">
        <f t="shared" si="50"/>
        <v>0</v>
      </c>
      <c r="BN79" s="155">
        <f>SUM(BN75:BN78)</f>
        <v>0</v>
      </c>
      <c r="BO79" s="154">
        <f t="shared" si="50"/>
        <v>0</v>
      </c>
      <c r="BP79" s="155">
        <f>SUM(BP75:BP78)</f>
        <v>0</v>
      </c>
      <c r="BQ79" s="154">
        <f t="shared" si="50"/>
        <v>0</v>
      </c>
      <c r="BR79" s="155">
        <f>SUM(BR75:BR78)</f>
        <v>0</v>
      </c>
      <c r="BS79" s="154">
        <f t="shared" si="50"/>
        <v>0</v>
      </c>
      <c r="BT79" s="155">
        <f>SUM(BT75:BT78)</f>
        <v>0</v>
      </c>
      <c r="BU79" s="154">
        <f t="shared" si="50"/>
        <v>0</v>
      </c>
      <c r="BV79" s="155">
        <f>SUM(BV75:BV78)</f>
        <v>0</v>
      </c>
      <c r="BW79" s="154">
        <f t="shared" si="50"/>
        <v>0</v>
      </c>
      <c r="BX79" s="155">
        <f>SUM(BX75:BX78)</f>
        <v>0</v>
      </c>
      <c r="BY79" s="154">
        <f t="shared" si="50"/>
        <v>0</v>
      </c>
      <c r="BZ79" s="155">
        <f>SUM(BZ75:BZ78)</f>
        <v>0</v>
      </c>
      <c r="CA79" s="154">
        <f t="shared" si="50"/>
        <v>0</v>
      </c>
      <c r="CB79" s="155">
        <f>SUM(CB75:CB78)</f>
        <v>0</v>
      </c>
      <c r="CC79" s="154">
        <f t="shared" si="50"/>
        <v>0</v>
      </c>
      <c r="CD79" s="155">
        <f>SUM(CD75:CD78)</f>
        <v>0</v>
      </c>
      <c r="CE79" s="154">
        <f>SUM(CE75:CE78)</f>
        <v>0</v>
      </c>
      <c r="CF79" s="155">
        <f>SUM(CF75:CF78)</f>
        <v>0</v>
      </c>
      <c r="CG79" s="154">
        <f t="shared" si="50"/>
        <v>0</v>
      </c>
      <c r="CH79" s="155">
        <f>SUM(CH75:CH78)</f>
        <v>0</v>
      </c>
      <c r="CI79" s="154">
        <f t="shared" si="50"/>
        <v>0</v>
      </c>
      <c r="CJ79" s="155">
        <f>SUM(CJ75:CJ78)</f>
        <v>0</v>
      </c>
      <c r="CK79" s="154">
        <f t="shared" si="50"/>
        <v>0</v>
      </c>
      <c r="CL79" s="155">
        <f>SUM(CL75:CL78)</f>
        <v>0</v>
      </c>
      <c r="CM79" s="154">
        <f t="shared" si="50"/>
        <v>0</v>
      </c>
      <c r="CN79" s="155">
        <f>SUM(CN75:CN78)</f>
        <v>0</v>
      </c>
      <c r="CO79" s="154">
        <f t="shared" si="50"/>
        <v>0</v>
      </c>
      <c r="CP79" s="155">
        <f>SUM(CP75:CP78)</f>
        <v>0</v>
      </c>
      <c r="CQ79" s="154">
        <f t="shared" si="50"/>
        <v>0</v>
      </c>
      <c r="CR79" s="155">
        <f>SUM(CR75:CR78)</f>
        <v>0</v>
      </c>
      <c r="CS79" s="154">
        <f t="shared" si="50"/>
        <v>0</v>
      </c>
      <c r="CT79" s="155">
        <f>SUM(CT75:CT78)</f>
        <v>0</v>
      </c>
      <c r="CU79" s="154">
        <f t="shared" si="50"/>
        <v>0</v>
      </c>
      <c r="CV79" s="155">
        <f>SUM(CV75:CV78)</f>
        <v>0</v>
      </c>
      <c r="CW79" s="154">
        <f t="shared" si="50"/>
        <v>0</v>
      </c>
      <c r="CX79" s="155">
        <f>SUM(CX75:CX78)</f>
        <v>0</v>
      </c>
      <c r="CY79" s="154">
        <f t="shared" si="50"/>
        <v>0</v>
      </c>
      <c r="CZ79" s="155"/>
      <c r="DA79" s="154">
        <f t="shared" si="50"/>
        <v>0</v>
      </c>
      <c r="DB79" s="155"/>
      <c r="DC79" s="154">
        <f t="shared" si="50"/>
        <v>0</v>
      </c>
      <c r="DD79" s="155">
        <f>SUM(DD75:DD78)</f>
        <v>0</v>
      </c>
      <c r="DE79" s="154">
        <f t="shared" si="50"/>
        <v>0</v>
      </c>
      <c r="DF79" s="155">
        <f>SUM(DF75:DF78)</f>
        <v>0</v>
      </c>
      <c r="DG79" s="154">
        <f t="shared" si="50"/>
        <v>0</v>
      </c>
      <c r="DH79" s="155">
        <f>SUM(DH75:DH78)</f>
        <v>0</v>
      </c>
      <c r="DI79" s="154">
        <f t="shared" si="50"/>
        <v>0</v>
      </c>
      <c r="DJ79" s="155">
        <f>SUM(DJ75:DJ78)</f>
        <v>0</v>
      </c>
      <c r="DK79" s="154">
        <f t="shared" si="50"/>
        <v>29040</v>
      </c>
      <c r="DL79" s="155">
        <f>SUM(DL75:DL78)</f>
        <v>17000</v>
      </c>
      <c r="DM79" s="154">
        <f t="shared" si="50"/>
        <v>0</v>
      </c>
      <c r="DN79" s="155">
        <f>SUM(DN75:DN78)</f>
        <v>0</v>
      </c>
      <c r="DO79" s="154">
        <f t="shared" si="50"/>
        <v>0</v>
      </c>
      <c r="DP79" s="155">
        <f>SUM(DP75:DP78)</f>
        <v>0</v>
      </c>
      <c r="DQ79" s="154">
        <f t="shared" si="50"/>
        <v>0</v>
      </c>
      <c r="DR79" s="155"/>
      <c r="DS79" s="154">
        <f t="shared" si="50"/>
        <v>0</v>
      </c>
      <c r="DT79" s="155">
        <f>SUM(DT75:DT78)</f>
        <v>0</v>
      </c>
      <c r="DU79" s="154"/>
      <c r="DV79" s="155"/>
    </row>
    <row r="80" spans="1:126" x14ac:dyDescent="0.2">
      <c r="A80" s="150" t="s">
        <v>925</v>
      </c>
      <c r="B80" s="160" t="s">
        <v>926</v>
      </c>
      <c r="C80" s="151">
        <f t="shared" si="32"/>
        <v>0</v>
      </c>
      <c r="D80" s="152">
        <f t="shared" si="28"/>
        <v>0</v>
      </c>
      <c r="E80" s="151">
        <f t="shared" ref="E80:E87" si="51">K80+M80+O79:O80+Q80+S80+U80+W80+Y80+AA80+AC80+AE80+AI80</f>
        <v>0</v>
      </c>
      <c r="F80" s="152">
        <f t="shared" ref="F80:F87" si="52">L80+N80+P79:P80+R80+T80+V80+X80+Z80+AB80+AD80+AF80+AJ80+AH80</f>
        <v>0</v>
      </c>
      <c r="G80" s="151">
        <f t="shared" si="44"/>
        <v>0</v>
      </c>
      <c r="H80" s="152">
        <f t="shared" si="44"/>
        <v>0</v>
      </c>
      <c r="I80" s="151"/>
      <c r="J80" s="152"/>
      <c r="K80" s="151"/>
      <c r="L80" s="152"/>
      <c r="M80" s="151"/>
      <c r="N80" s="152"/>
      <c r="O80" s="151"/>
      <c r="P80" s="152"/>
      <c r="Q80" s="151"/>
      <c r="R80" s="152"/>
      <c r="S80" s="151"/>
      <c r="T80" s="152"/>
      <c r="U80" s="151"/>
      <c r="V80" s="152"/>
      <c r="W80" s="151"/>
      <c r="X80" s="152"/>
      <c r="Y80" s="151"/>
      <c r="Z80" s="152"/>
      <c r="AA80" s="151"/>
      <c r="AB80" s="152"/>
      <c r="AC80" s="151"/>
      <c r="AD80" s="152"/>
      <c r="AE80" s="151"/>
      <c r="AF80" s="152"/>
      <c r="AG80" s="151"/>
      <c r="AH80" s="152"/>
      <c r="AI80" s="151"/>
      <c r="AJ80" s="152"/>
      <c r="AK80" s="151"/>
      <c r="AL80" s="152"/>
      <c r="AM80" s="151"/>
      <c r="AN80" s="152"/>
      <c r="AO80" s="151"/>
      <c r="AP80" s="152"/>
      <c r="AQ80" s="151"/>
      <c r="AR80" s="152"/>
      <c r="AS80" s="151"/>
      <c r="AT80" s="152"/>
      <c r="AU80" s="151"/>
      <c r="AV80" s="152"/>
      <c r="AW80" s="151"/>
      <c r="AX80" s="152"/>
      <c r="AY80" s="151"/>
      <c r="AZ80" s="152"/>
      <c r="BA80" s="151"/>
      <c r="BB80" s="152"/>
      <c r="BC80" s="151"/>
      <c r="BD80" s="152"/>
      <c r="BE80" s="151"/>
      <c r="BF80" s="152"/>
      <c r="BG80" s="151"/>
      <c r="BH80" s="152"/>
      <c r="BI80" s="151"/>
      <c r="BJ80" s="152"/>
      <c r="BK80" s="151"/>
      <c r="BL80" s="152"/>
      <c r="BM80" s="151"/>
      <c r="BN80" s="152"/>
      <c r="BO80" s="151"/>
      <c r="BP80" s="152"/>
      <c r="BQ80" s="151"/>
      <c r="BR80" s="152"/>
      <c r="BS80" s="151"/>
      <c r="BT80" s="152"/>
      <c r="BU80" s="151"/>
      <c r="BV80" s="152"/>
      <c r="BW80" s="151"/>
      <c r="BX80" s="152"/>
      <c r="BY80" s="151"/>
      <c r="BZ80" s="152"/>
      <c r="CA80" s="151"/>
      <c r="CB80" s="152"/>
      <c r="CC80" s="151"/>
      <c r="CD80" s="152"/>
      <c r="CE80" s="151"/>
      <c r="CF80" s="152"/>
      <c r="CG80" s="151"/>
      <c r="CH80" s="152"/>
      <c r="CI80" s="151"/>
      <c r="CJ80" s="152"/>
      <c r="CK80" s="151"/>
      <c r="CL80" s="152"/>
      <c r="CM80" s="151"/>
      <c r="CN80" s="152"/>
      <c r="CO80" s="151"/>
      <c r="CP80" s="152"/>
      <c r="CQ80" s="151"/>
      <c r="CR80" s="152"/>
      <c r="CS80" s="151"/>
      <c r="CT80" s="152"/>
      <c r="CU80" s="151"/>
      <c r="CV80" s="152"/>
      <c r="CW80" s="151"/>
      <c r="CX80" s="152"/>
      <c r="CY80" s="151"/>
      <c r="CZ80" s="152"/>
      <c r="DA80" s="151"/>
      <c r="DB80" s="152"/>
      <c r="DC80" s="151"/>
      <c r="DD80" s="152"/>
      <c r="DE80" s="151"/>
      <c r="DF80" s="152"/>
      <c r="DG80" s="151"/>
      <c r="DH80" s="152"/>
      <c r="DI80" s="151"/>
      <c r="DJ80" s="152"/>
      <c r="DK80" s="151"/>
      <c r="DL80" s="152"/>
      <c r="DM80" s="151"/>
      <c r="DN80" s="152"/>
      <c r="DO80" s="151"/>
      <c r="DP80" s="152"/>
      <c r="DQ80" s="151"/>
      <c r="DR80" s="152"/>
      <c r="DS80" s="151"/>
      <c r="DT80" s="152"/>
      <c r="DU80" s="151"/>
      <c r="DV80" s="152"/>
    </row>
    <row r="81" spans="1:126" x14ac:dyDescent="0.2">
      <c r="A81" s="150" t="s">
        <v>927</v>
      </c>
      <c r="B81" s="160" t="s">
        <v>928</v>
      </c>
      <c r="C81" s="151">
        <f t="shared" si="32"/>
        <v>0</v>
      </c>
      <c r="D81" s="152">
        <f t="shared" si="28"/>
        <v>0</v>
      </c>
      <c r="E81" s="151">
        <f t="shared" si="51"/>
        <v>0</v>
      </c>
      <c r="F81" s="152">
        <f t="shared" si="52"/>
        <v>0</v>
      </c>
      <c r="G81" s="151">
        <f t="shared" si="44"/>
        <v>0</v>
      </c>
      <c r="H81" s="152">
        <f t="shared" si="44"/>
        <v>0</v>
      </c>
      <c r="I81" s="151"/>
      <c r="J81" s="152"/>
      <c r="K81" s="151"/>
      <c r="L81" s="152"/>
      <c r="M81" s="151"/>
      <c r="N81" s="152"/>
      <c r="O81" s="151"/>
      <c r="P81" s="152"/>
      <c r="Q81" s="151"/>
      <c r="R81" s="152"/>
      <c r="S81" s="151"/>
      <c r="T81" s="152"/>
      <c r="U81" s="151"/>
      <c r="V81" s="152"/>
      <c r="W81" s="151"/>
      <c r="X81" s="152"/>
      <c r="Y81" s="151"/>
      <c r="Z81" s="152"/>
      <c r="AA81" s="151"/>
      <c r="AB81" s="152"/>
      <c r="AC81" s="151"/>
      <c r="AD81" s="152"/>
      <c r="AE81" s="151"/>
      <c r="AF81" s="152"/>
      <c r="AG81" s="151"/>
      <c r="AH81" s="152"/>
      <c r="AI81" s="151"/>
      <c r="AJ81" s="152"/>
      <c r="AK81" s="151"/>
      <c r="AL81" s="152"/>
      <c r="AM81" s="151"/>
      <c r="AN81" s="152"/>
      <c r="AO81" s="151"/>
      <c r="AP81" s="152"/>
      <c r="AQ81" s="151"/>
      <c r="AR81" s="152"/>
      <c r="AS81" s="151"/>
      <c r="AT81" s="152"/>
      <c r="AU81" s="151"/>
      <c r="AV81" s="152"/>
      <c r="AW81" s="151"/>
      <c r="AX81" s="152"/>
      <c r="AY81" s="151"/>
      <c r="AZ81" s="152"/>
      <c r="BA81" s="151"/>
      <c r="BB81" s="152"/>
      <c r="BC81" s="151"/>
      <c r="BD81" s="152"/>
      <c r="BE81" s="151"/>
      <c r="BF81" s="152"/>
      <c r="BG81" s="151"/>
      <c r="BH81" s="152"/>
      <c r="BI81" s="151"/>
      <c r="BJ81" s="152"/>
      <c r="BK81" s="151"/>
      <c r="BL81" s="152"/>
      <c r="BM81" s="151"/>
      <c r="BN81" s="152"/>
      <c r="BO81" s="151"/>
      <c r="BP81" s="152"/>
      <c r="BQ81" s="151"/>
      <c r="BR81" s="152"/>
      <c r="BS81" s="151"/>
      <c r="BT81" s="152"/>
      <c r="BU81" s="151"/>
      <c r="BV81" s="152"/>
      <c r="BW81" s="151"/>
      <c r="BX81" s="152"/>
      <c r="BY81" s="151"/>
      <c r="BZ81" s="152"/>
      <c r="CA81" s="151"/>
      <c r="CB81" s="152"/>
      <c r="CC81" s="151"/>
      <c r="CD81" s="152"/>
      <c r="CE81" s="151"/>
      <c r="CF81" s="152"/>
      <c r="CG81" s="151"/>
      <c r="CH81" s="152"/>
      <c r="CI81" s="151"/>
      <c r="CJ81" s="152"/>
      <c r="CK81" s="151"/>
      <c r="CL81" s="152"/>
      <c r="CM81" s="151"/>
      <c r="CN81" s="152"/>
      <c r="CO81" s="151"/>
      <c r="CP81" s="152"/>
      <c r="CQ81" s="151"/>
      <c r="CR81" s="152"/>
      <c r="CS81" s="151"/>
      <c r="CT81" s="152"/>
      <c r="CU81" s="151"/>
      <c r="CV81" s="152"/>
      <c r="CW81" s="151"/>
      <c r="CX81" s="152"/>
      <c r="CY81" s="151"/>
      <c r="CZ81" s="152"/>
      <c r="DA81" s="151"/>
      <c r="DB81" s="152"/>
      <c r="DC81" s="151"/>
      <c r="DD81" s="152"/>
      <c r="DE81" s="151"/>
      <c r="DF81" s="152"/>
      <c r="DG81" s="151"/>
      <c r="DH81" s="152"/>
      <c r="DI81" s="151"/>
      <c r="DJ81" s="152"/>
      <c r="DK81" s="151"/>
      <c r="DL81" s="152"/>
      <c r="DM81" s="151"/>
      <c r="DN81" s="152"/>
      <c r="DO81" s="151"/>
      <c r="DP81" s="152"/>
      <c r="DQ81" s="151"/>
      <c r="DR81" s="152"/>
      <c r="DS81" s="151"/>
      <c r="DT81" s="152"/>
      <c r="DU81" s="151"/>
      <c r="DV81" s="152"/>
    </row>
    <row r="82" spans="1:126" x14ac:dyDescent="0.2">
      <c r="A82" s="150" t="s">
        <v>929</v>
      </c>
      <c r="B82" s="160" t="s">
        <v>930</v>
      </c>
      <c r="C82" s="151">
        <f t="shared" si="32"/>
        <v>0</v>
      </c>
      <c r="D82" s="152">
        <f t="shared" si="28"/>
        <v>0</v>
      </c>
      <c r="E82" s="151">
        <f t="shared" si="51"/>
        <v>0</v>
      </c>
      <c r="F82" s="152">
        <f t="shared" si="52"/>
        <v>0</v>
      </c>
      <c r="G82" s="151">
        <f t="shared" si="44"/>
        <v>0</v>
      </c>
      <c r="H82" s="152">
        <f t="shared" si="44"/>
        <v>0</v>
      </c>
      <c r="I82" s="151"/>
      <c r="J82" s="152"/>
      <c r="K82" s="151"/>
      <c r="L82" s="152"/>
      <c r="M82" s="151"/>
      <c r="N82" s="152"/>
      <c r="O82" s="151"/>
      <c r="P82" s="152"/>
      <c r="Q82" s="151"/>
      <c r="R82" s="152"/>
      <c r="S82" s="151"/>
      <c r="T82" s="152"/>
      <c r="U82" s="151"/>
      <c r="V82" s="152"/>
      <c r="W82" s="151"/>
      <c r="X82" s="152"/>
      <c r="Y82" s="151"/>
      <c r="Z82" s="152"/>
      <c r="AA82" s="151"/>
      <c r="AB82" s="152"/>
      <c r="AC82" s="151"/>
      <c r="AD82" s="152"/>
      <c r="AE82" s="151"/>
      <c r="AF82" s="152"/>
      <c r="AG82" s="151"/>
      <c r="AH82" s="152"/>
      <c r="AI82" s="151"/>
      <c r="AJ82" s="152"/>
      <c r="AK82" s="151"/>
      <c r="AL82" s="152"/>
      <c r="AM82" s="151"/>
      <c r="AN82" s="152"/>
      <c r="AO82" s="151"/>
      <c r="AP82" s="152"/>
      <c r="AQ82" s="151"/>
      <c r="AR82" s="152"/>
      <c r="AS82" s="151"/>
      <c r="AT82" s="152"/>
      <c r="AU82" s="151"/>
      <c r="AV82" s="152"/>
      <c r="AW82" s="151"/>
      <c r="AX82" s="152"/>
      <c r="AY82" s="151"/>
      <c r="AZ82" s="152"/>
      <c r="BA82" s="151"/>
      <c r="BB82" s="152"/>
      <c r="BC82" s="151"/>
      <c r="BD82" s="152"/>
      <c r="BE82" s="151"/>
      <c r="BF82" s="152"/>
      <c r="BG82" s="151"/>
      <c r="BH82" s="152"/>
      <c r="BI82" s="151"/>
      <c r="BJ82" s="152"/>
      <c r="BK82" s="151"/>
      <c r="BL82" s="152"/>
      <c r="BM82" s="151"/>
      <c r="BN82" s="152"/>
      <c r="BO82" s="151"/>
      <c r="BP82" s="152"/>
      <c r="BQ82" s="151"/>
      <c r="BR82" s="152"/>
      <c r="BS82" s="151"/>
      <c r="BT82" s="152"/>
      <c r="BU82" s="151"/>
      <c r="BV82" s="152"/>
      <c r="BW82" s="151"/>
      <c r="BX82" s="152"/>
      <c r="BY82" s="151"/>
      <c r="BZ82" s="152"/>
      <c r="CA82" s="151"/>
      <c r="CB82" s="152"/>
      <c r="CC82" s="151"/>
      <c r="CD82" s="152"/>
      <c r="CE82" s="151"/>
      <c r="CF82" s="152"/>
      <c r="CG82" s="151"/>
      <c r="CH82" s="152"/>
      <c r="CI82" s="151"/>
      <c r="CJ82" s="152"/>
      <c r="CK82" s="151"/>
      <c r="CL82" s="152"/>
      <c r="CM82" s="151"/>
      <c r="CN82" s="152"/>
      <c r="CO82" s="151"/>
      <c r="CP82" s="152"/>
      <c r="CQ82" s="151"/>
      <c r="CR82" s="152"/>
      <c r="CS82" s="151"/>
      <c r="CT82" s="152"/>
      <c r="CU82" s="151"/>
      <c r="CV82" s="152"/>
      <c r="CW82" s="151"/>
      <c r="CX82" s="152"/>
      <c r="CY82" s="151"/>
      <c r="CZ82" s="152"/>
      <c r="DA82" s="151"/>
      <c r="DB82" s="152"/>
      <c r="DC82" s="151"/>
      <c r="DD82" s="152"/>
      <c r="DE82" s="151"/>
      <c r="DF82" s="152"/>
      <c r="DG82" s="151"/>
      <c r="DH82" s="152"/>
      <c r="DI82" s="151"/>
      <c r="DJ82" s="152"/>
      <c r="DK82" s="151"/>
      <c r="DL82" s="152"/>
      <c r="DM82" s="151"/>
      <c r="DN82" s="152"/>
      <c r="DO82" s="151"/>
      <c r="DP82" s="152"/>
      <c r="DQ82" s="151"/>
      <c r="DR82" s="152"/>
      <c r="DS82" s="151"/>
      <c r="DT82" s="152"/>
      <c r="DU82" s="151"/>
      <c r="DV82" s="152"/>
    </row>
    <row r="83" spans="1:126" x14ac:dyDescent="0.2">
      <c r="A83" s="150" t="s">
        <v>931</v>
      </c>
      <c r="B83" s="160" t="s">
        <v>932</v>
      </c>
      <c r="C83" s="151">
        <f t="shared" si="32"/>
        <v>0</v>
      </c>
      <c r="D83" s="152">
        <f t="shared" si="28"/>
        <v>0</v>
      </c>
      <c r="E83" s="151">
        <f t="shared" si="51"/>
        <v>0</v>
      </c>
      <c r="F83" s="152">
        <f t="shared" si="52"/>
        <v>0</v>
      </c>
      <c r="G83" s="151">
        <f t="shared" si="44"/>
        <v>0</v>
      </c>
      <c r="H83" s="152">
        <f t="shared" si="44"/>
        <v>0</v>
      </c>
      <c r="I83" s="151"/>
      <c r="J83" s="152"/>
      <c r="K83" s="151"/>
      <c r="L83" s="152"/>
      <c r="M83" s="151"/>
      <c r="N83" s="152"/>
      <c r="O83" s="151"/>
      <c r="P83" s="152"/>
      <c r="Q83" s="151"/>
      <c r="R83" s="152"/>
      <c r="S83" s="151"/>
      <c r="T83" s="152"/>
      <c r="U83" s="151"/>
      <c r="V83" s="152"/>
      <c r="W83" s="151"/>
      <c r="X83" s="152"/>
      <c r="Y83" s="151"/>
      <c r="Z83" s="152"/>
      <c r="AA83" s="151"/>
      <c r="AB83" s="152"/>
      <c r="AC83" s="151"/>
      <c r="AD83" s="152"/>
      <c r="AE83" s="151"/>
      <c r="AF83" s="152"/>
      <c r="AG83" s="151"/>
      <c r="AH83" s="152"/>
      <c r="AI83" s="151"/>
      <c r="AJ83" s="152"/>
      <c r="AK83" s="151"/>
      <c r="AL83" s="152"/>
      <c r="AM83" s="151"/>
      <c r="AN83" s="152"/>
      <c r="AO83" s="151"/>
      <c r="AP83" s="152"/>
      <c r="AQ83" s="151"/>
      <c r="AR83" s="152"/>
      <c r="AS83" s="151"/>
      <c r="AT83" s="152"/>
      <c r="AU83" s="151"/>
      <c r="AV83" s="152"/>
      <c r="AW83" s="151"/>
      <c r="AX83" s="152"/>
      <c r="AY83" s="151"/>
      <c r="AZ83" s="152"/>
      <c r="BA83" s="151"/>
      <c r="BB83" s="152"/>
      <c r="BC83" s="151"/>
      <c r="BD83" s="152"/>
      <c r="BE83" s="151"/>
      <c r="BF83" s="152"/>
      <c r="BG83" s="151"/>
      <c r="BH83" s="152"/>
      <c r="BI83" s="151"/>
      <c r="BJ83" s="152"/>
      <c r="BK83" s="151"/>
      <c r="BL83" s="152"/>
      <c r="BM83" s="151"/>
      <c r="BN83" s="152"/>
      <c r="BO83" s="151"/>
      <c r="BP83" s="152"/>
      <c r="BQ83" s="151"/>
      <c r="BR83" s="152"/>
      <c r="BS83" s="151"/>
      <c r="BT83" s="152"/>
      <c r="BU83" s="151"/>
      <c r="BV83" s="152"/>
      <c r="BW83" s="151"/>
      <c r="BX83" s="152"/>
      <c r="BY83" s="151"/>
      <c r="BZ83" s="152"/>
      <c r="CA83" s="151"/>
      <c r="CB83" s="152"/>
      <c r="CC83" s="151"/>
      <c r="CD83" s="152"/>
      <c r="CE83" s="151"/>
      <c r="CF83" s="152"/>
      <c r="CG83" s="151"/>
      <c r="CH83" s="152"/>
      <c r="CI83" s="151"/>
      <c r="CJ83" s="152"/>
      <c r="CK83" s="151"/>
      <c r="CL83" s="152"/>
      <c r="CM83" s="151"/>
      <c r="CN83" s="152"/>
      <c r="CO83" s="151"/>
      <c r="CP83" s="152"/>
      <c r="CQ83" s="151"/>
      <c r="CR83" s="152"/>
      <c r="CS83" s="151"/>
      <c r="CT83" s="152"/>
      <c r="CU83" s="151"/>
      <c r="CV83" s="152"/>
      <c r="CW83" s="151"/>
      <c r="CX83" s="152"/>
      <c r="CY83" s="151"/>
      <c r="CZ83" s="152"/>
      <c r="DA83" s="151"/>
      <c r="DB83" s="152"/>
      <c r="DC83" s="151"/>
      <c r="DD83" s="152"/>
      <c r="DE83" s="151"/>
      <c r="DF83" s="152"/>
      <c r="DG83" s="151"/>
      <c r="DH83" s="152"/>
      <c r="DI83" s="151"/>
      <c r="DJ83" s="152"/>
      <c r="DK83" s="151"/>
      <c r="DL83" s="152"/>
      <c r="DM83" s="151"/>
      <c r="DN83" s="152"/>
      <c r="DO83" s="151"/>
      <c r="DP83" s="152"/>
      <c r="DQ83" s="151"/>
      <c r="DR83" s="152"/>
      <c r="DS83" s="151"/>
      <c r="DT83" s="152"/>
      <c r="DU83" s="151"/>
      <c r="DV83" s="152"/>
    </row>
    <row r="84" spans="1:126" x14ac:dyDescent="0.2">
      <c r="A84" s="150" t="s">
        <v>933</v>
      </c>
      <c r="B84" s="160" t="s">
        <v>934</v>
      </c>
      <c r="C84" s="151">
        <f t="shared" si="32"/>
        <v>0</v>
      </c>
      <c r="D84" s="152">
        <f t="shared" si="28"/>
        <v>0</v>
      </c>
      <c r="E84" s="151">
        <f t="shared" si="51"/>
        <v>0</v>
      </c>
      <c r="F84" s="152">
        <f t="shared" si="52"/>
        <v>0</v>
      </c>
      <c r="G84" s="151">
        <f t="shared" si="44"/>
        <v>0</v>
      </c>
      <c r="H84" s="152">
        <f t="shared" si="44"/>
        <v>0</v>
      </c>
      <c r="I84" s="151"/>
      <c r="J84" s="152"/>
      <c r="K84" s="151"/>
      <c r="L84" s="152"/>
      <c r="M84" s="151"/>
      <c r="N84" s="152"/>
      <c r="O84" s="151"/>
      <c r="P84" s="152"/>
      <c r="Q84" s="151"/>
      <c r="R84" s="152"/>
      <c r="S84" s="151"/>
      <c r="T84" s="152"/>
      <c r="U84" s="151"/>
      <c r="V84" s="152"/>
      <c r="W84" s="151"/>
      <c r="X84" s="152"/>
      <c r="Y84" s="151"/>
      <c r="Z84" s="152"/>
      <c r="AA84" s="151"/>
      <c r="AB84" s="152"/>
      <c r="AC84" s="151"/>
      <c r="AD84" s="152"/>
      <c r="AE84" s="151"/>
      <c r="AF84" s="152"/>
      <c r="AG84" s="151"/>
      <c r="AH84" s="152"/>
      <c r="AI84" s="151"/>
      <c r="AJ84" s="152"/>
      <c r="AK84" s="151"/>
      <c r="AL84" s="152"/>
      <c r="AM84" s="151"/>
      <c r="AN84" s="152"/>
      <c r="AO84" s="151"/>
      <c r="AP84" s="152"/>
      <c r="AQ84" s="151"/>
      <c r="AR84" s="152"/>
      <c r="AS84" s="151"/>
      <c r="AT84" s="152"/>
      <c r="AU84" s="151"/>
      <c r="AV84" s="152"/>
      <c r="AW84" s="151"/>
      <c r="AX84" s="152"/>
      <c r="AY84" s="151"/>
      <c r="AZ84" s="152"/>
      <c r="BA84" s="151"/>
      <c r="BB84" s="152"/>
      <c r="BC84" s="151"/>
      <c r="BD84" s="152"/>
      <c r="BE84" s="151"/>
      <c r="BF84" s="152"/>
      <c r="BG84" s="151"/>
      <c r="BH84" s="152"/>
      <c r="BI84" s="151"/>
      <c r="BJ84" s="152"/>
      <c r="BK84" s="151"/>
      <c r="BL84" s="152"/>
      <c r="BM84" s="151"/>
      <c r="BN84" s="152"/>
      <c r="BO84" s="151"/>
      <c r="BP84" s="152"/>
      <c r="BQ84" s="151"/>
      <c r="BR84" s="152"/>
      <c r="BS84" s="151"/>
      <c r="BT84" s="152"/>
      <c r="BU84" s="151"/>
      <c r="BV84" s="152"/>
      <c r="BW84" s="151"/>
      <c r="BX84" s="152"/>
      <c r="BY84" s="151"/>
      <c r="BZ84" s="152"/>
      <c r="CA84" s="151"/>
      <c r="CB84" s="152"/>
      <c r="CC84" s="151"/>
      <c r="CD84" s="152"/>
      <c r="CE84" s="151"/>
      <c r="CF84" s="152"/>
      <c r="CG84" s="151"/>
      <c r="CH84" s="152"/>
      <c r="CI84" s="151"/>
      <c r="CJ84" s="152"/>
      <c r="CK84" s="151"/>
      <c r="CL84" s="152"/>
      <c r="CM84" s="151"/>
      <c r="CN84" s="152"/>
      <c r="CO84" s="151"/>
      <c r="CP84" s="152"/>
      <c r="CQ84" s="151"/>
      <c r="CR84" s="152"/>
      <c r="CS84" s="151"/>
      <c r="CT84" s="152"/>
      <c r="CU84" s="151"/>
      <c r="CV84" s="152"/>
      <c r="CW84" s="151"/>
      <c r="CX84" s="152"/>
      <c r="CY84" s="151"/>
      <c r="CZ84" s="152"/>
      <c r="DA84" s="151"/>
      <c r="DB84" s="152"/>
      <c r="DC84" s="151"/>
      <c r="DD84" s="152"/>
      <c r="DE84" s="151"/>
      <c r="DF84" s="152"/>
      <c r="DG84" s="151"/>
      <c r="DH84" s="152"/>
      <c r="DI84" s="151"/>
      <c r="DJ84" s="152"/>
      <c r="DK84" s="151"/>
      <c r="DL84" s="152"/>
      <c r="DM84" s="151"/>
      <c r="DN84" s="152"/>
      <c r="DO84" s="151"/>
      <c r="DP84" s="152"/>
      <c r="DQ84" s="151"/>
      <c r="DR84" s="152"/>
      <c r="DS84" s="151"/>
      <c r="DT84" s="152"/>
      <c r="DU84" s="151"/>
      <c r="DV84" s="152"/>
    </row>
    <row r="85" spans="1:126" x14ac:dyDescent="0.2">
      <c r="A85" s="150" t="s">
        <v>935</v>
      </c>
      <c r="B85" s="160" t="s">
        <v>936</v>
      </c>
      <c r="C85" s="151">
        <f t="shared" si="32"/>
        <v>0</v>
      </c>
      <c r="D85" s="152">
        <f t="shared" si="28"/>
        <v>0</v>
      </c>
      <c r="E85" s="151">
        <f t="shared" si="51"/>
        <v>0</v>
      </c>
      <c r="F85" s="152">
        <f t="shared" si="52"/>
        <v>0</v>
      </c>
      <c r="G85" s="151">
        <f t="shared" si="44"/>
        <v>0</v>
      </c>
      <c r="H85" s="152">
        <f t="shared" si="44"/>
        <v>0</v>
      </c>
      <c r="I85" s="151"/>
      <c r="J85" s="152"/>
      <c r="K85" s="151"/>
      <c r="L85" s="152"/>
      <c r="M85" s="151"/>
      <c r="N85" s="152"/>
      <c r="O85" s="151"/>
      <c r="P85" s="152"/>
      <c r="Q85" s="151"/>
      <c r="R85" s="152"/>
      <c r="S85" s="151"/>
      <c r="T85" s="152"/>
      <c r="U85" s="151"/>
      <c r="V85" s="152"/>
      <c r="W85" s="151"/>
      <c r="X85" s="152"/>
      <c r="Y85" s="151"/>
      <c r="Z85" s="152"/>
      <c r="AA85" s="151"/>
      <c r="AB85" s="152"/>
      <c r="AC85" s="151"/>
      <c r="AD85" s="152"/>
      <c r="AE85" s="151"/>
      <c r="AF85" s="152"/>
      <c r="AG85" s="151"/>
      <c r="AH85" s="152"/>
      <c r="AI85" s="151"/>
      <c r="AJ85" s="152"/>
      <c r="AK85" s="151"/>
      <c r="AL85" s="152"/>
      <c r="AM85" s="151"/>
      <c r="AN85" s="152"/>
      <c r="AO85" s="151"/>
      <c r="AP85" s="152"/>
      <c r="AQ85" s="151"/>
      <c r="AR85" s="152"/>
      <c r="AS85" s="151"/>
      <c r="AT85" s="152"/>
      <c r="AU85" s="151"/>
      <c r="AV85" s="152"/>
      <c r="AW85" s="151"/>
      <c r="AX85" s="152"/>
      <c r="AY85" s="151"/>
      <c r="AZ85" s="152"/>
      <c r="BA85" s="151"/>
      <c r="BB85" s="152"/>
      <c r="BC85" s="151"/>
      <c r="BD85" s="152"/>
      <c r="BE85" s="151"/>
      <c r="BF85" s="152"/>
      <c r="BG85" s="151"/>
      <c r="BH85" s="152"/>
      <c r="BI85" s="151"/>
      <c r="BJ85" s="152"/>
      <c r="BK85" s="151"/>
      <c r="BL85" s="152"/>
      <c r="BM85" s="151"/>
      <c r="BN85" s="152"/>
      <c r="BO85" s="151"/>
      <c r="BP85" s="152"/>
      <c r="BQ85" s="151"/>
      <c r="BR85" s="152"/>
      <c r="BS85" s="151"/>
      <c r="BT85" s="152"/>
      <c r="BU85" s="151"/>
      <c r="BV85" s="152"/>
      <c r="BW85" s="151"/>
      <c r="BX85" s="152"/>
      <c r="BY85" s="151"/>
      <c r="BZ85" s="152"/>
      <c r="CA85" s="151"/>
      <c r="CB85" s="152"/>
      <c r="CC85" s="151"/>
      <c r="CD85" s="152"/>
      <c r="CE85" s="151"/>
      <c r="CF85" s="152"/>
      <c r="CG85" s="151"/>
      <c r="CH85" s="152"/>
      <c r="CI85" s="151"/>
      <c r="CJ85" s="152"/>
      <c r="CK85" s="151"/>
      <c r="CL85" s="152"/>
      <c r="CM85" s="151"/>
      <c r="CN85" s="152"/>
      <c r="CO85" s="151"/>
      <c r="CP85" s="152"/>
      <c r="CQ85" s="151"/>
      <c r="CR85" s="152"/>
      <c r="CS85" s="151"/>
      <c r="CT85" s="152"/>
      <c r="CU85" s="151"/>
      <c r="CV85" s="152"/>
      <c r="CW85" s="151"/>
      <c r="CX85" s="152"/>
      <c r="CY85" s="151"/>
      <c r="CZ85" s="152"/>
      <c r="DA85" s="151"/>
      <c r="DB85" s="152"/>
      <c r="DC85" s="151"/>
      <c r="DD85" s="152"/>
      <c r="DE85" s="151"/>
      <c r="DF85" s="152"/>
      <c r="DG85" s="151"/>
      <c r="DH85" s="152"/>
      <c r="DI85" s="151"/>
      <c r="DJ85" s="152"/>
      <c r="DK85" s="151"/>
      <c r="DL85" s="152"/>
      <c r="DM85" s="151"/>
      <c r="DN85" s="152"/>
      <c r="DO85" s="151"/>
      <c r="DP85" s="152"/>
      <c r="DQ85" s="151"/>
      <c r="DR85" s="152"/>
      <c r="DS85" s="151"/>
      <c r="DT85" s="152"/>
      <c r="DU85" s="151"/>
      <c r="DV85" s="152"/>
    </row>
    <row r="86" spans="1:126" x14ac:dyDescent="0.2">
      <c r="A86" s="150" t="s">
        <v>937</v>
      </c>
      <c r="B86" s="150" t="s">
        <v>938</v>
      </c>
      <c r="C86" s="151">
        <f t="shared" si="32"/>
        <v>0</v>
      </c>
      <c r="D86" s="152">
        <f t="shared" si="28"/>
        <v>0</v>
      </c>
      <c r="E86" s="151">
        <f t="shared" si="51"/>
        <v>0</v>
      </c>
      <c r="F86" s="152">
        <f t="shared" si="52"/>
        <v>0</v>
      </c>
      <c r="G86" s="151">
        <f t="shared" si="44"/>
        <v>0</v>
      </c>
      <c r="H86" s="152">
        <f t="shared" si="44"/>
        <v>0</v>
      </c>
      <c r="I86" s="151"/>
      <c r="J86" s="152"/>
      <c r="K86" s="151"/>
      <c r="L86" s="152"/>
      <c r="M86" s="151"/>
      <c r="N86" s="152"/>
      <c r="O86" s="151"/>
      <c r="P86" s="152"/>
      <c r="Q86" s="151"/>
      <c r="R86" s="152"/>
      <c r="S86" s="151"/>
      <c r="T86" s="152"/>
      <c r="U86" s="151"/>
      <c r="V86" s="152"/>
      <c r="W86" s="151"/>
      <c r="X86" s="152"/>
      <c r="Y86" s="151"/>
      <c r="Z86" s="152"/>
      <c r="AA86" s="151"/>
      <c r="AB86" s="152"/>
      <c r="AC86" s="151"/>
      <c r="AD86" s="152"/>
      <c r="AE86" s="151"/>
      <c r="AF86" s="152"/>
      <c r="AG86" s="151"/>
      <c r="AH86" s="152"/>
      <c r="AI86" s="151"/>
      <c r="AJ86" s="152"/>
      <c r="AK86" s="151"/>
      <c r="AL86" s="152"/>
      <c r="AM86" s="151"/>
      <c r="AN86" s="152"/>
      <c r="AO86" s="151"/>
      <c r="AP86" s="152"/>
      <c r="AQ86" s="151"/>
      <c r="AR86" s="152"/>
      <c r="AS86" s="151"/>
      <c r="AT86" s="152"/>
      <c r="AU86" s="151"/>
      <c r="AV86" s="152"/>
      <c r="AW86" s="151"/>
      <c r="AX86" s="152"/>
      <c r="AY86" s="151"/>
      <c r="AZ86" s="152"/>
      <c r="BA86" s="151"/>
      <c r="BB86" s="152"/>
      <c r="BC86" s="151"/>
      <c r="BD86" s="152"/>
      <c r="BE86" s="151"/>
      <c r="BF86" s="152"/>
      <c r="BG86" s="151"/>
      <c r="BH86" s="152"/>
      <c r="BI86" s="151"/>
      <c r="BJ86" s="152"/>
      <c r="BK86" s="151"/>
      <c r="BL86" s="152"/>
      <c r="BM86" s="151"/>
      <c r="BN86" s="152"/>
      <c r="BO86" s="151"/>
      <c r="BP86" s="152"/>
      <c r="BQ86" s="151"/>
      <c r="BR86" s="152"/>
      <c r="BS86" s="151"/>
      <c r="BT86" s="152"/>
      <c r="BU86" s="151"/>
      <c r="BV86" s="152"/>
      <c r="BW86" s="151"/>
      <c r="BX86" s="152"/>
      <c r="BY86" s="151"/>
      <c r="BZ86" s="152"/>
      <c r="CA86" s="151"/>
      <c r="CB86" s="152"/>
      <c r="CC86" s="151"/>
      <c r="CD86" s="152"/>
      <c r="CE86" s="151"/>
      <c r="CF86" s="152"/>
      <c r="CG86" s="151"/>
      <c r="CH86" s="152"/>
      <c r="CI86" s="151"/>
      <c r="CJ86" s="152"/>
      <c r="CK86" s="151"/>
      <c r="CL86" s="152"/>
      <c r="CM86" s="151"/>
      <c r="CN86" s="152"/>
      <c r="CO86" s="151"/>
      <c r="CP86" s="152"/>
      <c r="CQ86" s="151"/>
      <c r="CR86" s="152"/>
      <c r="CS86" s="151"/>
      <c r="CT86" s="152"/>
      <c r="CU86" s="151"/>
      <c r="CV86" s="152"/>
      <c r="CW86" s="151"/>
      <c r="CX86" s="152"/>
      <c r="CY86" s="151"/>
      <c r="CZ86" s="152"/>
      <c r="DA86" s="151"/>
      <c r="DB86" s="152"/>
      <c r="DC86" s="151"/>
      <c r="DD86" s="152"/>
      <c r="DE86" s="151"/>
      <c r="DF86" s="152"/>
      <c r="DG86" s="151"/>
      <c r="DH86" s="152"/>
      <c r="DI86" s="151"/>
      <c r="DJ86" s="152"/>
      <c r="DK86" s="151"/>
      <c r="DL86" s="152"/>
      <c r="DM86" s="151"/>
      <c r="DN86" s="152"/>
      <c r="DO86" s="151"/>
      <c r="DP86" s="152"/>
      <c r="DQ86" s="151"/>
      <c r="DR86" s="152"/>
      <c r="DS86" s="151"/>
      <c r="DT86" s="152"/>
      <c r="DU86" s="151"/>
      <c r="DV86" s="152"/>
    </row>
    <row r="87" spans="1:126" x14ac:dyDescent="0.2">
      <c r="A87" s="150" t="s">
        <v>939</v>
      </c>
      <c r="B87" s="150" t="s">
        <v>940</v>
      </c>
      <c r="C87" s="151">
        <f t="shared" si="32"/>
        <v>1800</v>
      </c>
      <c r="D87" s="152">
        <f t="shared" si="28"/>
        <v>1800</v>
      </c>
      <c r="E87" s="151">
        <f t="shared" si="51"/>
        <v>0</v>
      </c>
      <c r="F87" s="152">
        <f t="shared" si="52"/>
        <v>1800</v>
      </c>
      <c r="G87" s="151">
        <f t="shared" si="44"/>
        <v>0</v>
      </c>
      <c r="H87" s="152">
        <f t="shared" si="44"/>
        <v>0</v>
      </c>
      <c r="I87" s="151"/>
      <c r="J87" s="152"/>
      <c r="K87" s="151"/>
      <c r="L87" s="152">
        <v>1800</v>
      </c>
      <c r="M87" s="151"/>
      <c r="N87" s="152"/>
      <c r="O87" s="151"/>
      <c r="P87" s="152"/>
      <c r="Q87" s="151"/>
      <c r="R87" s="152"/>
      <c r="S87" s="151"/>
      <c r="T87" s="152"/>
      <c r="U87" s="151"/>
      <c r="V87" s="152"/>
      <c r="W87" s="151"/>
      <c r="X87" s="152"/>
      <c r="Y87" s="151"/>
      <c r="Z87" s="152"/>
      <c r="AA87" s="151"/>
      <c r="AB87" s="152"/>
      <c r="AC87" s="151"/>
      <c r="AD87" s="152"/>
      <c r="AE87" s="151"/>
      <c r="AF87" s="152"/>
      <c r="AG87" s="151"/>
      <c r="AH87" s="152"/>
      <c r="AI87" s="151"/>
      <c r="AJ87" s="152"/>
      <c r="AK87" s="151"/>
      <c r="AL87" s="152"/>
      <c r="AM87" s="151"/>
      <c r="AN87" s="152"/>
      <c r="AO87" s="151"/>
      <c r="AP87" s="152"/>
      <c r="AQ87" s="151"/>
      <c r="AR87" s="152"/>
      <c r="AS87" s="151"/>
      <c r="AT87" s="152"/>
      <c r="AU87" s="151"/>
      <c r="AV87" s="152"/>
      <c r="AW87" s="151"/>
      <c r="AX87" s="152"/>
      <c r="AY87" s="151"/>
      <c r="AZ87" s="152"/>
      <c r="BA87" s="151"/>
      <c r="BB87" s="152"/>
      <c r="BC87" s="151"/>
      <c r="BD87" s="152"/>
      <c r="BE87" s="151"/>
      <c r="BF87" s="152"/>
      <c r="BG87" s="151"/>
      <c r="BH87" s="152"/>
      <c r="BI87" s="151"/>
      <c r="BJ87" s="152"/>
      <c r="BK87" s="151"/>
      <c r="BL87" s="152"/>
      <c r="BM87" s="151"/>
      <c r="BN87" s="152"/>
      <c r="BO87" s="151"/>
      <c r="BP87" s="152"/>
      <c r="BQ87" s="151"/>
      <c r="BR87" s="152"/>
      <c r="BS87" s="151"/>
      <c r="BT87" s="152"/>
      <c r="BU87" s="151"/>
      <c r="BV87" s="152"/>
      <c r="BW87" s="151"/>
      <c r="BX87" s="152"/>
      <c r="BY87" s="151"/>
      <c r="BZ87" s="152"/>
      <c r="CA87" s="151"/>
      <c r="CB87" s="152"/>
      <c r="CC87" s="151"/>
      <c r="CD87" s="152"/>
      <c r="CE87" s="151"/>
      <c r="CF87" s="152"/>
      <c r="CG87" s="151"/>
      <c r="CH87" s="152"/>
      <c r="CI87" s="151"/>
      <c r="CJ87" s="152"/>
      <c r="CK87" s="151"/>
      <c r="CL87" s="152"/>
      <c r="CM87" s="151"/>
      <c r="CN87" s="152"/>
      <c r="CO87" s="151"/>
      <c r="CP87" s="152"/>
      <c r="CQ87" s="151"/>
      <c r="CR87" s="152"/>
      <c r="CS87" s="151"/>
      <c r="CT87" s="152"/>
      <c r="CU87" s="151"/>
      <c r="CV87" s="152"/>
      <c r="CW87" s="151"/>
      <c r="CX87" s="152"/>
      <c r="CY87" s="151"/>
      <c r="CZ87" s="152"/>
      <c r="DA87" s="151"/>
      <c r="DB87" s="152"/>
      <c r="DC87" s="151"/>
      <c r="DD87" s="152"/>
      <c r="DE87" s="151"/>
      <c r="DF87" s="152"/>
      <c r="DG87" s="151"/>
      <c r="DH87" s="152"/>
      <c r="DI87" s="151"/>
      <c r="DJ87" s="152"/>
      <c r="DK87" s="151"/>
      <c r="DL87" s="152"/>
      <c r="DM87" s="151"/>
      <c r="DN87" s="152"/>
      <c r="DO87" s="151"/>
      <c r="DP87" s="152"/>
      <c r="DQ87" s="151"/>
      <c r="DR87" s="152"/>
      <c r="DS87" s="151"/>
      <c r="DT87" s="152"/>
      <c r="DU87" s="151"/>
      <c r="DV87" s="152"/>
    </row>
    <row r="88" spans="1:126" x14ac:dyDescent="0.2">
      <c r="A88" s="153" t="s">
        <v>941</v>
      </c>
      <c r="B88" s="153" t="s">
        <v>343</v>
      </c>
      <c r="C88" s="154">
        <f t="shared" ref="C88:I88" si="53">SUM(C80:C87)</f>
        <v>1800</v>
      </c>
      <c r="D88" s="155">
        <f t="shared" si="53"/>
        <v>1800</v>
      </c>
      <c r="E88" s="154">
        <f t="shared" si="53"/>
        <v>0</v>
      </c>
      <c r="F88" s="155">
        <f t="shared" si="53"/>
        <v>1800</v>
      </c>
      <c r="G88" s="154">
        <f t="shared" si="53"/>
        <v>0</v>
      </c>
      <c r="H88" s="155">
        <f t="shared" si="53"/>
        <v>0</v>
      </c>
      <c r="I88" s="154">
        <f t="shared" si="53"/>
        <v>0</v>
      </c>
      <c r="J88" s="155">
        <f t="shared" ref="J88:AO88" si="54">SUM(J80:J87)</f>
        <v>0</v>
      </c>
      <c r="K88" s="154">
        <f t="shared" si="54"/>
        <v>0</v>
      </c>
      <c r="L88" s="155">
        <f t="shared" si="54"/>
        <v>1800</v>
      </c>
      <c r="M88" s="154">
        <f t="shared" si="54"/>
        <v>0</v>
      </c>
      <c r="N88" s="155">
        <f t="shared" si="54"/>
        <v>0</v>
      </c>
      <c r="O88" s="154">
        <f t="shared" si="54"/>
        <v>0</v>
      </c>
      <c r="P88" s="155">
        <f t="shared" si="54"/>
        <v>0</v>
      </c>
      <c r="Q88" s="154">
        <f t="shared" si="54"/>
        <v>0</v>
      </c>
      <c r="R88" s="155">
        <f t="shared" si="54"/>
        <v>0</v>
      </c>
      <c r="S88" s="154">
        <f t="shared" si="54"/>
        <v>0</v>
      </c>
      <c r="T88" s="155">
        <f>SUM(T80:T87)</f>
        <v>0</v>
      </c>
      <c r="U88" s="154">
        <f t="shared" si="54"/>
        <v>0</v>
      </c>
      <c r="V88" s="155">
        <f>SUM(V80:V87)</f>
        <v>0</v>
      </c>
      <c r="W88" s="154">
        <f t="shared" si="54"/>
        <v>0</v>
      </c>
      <c r="X88" s="155">
        <f t="shared" si="54"/>
        <v>0</v>
      </c>
      <c r="Y88" s="154">
        <f t="shared" si="54"/>
        <v>0</v>
      </c>
      <c r="Z88" s="155">
        <f>SUM(Z80:Z87)</f>
        <v>0</v>
      </c>
      <c r="AA88" s="154">
        <f t="shared" si="54"/>
        <v>0</v>
      </c>
      <c r="AB88" s="155">
        <f>SUM(AB80:AB87)</f>
        <v>0</v>
      </c>
      <c r="AC88" s="154">
        <f t="shared" si="54"/>
        <v>0</v>
      </c>
      <c r="AD88" s="155">
        <f>SUM(AD80:AD87)</f>
        <v>0</v>
      </c>
      <c r="AE88" s="154">
        <f t="shared" si="54"/>
        <v>0</v>
      </c>
      <c r="AF88" s="155">
        <f>SUM(AF80:AF87)</f>
        <v>0</v>
      </c>
      <c r="AG88" s="154"/>
      <c r="AH88" s="155">
        <f>SUM(AH80:AH87)</f>
        <v>0</v>
      </c>
      <c r="AI88" s="154">
        <f>SUM(AI80:AI87)</f>
        <v>0</v>
      </c>
      <c r="AJ88" s="155">
        <f>SUM(AJ80:AJ87)</f>
        <v>0</v>
      </c>
      <c r="AK88" s="154">
        <f t="shared" si="54"/>
        <v>0</v>
      </c>
      <c r="AL88" s="155">
        <f>SUM(AL80:AL87)</f>
        <v>0</v>
      </c>
      <c r="AM88" s="154">
        <f t="shared" si="54"/>
        <v>0</v>
      </c>
      <c r="AN88" s="155"/>
      <c r="AO88" s="154">
        <f t="shared" si="54"/>
        <v>0</v>
      </c>
      <c r="AP88" s="155">
        <f>SUM(AP80:AP87)</f>
        <v>0</v>
      </c>
      <c r="AQ88" s="154">
        <f t="shared" ref="AQ88:DS88" si="55">SUM(AQ80:AQ87)</f>
        <v>0</v>
      </c>
      <c r="AR88" s="155">
        <f>SUM(AR80:AR87)</f>
        <v>0</v>
      </c>
      <c r="AS88" s="154">
        <f t="shared" si="55"/>
        <v>0</v>
      </c>
      <c r="AT88" s="155">
        <f>SUM(AT80:AT87)</f>
        <v>0</v>
      </c>
      <c r="AU88" s="154">
        <f t="shared" si="55"/>
        <v>0</v>
      </c>
      <c r="AV88" s="155">
        <f>SUM(AV80:AV87)</f>
        <v>0</v>
      </c>
      <c r="AW88" s="154">
        <f t="shared" si="55"/>
        <v>0</v>
      </c>
      <c r="AX88" s="155">
        <f>SUM(AX80:AX87)</f>
        <v>0</v>
      </c>
      <c r="AY88" s="154">
        <f t="shared" si="55"/>
        <v>0</v>
      </c>
      <c r="AZ88" s="155">
        <f>SUM(AZ80:AZ87)</f>
        <v>0</v>
      </c>
      <c r="BA88" s="154">
        <f t="shared" si="55"/>
        <v>0</v>
      </c>
      <c r="BB88" s="155">
        <f>SUM(BB80:BB87)</f>
        <v>0</v>
      </c>
      <c r="BC88" s="154">
        <f t="shared" si="55"/>
        <v>0</v>
      </c>
      <c r="BD88" s="155">
        <f>SUM(BD80:BD87)</f>
        <v>0</v>
      </c>
      <c r="BE88" s="154">
        <f t="shared" si="55"/>
        <v>0</v>
      </c>
      <c r="BF88" s="155">
        <f>SUM(BF80:BF87)</f>
        <v>0</v>
      </c>
      <c r="BG88" s="154">
        <f t="shared" si="55"/>
        <v>0</v>
      </c>
      <c r="BH88" s="155">
        <f>SUM(BH80:BH87)</f>
        <v>0</v>
      </c>
      <c r="BI88" s="154">
        <f t="shared" si="55"/>
        <v>0</v>
      </c>
      <c r="BJ88" s="155">
        <f>SUM(BJ80:BJ87)</f>
        <v>0</v>
      </c>
      <c r="BK88" s="154">
        <f t="shared" si="55"/>
        <v>0</v>
      </c>
      <c r="BL88" s="155">
        <f>SUM(BL80:BL87)</f>
        <v>0</v>
      </c>
      <c r="BM88" s="154">
        <f t="shared" si="55"/>
        <v>0</v>
      </c>
      <c r="BN88" s="155">
        <f>SUM(BN80:BN87)</f>
        <v>0</v>
      </c>
      <c r="BO88" s="154">
        <f t="shared" si="55"/>
        <v>0</v>
      </c>
      <c r="BP88" s="155">
        <f>SUM(BP80:BP87)</f>
        <v>0</v>
      </c>
      <c r="BQ88" s="154">
        <f t="shared" si="55"/>
        <v>0</v>
      </c>
      <c r="BR88" s="155">
        <f>SUM(BR80:BR87)</f>
        <v>0</v>
      </c>
      <c r="BS88" s="154">
        <f t="shared" si="55"/>
        <v>0</v>
      </c>
      <c r="BT88" s="155">
        <f>SUM(BT80:BT87)</f>
        <v>0</v>
      </c>
      <c r="BU88" s="154">
        <f t="shared" si="55"/>
        <v>0</v>
      </c>
      <c r="BV88" s="155">
        <f>SUM(BV80:BV87)</f>
        <v>0</v>
      </c>
      <c r="BW88" s="154">
        <f t="shared" si="55"/>
        <v>0</v>
      </c>
      <c r="BX88" s="155">
        <f>SUM(BX80:BX87)</f>
        <v>0</v>
      </c>
      <c r="BY88" s="154">
        <f t="shared" si="55"/>
        <v>0</v>
      </c>
      <c r="BZ88" s="155">
        <f>SUM(BZ80:BZ87)</f>
        <v>0</v>
      </c>
      <c r="CA88" s="154">
        <f t="shared" si="55"/>
        <v>0</v>
      </c>
      <c r="CB88" s="155">
        <f>SUM(CB80:CB87)</f>
        <v>0</v>
      </c>
      <c r="CC88" s="154">
        <f t="shared" si="55"/>
        <v>0</v>
      </c>
      <c r="CD88" s="155">
        <f>SUM(CD80:CD87)</f>
        <v>0</v>
      </c>
      <c r="CE88" s="154">
        <f>SUM(CE80:CE87)</f>
        <v>0</v>
      </c>
      <c r="CF88" s="155">
        <f>SUM(CF80:CF87)</f>
        <v>0</v>
      </c>
      <c r="CG88" s="154">
        <f t="shared" si="55"/>
        <v>0</v>
      </c>
      <c r="CH88" s="155">
        <f>SUM(CH80:CH87)</f>
        <v>0</v>
      </c>
      <c r="CI88" s="154">
        <f t="shared" si="55"/>
        <v>0</v>
      </c>
      <c r="CJ88" s="155">
        <f>SUM(CJ80:CJ87)</f>
        <v>0</v>
      </c>
      <c r="CK88" s="154">
        <f t="shared" si="55"/>
        <v>0</v>
      </c>
      <c r="CL88" s="155">
        <f>SUM(CL80:CL87)</f>
        <v>0</v>
      </c>
      <c r="CM88" s="154">
        <f t="shared" si="55"/>
        <v>0</v>
      </c>
      <c r="CN88" s="155">
        <f>SUM(CN80:CN87)</f>
        <v>0</v>
      </c>
      <c r="CO88" s="154">
        <f t="shared" si="55"/>
        <v>0</v>
      </c>
      <c r="CP88" s="155">
        <f>SUM(CP80:CP87)</f>
        <v>0</v>
      </c>
      <c r="CQ88" s="154">
        <f t="shared" si="55"/>
        <v>0</v>
      </c>
      <c r="CR88" s="155">
        <f>SUM(CR80:CR87)</f>
        <v>0</v>
      </c>
      <c r="CS88" s="154">
        <f t="shared" si="55"/>
        <v>0</v>
      </c>
      <c r="CT88" s="155">
        <f>SUM(CT80:CT87)</f>
        <v>0</v>
      </c>
      <c r="CU88" s="154">
        <f t="shared" si="55"/>
        <v>0</v>
      </c>
      <c r="CV88" s="155">
        <f>SUM(CV80:CV87)</f>
        <v>0</v>
      </c>
      <c r="CW88" s="154">
        <f t="shared" si="55"/>
        <v>0</v>
      </c>
      <c r="CX88" s="155">
        <f>SUM(CX80:CX87)</f>
        <v>0</v>
      </c>
      <c r="CY88" s="154">
        <f t="shared" si="55"/>
        <v>0</v>
      </c>
      <c r="CZ88" s="155"/>
      <c r="DA88" s="154">
        <f t="shared" si="55"/>
        <v>0</v>
      </c>
      <c r="DB88" s="155"/>
      <c r="DC88" s="154">
        <f t="shared" si="55"/>
        <v>0</v>
      </c>
      <c r="DD88" s="155">
        <f>SUM(DD80:DD87)</f>
        <v>0</v>
      </c>
      <c r="DE88" s="154">
        <f t="shared" si="55"/>
        <v>0</v>
      </c>
      <c r="DF88" s="155">
        <f>SUM(DF80:DF87)</f>
        <v>0</v>
      </c>
      <c r="DG88" s="154">
        <f t="shared" si="55"/>
        <v>0</v>
      </c>
      <c r="DH88" s="155">
        <f>SUM(DH80:DH87)</f>
        <v>0</v>
      </c>
      <c r="DI88" s="154">
        <f t="shared" si="55"/>
        <v>0</v>
      </c>
      <c r="DJ88" s="155">
        <f>SUM(DJ80:DJ87)</f>
        <v>0</v>
      </c>
      <c r="DK88" s="154">
        <f t="shared" si="55"/>
        <v>0</v>
      </c>
      <c r="DL88" s="155">
        <f>SUM(DL80:DL87)</f>
        <v>0</v>
      </c>
      <c r="DM88" s="154">
        <f t="shared" si="55"/>
        <v>0</v>
      </c>
      <c r="DN88" s="155">
        <f>SUM(DN80:DN87)</f>
        <v>0</v>
      </c>
      <c r="DO88" s="154">
        <f t="shared" si="55"/>
        <v>0</v>
      </c>
      <c r="DP88" s="155">
        <f>SUM(DP80:DP87)</f>
        <v>0</v>
      </c>
      <c r="DQ88" s="154">
        <f t="shared" si="55"/>
        <v>0</v>
      </c>
      <c r="DR88" s="155"/>
      <c r="DS88" s="154">
        <f t="shared" si="55"/>
        <v>0</v>
      </c>
      <c r="DT88" s="155">
        <f>SUM(DT80:DT87)</f>
        <v>0</v>
      </c>
      <c r="DU88" s="154"/>
      <c r="DV88" s="155"/>
    </row>
    <row r="89" spans="1:126" x14ac:dyDescent="0.2">
      <c r="A89" s="150" t="s">
        <v>942</v>
      </c>
      <c r="B89" s="150" t="s">
        <v>943</v>
      </c>
      <c r="C89" s="151">
        <f t="shared" si="32"/>
        <v>0</v>
      </c>
      <c r="D89" s="152">
        <f t="shared" si="28"/>
        <v>0</v>
      </c>
      <c r="E89" s="151">
        <f t="shared" ref="E89:E105" si="56">K89+M89+O88:O89+Q89+S89+U89+W89+Y89+AA89+AC89+AE89+AI89</f>
        <v>0</v>
      </c>
      <c r="F89" s="152">
        <f t="shared" ref="F89:F105" si="57">L89+N89+P88:P89+R89+T89+V89+X89+Z89+AB89+AD89+AF89+AJ89+AH89</f>
        <v>0</v>
      </c>
      <c r="G89" s="151">
        <f t="shared" si="44"/>
        <v>0</v>
      </c>
      <c r="H89" s="152">
        <f t="shared" si="44"/>
        <v>0</v>
      </c>
      <c r="I89" s="151"/>
      <c r="J89" s="152"/>
      <c r="K89" s="151"/>
      <c r="L89" s="152"/>
      <c r="M89" s="151"/>
      <c r="N89" s="152"/>
      <c r="O89" s="151"/>
      <c r="P89" s="152"/>
      <c r="Q89" s="151"/>
      <c r="R89" s="152"/>
      <c r="S89" s="151"/>
      <c r="T89" s="152"/>
      <c r="U89" s="151"/>
      <c r="V89" s="152"/>
      <c r="W89" s="151"/>
      <c r="X89" s="152"/>
      <c r="Y89" s="151"/>
      <c r="Z89" s="152"/>
      <c r="AA89" s="151"/>
      <c r="AB89" s="152"/>
      <c r="AC89" s="151"/>
      <c r="AD89" s="152"/>
      <c r="AE89" s="151"/>
      <c r="AF89" s="152"/>
      <c r="AG89" s="151"/>
      <c r="AH89" s="152"/>
      <c r="AI89" s="151"/>
      <c r="AJ89" s="152"/>
      <c r="AK89" s="151"/>
      <c r="AL89" s="152"/>
      <c r="AM89" s="151"/>
      <c r="AN89" s="152"/>
      <c r="AO89" s="151"/>
      <c r="AP89" s="152"/>
      <c r="AQ89" s="151"/>
      <c r="AR89" s="152"/>
      <c r="AS89" s="151"/>
      <c r="AT89" s="152"/>
      <c r="AU89" s="151"/>
      <c r="AV89" s="152"/>
      <c r="AW89" s="151"/>
      <c r="AX89" s="152"/>
      <c r="AY89" s="151"/>
      <c r="AZ89" s="152"/>
      <c r="BA89" s="151"/>
      <c r="BB89" s="152"/>
      <c r="BC89" s="151"/>
      <c r="BD89" s="152"/>
      <c r="BE89" s="151"/>
      <c r="BF89" s="152"/>
      <c r="BG89" s="151"/>
      <c r="BH89" s="152"/>
      <c r="BI89" s="151"/>
      <c r="BJ89" s="152"/>
      <c r="BK89" s="151"/>
      <c r="BL89" s="152"/>
      <c r="BM89" s="151"/>
      <c r="BN89" s="152"/>
      <c r="BO89" s="151"/>
      <c r="BP89" s="152"/>
      <c r="BQ89" s="151"/>
      <c r="BR89" s="152"/>
      <c r="BS89" s="151"/>
      <c r="BT89" s="152"/>
      <c r="BU89" s="151"/>
      <c r="BV89" s="152"/>
      <c r="BW89" s="151"/>
      <c r="BX89" s="152"/>
      <c r="BY89" s="151"/>
      <c r="BZ89" s="152"/>
      <c r="CA89" s="151"/>
      <c r="CB89" s="152"/>
      <c r="CC89" s="151"/>
      <c r="CD89" s="152"/>
      <c r="CE89" s="151"/>
      <c r="CF89" s="152"/>
      <c r="CG89" s="151"/>
      <c r="CH89" s="152"/>
      <c r="CI89" s="151"/>
      <c r="CJ89" s="152"/>
      <c r="CK89" s="151"/>
      <c r="CL89" s="152"/>
      <c r="CM89" s="151"/>
      <c r="CN89" s="152"/>
      <c r="CO89" s="151"/>
      <c r="CP89" s="152"/>
      <c r="CQ89" s="151"/>
      <c r="CR89" s="152"/>
      <c r="CS89" s="151"/>
      <c r="CT89" s="152"/>
      <c r="CU89" s="151"/>
      <c r="CV89" s="152"/>
      <c r="CW89" s="151"/>
      <c r="CX89" s="152"/>
      <c r="CY89" s="151"/>
      <c r="CZ89" s="152"/>
      <c r="DA89" s="151"/>
      <c r="DB89" s="152"/>
      <c r="DC89" s="151"/>
      <c r="DD89" s="152"/>
      <c r="DE89" s="151"/>
      <c r="DF89" s="152"/>
      <c r="DG89" s="151"/>
      <c r="DH89" s="152"/>
      <c r="DI89" s="151"/>
      <c r="DJ89" s="152"/>
      <c r="DK89" s="151"/>
      <c r="DL89" s="152"/>
      <c r="DM89" s="151"/>
      <c r="DN89" s="152"/>
      <c r="DO89" s="151"/>
      <c r="DP89" s="152"/>
      <c r="DQ89" s="151"/>
      <c r="DR89" s="152"/>
      <c r="DS89" s="151"/>
      <c r="DT89" s="152"/>
      <c r="DU89" s="151"/>
      <c r="DV89" s="152"/>
    </row>
    <row r="90" spans="1:126" x14ac:dyDescent="0.2">
      <c r="A90" s="150" t="s">
        <v>944</v>
      </c>
      <c r="B90" s="160" t="s">
        <v>945</v>
      </c>
      <c r="C90" s="151">
        <f t="shared" si="32"/>
        <v>0</v>
      </c>
      <c r="D90" s="152">
        <f t="shared" si="28"/>
        <v>0</v>
      </c>
      <c r="E90" s="151">
        <f t="shared" si="56"/>
        <v>0</v>
      </c>
      <c r="F90" s="152">
        <f t="shared" si="57"/>
        <v>0</v>
      </c>
      <c r="G90" s="151">
        <f t="shared" si="44"/>
        <v>0</v>
      </c>
      <c r="H90" s="152">
        <f t="shared" si="44"/>
        <v>0</v>
      </c>
      <c r="I90" s="151"/>
      <c r="J90" s="152"/>
      <c r="K90" s="151"/>
      <c r="L90" s="152"/>
      <c r="M90" s="151"/>
      <c r="N90" s="152"/>
      <c r="O90" s="151"/>
      <c r="P90" s="152"/>
      <c r="Q90" s="151"/>
      <c r="R90" s="152"/>
      <c r="S90" s="151"/>
      <c r="T90" s="152"/>
      <c r="U90" s="151"/>
      <c r="V90" s="152"/>
      <c r="W90" s="151"/>
      <c r="X90" s="152"/>
      <c r="Y90" s="151"/>
      <c r="Z90" s="152"/>
      <c r="AA90" s="151"/>
      <c r="AB90" s="152"/>
      <c r="AC90" s="151"/>
      <c r="AD90" s="152"/>
      <c r="AE90" s="151"/>
      <c r="AF90" s="152"/>
      <c r="AG90" s="151"/>
      <c r="AH90" s="152"/>
      <c r="AI90" s="151"/>
      <c r="AJ90" s="152"/>
      <c r="AK90" s="151"/>
      <c r="AL90" s="152"/>
      <c r="AM90" s="151"/>
      <c r="AN90" s="152"/>
      <c r="AO90" s="151"/>
      <c r="AP90" s="152"/>
      <c r="AQ90" s="151"/>
      <c r="AR90" s="152"/>
      <c r="AS90" s="151"/>
      <c r="AT90" s="152"/>
      <c r="AU90" s="151"/>
      <c r="AV90" s="152"/>
      <c r="AW90" s="151"/>
      <c r="AX90" s="152"/>
      <c r="AY90" s="151"/>
      <c r="AZ90" s="152"/>
      <c r="BA90" s="151"/>
      <c r="BB90" s="152"/>
      <c r="BC90" s="151"/>
      <c r="BD90" s="152"/>
      <c r="BE90" s="151"/>
      <c r="BF90" s="152"/>
      <c r="BG90" s="151"/>
      <c r="BH90" s="152"/>
      <c r="BI90" s="151"/>
      <c r="BJ90" s="152"/>
      <c r="BK90" s="151"/>
      <c r="BL90" s="152"/>
      <c r="BM90" s="151"/>
      <c r="BN90" s="152"/>
      <c r="BO90" s="151"/>
      <c r="BP90" s="152"/>
      <c r="BQ90" s="151"/>
      <c r="BR90" s="152"/>
      <c r="BS90" s="151"/>
      <c r="BT90" s="152"/>
      <c r="BU90" s="151"/>
      <c r="BV90" s="152"/>
      <c r="BW90" s="151"/>
      <c r="BX90" s="152"/>
      <c r="BY90" s="151"/>
      <c r="BZ90" s="152"/>
      <c r="CA90" s="151"/>
      <c r="CB90" s="152"/>
      <c r="CC90" s="151"/>
      <c r="CD90" s="152"/>
      <c r="CE90" s="151"/>
      <c r="CF90" s="152"/>
      <c r="CG90" s="151"/>
      <c r="CH90" s="152"/>
      <c r="CI90" s="151"/>
      <c r="CJ90" s="152"/>
      <c r="CK90" s="151"/>
      <c r="CL90" s="152"/>
      <c r="CM90" s="151"/>
      <c r="CN90" s="152"/>
      <c r="CO90" s="151"/>
      <c r="CP90" s="152"/>
      <c r="CQ90" s="151"/>
      <c r="CR90" s="152"/>
      <c r="CS90" s="151"/>
      <c r="CT90" s="152"/>
      <c r="CU90" s="151"/>
      <c r="CV90" s="152"/>
      <c r="CW90" s="151"/>
      <c r="CX90" s="152"/>
      <c r="CY90" s="151"/>
      <c r="CZ90" s="152"/>
      <c r="DA90" s="151"/>
      <c r="DB90" s="152"/>
      <c r="DC90" s="151"/>
      <c r="DD90" s="152"/>
      <c r="DE90" s="151"/>
      <c r="DF90" s="152"/>
      <c r="DG90" s="151"/>
      <c r="DH90" s="152"/>
      <c r="DI90" s="151"/>
      <c r="DJ90" s="152"/>
      <c r="DK90" s="151"/>
      <c r="DL90" s="152"/>
      <c r="DM90" s="151"/>
      <c r="DN90" s="152"/>
      <c r="DO90" s="151"/>
      <c r="DP90" s="152"/>
      <c r="DQ90" s="151"/>
      <c r="DR90" s="152"/>
      <c r="DS90" s="151"/>
      <c r="DT90" s="152"/>
      <c r="DU90" s="151"/>
      <c r="DV90" s="152"/>
    </row>
    <row r="91" spans="1:126" x14ac:dyDescent="0.2">
      <c r="A91" s="150" t="s">
        <v>946</v>
      </c>
      <c r="B91" s="150" t="s">
        <v>947</v>
      </c>
      <c r="C91" s="151">
        <f t="shared" si="32"/>
        <v>0</v>
      </c>
      <c r="D91" s="152">
        <f t="shared" si="28"/>
        <v>0</v>
      </c>
      <c r="E91" s="151">
        <f t="shared" si="56"/>
        <v>0</v>
      </c>
      <c r="F91" s="152">
        <f t="shared" si="57"/>
        <v>0</v>
      </c>
      <c r="G91" s="151">
        <f t="shared" si="44"/>
        <v>0</v>
      </c>
      <c r="H91" s="152">
        <f t="shared" si="44"/>
        <v>0</v>
      </c>
      <c r="I91" s="151"/>
      <c r="J91" s="152"/>
      <c r="K91" s="151"/>
      <c r="L91" s="152"/>
      <c r="M91" s="151"/>
      <c r="N91" s="152"/>
      <c r="O91" s="151"/>
      <c r="P91" s="152"/>
      <c r="Q91" s="151"/>
      <c r="R91" s="152"/>
      <c r="S91" s="151"/>
      <c r="T91" s="152"/>
      <c r="U91" s="151"/>
      <c r="V91" s="152"/>
      <c r="W91" s="151"/>
      <c r="X91" s="152"/>
      <c r="Y91" s="151"/>
      <c r="Z91" s="152"/>
      <c r="AA91" s="151"/>
      <c r="AB91" s="152"/>
      <c r="AC91" s="151"/>
      <c r="AD91" s="152"/>
      <c r="AE91" s="151"/>
      <c r="AF91" s="152"/>
      <c r="AG91" s="151"/>
      <c r="AH91" s="152"/>
      <c r="AI91" s="151"/>
      <c r="AJ91" s="152"/>
      <c r="AK91" s="151"/>
      <c r="AL91" s="152"/>
      <c r="AM91" s="151"/>
      <c r="AN91" s="152"/>
      <c r="AO91" s="151"/>
      <c r="AP91" s="152"/>
      <c r="AQ91" s="151"/>
      <c r="AR91" s="152"/>
      <c r="AS91" s="151"/>
      <c r="AT91" s="152"/>
      <c r="AU91" s="151"/>
      <c r="AV91" s="152"/>
      <c r="AW91" s="151"/>
      <c r="AX91" s="152"/>
      <c r="AY91" s="151"/>
      <c r="AZ91" s="152"/>
      <c r="BA91" s="151"/>
      <c r="BB91" s="152"/>
      <c r="BC91" s="151"/>
      <c r="BD91" s="152"/>
      <c r="BE91" s="151"/>
      <c r="BF91" s="152"/>
      <c r="BG91" s="151"/>
      <c r="BH91" s="152"/>
      <c r="BI91" s="151"/>
      <c r="BJ91" s="152"/>
      <c r="BK91" s="151"/>
      <c r="BL91" s="152"/>
      <c r="BM91" s="151"/>
      <c r="BN91" s="152"/>
      <c r="BO91" s="151"/>
      <c r="BP91" s="152"/>
      <c r="BQ91" s="151"/>
      <c r="BR91" s="152"/>
      <c r="BS91" s="151"/>
      <c r="BT91" s="152"/>
      <c r="BU91" s="151"/>
      <c r="BV91" s="152"/>
      <c r="BW91" s="151"/>
      <c r="BX91" s="152"/>
      <c r="BY91" s="151"/>
      <c r="BZ91" s="152"/>
      <c r="CA91" s="151"/>
      <c r="CB91" s="152"/>
      <c r="CC91" s="151"/>
      <c r="CD91" s="152"/>
      <c r="CE91" s="151"/>
      <c r="CF91" s="152"/>
      <c r="CG91" s="151"/>
      <c r="CH91" s="152"/>
      <c r="CI91" s="151"/>
      <c r="CJ91" s="152"/>
      <c r="CK91" s="151"/>
      <c r="CL91" s="152"/>
      <c r="CM91" s="151"/>
      <c r="CN91" s="152"/>
      <c r="CO91" s="151"/>
      <c r="CP91" s="152"/>
      <c r="CQ91" s="151"/>
      <c r="CR91" s="152"/>
      <c r="CS91" s="151"/>
      <c r="CT91" s="152"/>
      <c r="CU91" s="151"/>
      <c r="CV91" s="152"/>
      <c r="CW91" s="151"/>
      <c r="CX91" s="152"/>
      <c r="CY91" s="151"/>
      <c r="CZ91" s="152"/>
      <c r="DA91" s="151"/>
      <c r="DB91" s="152"/>
      <c r="DC91" s="151"/>
      <c r="DD91" s="152"/>
      <c r="DE91" s="151"/>
      <c r="DF91" s="152"/>
      <c r="DG91" s="151"/>
      <c r="DH91" s="152"/>
      <c r="DI91" s="151"/>
      <c r="DJ91" s="152"/>
      <c r="DK91" s="151"/>
      <c r="DL91" s="152"/>
      <c r="DM91" s="151"/>
      <c r="DN91" s="152"/>
      <c r="DO91" s="151"/>
      <c r="DP91" s="152"/>
      <c r="DQ91" s="151"/>
      <c r="DR91" s="152"/>
      <c r="DS91" s="151"/>
      <c r="DT91" s="152"/>
      <c r="DU91" s="151"/>
      <c r="DV91" s="152"/>
    </row>
    <row r="92" spans="1:126" x14ac:dyDescent="0.2">
      <c r="A92" s="150" t="s">
        <v>948</v>
      </c>
      <c r="B92" s="150" t="s">
        <v>949</v>
      </c>
      <c r="C92" s="151">
        <f t="shared" si="32"/>
        <v>0</v>
      </c>
      <c r="D92" s="152">
        <f t="shared" si="28"/>
        <v>0</v>
      </c>
      <c r="E92" s="151">
        <f t="shared" si="56"/>
        <v>0</v>
      </c>
      <c r="F92" s="152">
        <f t="shared" si="57"/>
        <v>0</v>
      </c>
      <c r="G92" s="151">
        <f t="shared" si="44"/>
        <v>0</v>
      </c>
      <c r="H92" s="152">
        <f t="shared" si="44"/>
        <v>0</v>
      </c>
      <c r="I92" s="151"/>
      <c r="J92" s="152"/>
      <c r="K92" s="151"/>
      <c r="L92" s="152"/>
      <c r="M92" s="151"/>
      <c r="N92" s="152"/>
      <c r="O92" s="151"/>
      <c r="P92" s="152"/>
      <c r="Q92" s="151"/>
      <c r="R92" s="152"/>
      <c r="S92" s="151"/>
      <c r="T92" s="152"/>
      <c r="U92" s="151"/>
      <c r="V92" s="152"/>
      <c r="W92" s="151"/>
      <c r="X92" s="152"/>
      <c r="Y92" s="151"/>
      <c r="Z92" s="152"/>
      <c r="AA92" s="151"/>
      <c r="AB92" s="152"/>
      <c r="AC92" s="151"/>
      <c r="AD92" s="152"/>
      <c r="AE92" s="151"/>
      <c r="AF92" s="152"/>
      <c r="AG92" s="151"/>
      <c r="AH92" s="152"/>
      <c r="AI92" s="151"/>
      <c r="AJ92" s="152"/>
      <c r="AK92" s="151"/>
      <c r="AL92" s="152"/>
      <c r="AM92" s="151"/>
      <c r="AN92" s="152"/>
      <c r="AO92" s="151"/>
      <c r="AP92" s="152"/>
      <c r="AQ92" s="151"/>
      <c r="AR92" s="152"/>
      <c r="AS92" s="151"/>
      <c r="AT92" s="152"/>
      <c r="AU92" s="151"/>
      <c r="AV92" s="152"/>
      <c r="AW92" s="151"/>
      <c r="AX92" s="152"/>
      <c r="AY92" s="151"/>
      <c r="AZ92" s="152"/>
      <c r="BA92" s="151"/>
      <c r="BB92" s="152"/>
      <c r="BC92" s="151"/>
      <c r="BD92" s="152"/>
      <c r="BE92" s="151"/>
      <c r="BF92" s="152"/>
      <c r="BG92" s="151"/>
      <c r="BH92" s="152"/>
      <c r="BI92" s="151"/>
      <c r="BJ92" s="152"/>
      <c r="BK92" s="151"/>
      <c r="BL92" s="152"/>
      <c r="BM92" s="151"/>
      <c r="BN92" s="152"/>
      <c r="BO92" s="151"/>
      <c r="BP92" s="152"/>
      <c r="BQ92" s="151"/>
      <c r="BR92" s="152"/>
      <c r="BS92" s="151"/>
      <c r="BT92" s="152"/>
      <c r="BU92" s="151"/>
      <c r="BV92" s="152"/>
      <c r="BW92" s="151"/>
      <c r="BX92" s="152"/>
      <c r="BY92" s="151"/>
      <c r="BZ92" s="152"/>
      <c r="CA92" s="151"/>
      <c r="CB92" s="152"/>
      <c r="CC92" s="151"/>
      <c r="CD92" s="152"/>
      <c r="CE92" s="151"/>
      <c r="CF92" s="152"/>
      <c r="CG92" s="151"/>
      <c r="CH92" s="152"/>
      <c r="CI92" s="151"/>
      <c r="CJ92" s="152"/>
      <c r="CK92" s="151"/>
      <c r="CL92" s="152"/>
      <c r="CM92" s="151"/>
      <c r="CN92" s="152"/>
      <c r="CO92" s="151"/>
      <c r="CP92" s="152"/>
      <c r="CQ92" s="151"/>
      <c r="CR92" s="152"/>
      <c r="CS92" s="151"/>
      <c r="CT92" s="152"/>
      <c r="CU92" s="151"/>
      <c r="CV92" s="152"/>
      <c r="CW92" s="151"/>
      <c r="CX92" s="152"/>
      <c r="CY92" s="151"/>
      <c r="CZ92" s="152"/>
      <c r="DA92" s="151"/>
      <c r="DB92" s="152"/>
      <c r="DC92" s="151"/>
      <c r="DD92" s="152"/>
      <c r="DE92" s="151"/>
      <c r="DF92" s="152"/>
      <c r="DG92" s="151"/>
      <c r="DH92" s="152"/>
      <c r="DI92" s="151"/>
      <c r="DJ92" s="152"/>
      <c r="DK92" s="151"/>
      <c r="DL92" s="152"/>
      <c r="DM92" s="151"/>
      <c r="DN92" s="152"/>
      <c r="DO92" s="151"/>
      <c r="DP92" s="152"/>
      <c r="DQ92" s="151"/>
      <c r="DR92" s="152"/>
      <c r="DS92" s="151"/>
      <c r="DT92" s="152"/>
      <c r="DU92" s="151"/>
      <c r="DV92" s="152"/>
    </row>
    <row r="93" spans="1:126" x14ac:dyDescent="0.2">
      <c r="A93" s="150" t="s">
        <v>950</v>
      </c>
      <c r="B93" s="150" t="s">
        <v>951</v>
      </c>
      <c r="C93" s="151">
        <f t="shared" si="32"/>
        <v>0</v>
      </c>
      <c r="D93" s="152">
        <f t="shared" si="28"/>
        <v>0</v>
      </c>
      <c r="E93" s="151">
        <f t="shared" si="56"/>
        <v>0</v>
      </c>
      <c r="F93" s="152">
        <f t="shared" si="57"/>
        <v>0</v>
      </c>
      <c r="G93" s="151">
        <f t="shared" si="44"/>
        <v>0</v>
      </c>
      <c r="H93" s="152">
        <f t="shared" si="44"/>
        <v>0</v>
      </c>
      <c r="I93" s="151"/>
      <c r="J93" s="152"/>
      <c r="K93" s="151"/>
      <c r="L93" s="152"/>
      <c r="M93" s="151"/>
      <c r="N93" s="152"/>
      <c r="O93" s="151"/>
      <c r="P93" s="152"/>
      <c r="Q93" s="151"/>
      <c r="R93" s="152"/>
      <c r="S93" s="151"/>
      <c r="T93" s="152"/>
      <c r="U93" s="151"/>
      <c r="V93" s="152"/>
      <c r="W93" s="151"/>
      <c r="X93" s="152"/>
      <c r="Y93" s="151"/>
      <c r="Z93" s="152"/>
      <c r="AA93" s="151"/>
      <c r="AB93" s="152"/>
      <c r="AC93" s="151"/>
      <c r="AD93" s="152"/>
      <c r="AE93" s="151"/>
      <c r="AF93" s="152"/>
      <c r="AG93" s="151"/>
      <c r="AH93" s="152"/>
      <c r="AI93" s="151"/>
      <c r="AJ93" s="152"/>
      <c r="AK93" s="151"/>
      <c r="AL93" s="152"/>
      <c r="AM93" s="151"/>
      <c r="AN93" s="152"/>
      <c r="AO93" s="151"/>
      <c r="AP93" s="152"/>
      <c r="AQ93" s="151"/>
      <c r="AR93" s="152"/>
      <c r="AS93" s="151"/>
      <c r="AT93" s="152"/>
      <c r="AU93" s="151"/>
      <c r="AV93" s="152"/>
      <c r="AW93" s="151"/>
      <c r="AX93" s="152"/>
      <c r="AY93" s="151"/>
      <c r="AZ93" s="152"/>
      <c r="BA93" s="151"/>
      <c r="BB93" s="152"/>
      <c r="BC93" s="151"/>
      <c r="BD93" s="152"/>
      <c r="BE93" s="151"/>
      <c r="BF93" s="152"/>
      <c r="BG93" s="151"/>
      <c r="BH93" s="152"/>
      <c r="BI93" s="151"/>
      <c r="BJ93" s="152"/>
      <c r="BK93" s="151"/>
      <c r="BL93" s="152"/>
      <c r="BM93" s="151"/>
      <c r="BN93" s="152"/>
      <c r="BO93" s="151"/>
      <c r="BP93" s="152"/>
      <c r="BQ93" s="151"/>
      <c r="BR93" s="152"/>
      <c r="BS93" s="151"/>
      <c r="BT93" s="152"/>
      <c r="BU93" s="151"/>
      <c r="BV93" s="152"/>
      <c r="BW93" s="151"/>
      <c r="BX93" s="152"/>
      <c r="BY93" s="151"/>
      <c r="BZ93" s="152"/>
      <c r="CA93" s="151"/>
      <c r="CB93" s="152"/>
      <c r="CC93" s="151"/>
      <c r="CD93" s="152"/>
      <c r="CE93" s="151"/>
      <c r="CF93" s="152"/>
      <c r="CG93" s="151"/>
      <c r="CH93" s="152"/>
      <c r="CI93" s="151"/>
      <c r="CJ93" s="152"/>
      <c r="CK93" s="151"/>
      <c r="CL93" s="152"/>
      <c r="CM93" s="151"/>
      <c r="CN93" s="152"/>
      <c r="CO93" s="151"/>
      <c r="CP93" s="152"/>
      <c r="CQ93" s="151"/>
      <c r="CR93" s="152"/>
      <c r="CS93" s="151"/>
      <c r="CT93" s="152"/>
      <c r="CU93" s="151"/>
      <c r="CV93" s="152"/>
      <c r="CW93" s="151"/>
      <c r="CX93" s="152"/>
      <c r="CY93" s="151"/>
      <c r="CZ93" s="152"/>
      <c r="DA93" s="151"/>
      <c r="DB93" s="152"/>
      <c r="DC93" s="151"/>
      <c r="DD93" s="152"/>
      <c r="DE93" s="151"/>
      <c r="DF93" s="152"/>
      <c r="DG93" s="151"/>
      <c r="DH93" s="152"/>
      <c r="DI93" s="151"/>
      <c r="DJ93" s="152"/>
      <c r="DK93" s="151"/>
      <c r="DL93" s="152"/>
      <c r="DM93" s="151"/>
      <c r="DN93" s="152"/>
      <c r="DO93" s="151"/>
      <c r="DP93" s="152"/>
      <c r="DQ93" s="151"/>
      <c r="DR93" s="152"/>
      <c r="DS93" s="151"/>
      <c r="DT93" s="152"/>
      <c r="DU93" s="151"/>
      <c r="DV93" s="152"/>
    </row>
    <row r="94" spans="1:126" x14ac:dyDescent="0.2">
      <c r="A94" s="150" t="s">
        <v>952</v>
      </c>
      <c r="B94" s="150" t="s">
        <v>953</v>
      </c>
      <c r="C94" s="151">
        <f t="shared" si="32"/>
        <v>0</v>
      </c>
      <c r="D94" s="152">
        <f t="shared" si="28"/>
        <v>0</v>
      </c>
      <c r="E94" s="151">
        <f t="shared" si="56"/>
        <v>0</v>
      </c>
      <c r="F94" s="152">
        <f t="shared" si="57"/>
        <v>0</v>
      </c>
      <c r="G94" s="151">
        <f t="shared" si="44"/>
        <v>0</v>
      </c>
      <c r="H94" s="152">
        <f t="shared" si="44"/>
        <v>0</v>
      </c>
      <c r="I94" s="151"/>
      <c r="J94" s="152"/>
      <c r="K94" s="151"/>
      <c r="L94" s="152"/>
      <c r="M94" s="151"/>
      <c r="N94" s="152"/>
      <c r="O94" s="151"/>
      <c r="P94" s="152"/>
      <c r="Q94" s="151"/>
      <c r="R94" s="152"/>
      <c r="S94" s="151"/>
      <c r="T94" s="152"/>
      <c r="U94" s="151"/>
      <c r="V94" s="152"/>
      <c r="W94" s="151"/>
      <c r="X94" s="152"/>
      <c r="Y94" s="151"/>
      <c r="Z94" s="152"/>
      <c r="AA94" s="151"/>
      <c r="AB94" s="152"/>
      <c r="AC94" s="151"/>
      <c r="AD94" s="152"/>
      <c r="AE94" s="151"/>
      <c r="AF94" s="152"/>
      <c r="AG94" s="151"/>
      <c r="AH94" s="152"/>
      <c r="AI94" s="151"/>
      <c r="AJ94" s="152"/>
      <c r="AK94" s="151"/>
      <c r="AL94" s="152"/>
      <c r="AM94" s="151"/>
      <c r="AN94" s="152"/>
      <c r="AO94" s="151"/>
      <c r="AP94" s="152"/>
      <c r="AQ94" s="151"/>
      <c r="AR94" s="152"/>
      <c r="AS94" s="151"/>
      <c r="AT94" s="152"/>
      <c r="AU94" s="151"/>
      <c r="AV94" s="152"/>
      <c r="AW94" s="151"/>
      <c r="AX94" s="152"/>
      <c r="AY94" s="151"/>
      <c r="AZ94" s="152"/>
      <c r="BA94" s="151"/>
      <c r="BB94" s="152"/>
      <c r="BC94" s="151"/>
      <c r="BD94" s="152"/>
      <c r="BE94" s="151"/>
      <c r="BF94" s="152"/>
      <c r="BG94" s="151"/>
      <c r="BH94" s="152"/>
      <c r="BI94" s="151"/>
      <c r="BJ94" s="152"/>
      <c r="BK94" s="151"/>
      <c r="BL94" s="152"/>
      <c r="BM94" s="151"/>
      <c r="BN94" s="152"/>
      <c r="BO94" s="151"/>
      <c r="BP94" s="152"/>
      <c r="BQ94" s="151"/>
      <c r="BR94" s="152"/>
      <c r="BS94" s="151"/>
      <c r="BT94" s="152"/>
      <c r="BU94" s="151"/>
      <c r="BV94" s="152"/>
      <c r="BW94" s="151"/>
      <c r="BX94" s="152"/>
      <c r="BY94" s="151"/>
      <c r="BZ94" s="152"/>
      <c r="CA94" s="151"/>
      <c r="CB94" s="152"/>
      <c r="CC94" s="151"/>
      <c r="CD94" s="152"/>
      <c r="CE94" s="151"/>
      <c r="CF94" s="152"/>
      <c r="CG94" s="151"/>
      <c r="CH94" s="152"/>
      <c r="CI94" s="151"/>
      <c r="CJ94" s="152"/>
      <c r="CK94" s="151"/>
      <c r="CL94" s="152"/>
      <c r="CM94" s="151"/>
      <c r="CN94" s="152"/>
      <c r="CO94" s="151"/>
      <c r="CP94" s="152"/>
      <c r="CQ94" s="151"/>
      <c r="CR94" s="152"/>
      <c r="CS94" s="151"/>
      <c r="CT94" s="152"/>
      <c r="CU94" s="151"/>
      <c r="CV94" s="152"/>
      <c r="CW94" s="151"/>
      <c r="CX94" s="152"/>
      <c r="CY94" s="151"/>
      <c r="CZ94" s="152"/>
      <c r="DA94" s="151"/>
      <c r="DB94" s="152"/>
      <c r="DC94" s="151"/>
      <c r="DD94" s="152"/>
      <c r="DE94" s="151"/>
      <c r="DF94" s="152"/>
      <c r="DG94" s="151"/>
      <c r="DH94" s="152"/>
      <c r="DI94" s="151"/>
      <c r="DJ94" s="152"/>
      <c r="DK94" s="151"/>
      <c r="DL94" s="152"/>
      <c r="DM94" s="151"/>
      <c r="DN94" s="152"/>
      <c r="DO94" s="151"/>
      <c r="DP94" s="152"/>
      <c r="DQ94" s="151"/>
      <c r="DR94" s="152"/>
      <c r="DS94" s="151"/>
      <c r="DT94" s="152"/>
      <c r="DU94" s="151"/>
      <c r="DV94" s="152"/>
    </row>
    <row r="95" spans="1:126" x14ac:dyDescent="0.2">
      <c r="A95" s="150" t="s">
        <v>954</v>
      </c>
      <c r="B95" s="150" t="s">
        <v>955</v>
      </c>
      <c r="C95" s="151">
        <f t="shared" si="32"/>
        <v>0</v>
      </c>
      <c r="D95" s="152">
        <f t="shared" si="28"/>
        <v>0</v>
      </c>
      <c r="E95" s="151">
        <f t="shared" si="56"/>
        <v>0</v>
      </c>
      <c r="F95" s="152">
        <f t="shared" si="57"/>
        <v>0</v>
      </c>
      <c r="G95" s="151">
        <f t="shared" si="44"/>
        <v>0</v>
      </c>
      <c r="H95" s="152">
        <f t="shared" si="44"/>
        <v>0</v>
      </c>
      <c r="I95" s="151"/>
      <c r="J95" s="152"/>
      <c r="K95" s="151"/>
      <c r="L95" s="152"/>
      <c r="M95" s="151"/>
      <c r="N95" s="152"/>
      <c r="O95" s="151"/>
      <c r="P95" s="152"/>
      <c r="Q95" s="151"/>
      <c r="R95" s="152"/>
      <c r="S95" s="151"/>
      <c r="T95" s="152"/>
      <c r="U95" s="151"/>
      <c r="V95" s="152"/>
      <c r="W95" s="151"/>
      <c r="X95" s="152"/>
      <c r="Y95" s="151"/>
      <c r="Z95" s="152"/>
      <c r="AA95" s="151"/>
      <c r="AB95" s="152"/>
      <c r="AC95" s="151"/>
      <c r="AD95" s="152"/>
      <c r="AE95" s="151"/>
      <c r="AF95" s="152"/>
      <c r="AG95" s="151"/>
      <c r="AH95" s="152"/>
      <c r="AI95" s="151"/>
      <c r="AJ95" s="152"/>
      <c r="AK95" s="151"/>
      <c r="AL95" s="152"/>
      <c r="AM95" s="151"/>
      <c r="AN95" s="152"/>
      <c r="AO95" s="151"/>
      <c r="AP95" s="152"/>
      <c r="AQ95" s="151"/>
      <c r="AR95" s="152"/>
      <c r="AS95" s="151"/>
      <c r="AT95" s="152"/>
      <c r="AU95" s="151"/>
      <c r="AV95" s="152"/>
      <c r="AW95" s="151"/>
      <c r="AX95" s="152"/>
      <c r="AY95" s="151"/>
      <c r="AZ95" s="152"/>
      <c r="BA95" s="151"/>
      <c r="BB95" s="152"/>
      <c r="BC95" s="151"/>
      <c r="BD95" s="152"/>
      <c r="BE95" s="151"/>
      <c r="BF95" s="152"/>
      <c r="BG95" s="151"/>
      <c r="BH95" s="152"/>
      <c r="BI95" s="151"/>
      <c r="BJ95" s="152"/>
      <c r="BK95" s="151"/>
      <c r="BL95" s="152"/>
      <c r="BM95" s="151"/>
      <c r="BN95" s="152"/>
      <c r="BO95" s="151"/>
      <c r="BP95" s="152"/>
      <c r="BQ95" s="151"/>
      <c r="BR95" s="152"/>
      <c r="BS95" s="151"/>
      <c r="BT95" s="152"/>
      <c r="BU95" s="151"/>
      <c r="BV95" s="152"/>
      <c r="BW95" s="151"/>
      <c r="BX95" s="152"/>
      <c r="BY95" s="151"/>
      <c r="BZ95" s="152"/>
      <c r="CA95" s="151"/>
      <c r="CB95" s="152"/>
      <c r="CC95" s="151"/>
      <c r="CD95" s="152"/>
      <c r="CE95" s="151"/>
      <c r="CF95" s="152"/>
      <c r="CG95" s="151"/>
      <c r="CH95" s="152"/>
      <c r="CI95" s="151"/>
      <c r="CJ95" s="152"/>
      <c r="CK95" s="151"/>
      <c r="CL95" s="152"/>
      <c r="CM95" s="151"/>
      <c r="CN95" s="152"/>
      <c r="CO95" s="151"/>
      <c r="CP95" s="152"/>
      <c r="CQ95" s="151"/>
      <c r="CR95" s="152"/>
      <c r="CS95" s="151"/>
      <c r="CT95" s="152"/>
      <c r="CU95" s="151"/>
      <c r="CV95" s="152"/>
      <c r="CW95" s="151"/>
      <c r="CX95" s="152"/>
      <c r="CY95" s="151"/>
      <c r="CZ95" s="152"/>
      <c r="DA95" s="151"/>
      <c r="DB95" s="152"/>
      <c r="DC95" s="151"/>
      <c r="DD95" s="152"/>
      <c r="DE95" s="151"/>
      <c r="DF95" s="152"/>
      <c r="DG95" s="151"/>
      <c r="DH95" s="152"/>
      <c r="DI95" s="151"/>
      <c r="DJ95" s="152"/>
      <c r="DK95" s="151"/>
      <c r="DL95" s="152"/>
      <c r="DM95" s="151"/>
      <c r="DN95" s="152"/>
      <c r="DO95" s="151"/>
      <c r="DP95" s="152"/>
      <c r="DQ95" s="151"/>
      <c r="DR95" s="152"/>
      <c r="DS95" s="151"/>
      <c r="DT95" s="152"/>
      <c r="DU95" s="151"/>
      <c r="DV95" s="152"/>
    </row>
    <row r="96" spans="1:126" x14ac:dyDescent="0.2">
      <c r="A96" s="150" t="s">
        <v>956</v>
      </c>
      <c r="B96" s="150" t="s">
        <v>957</v>
      </c>
      <c r="C96" s="151">
        <f t="shared" si="32"/>
        <v>0</v>
      </c>
      <c r="D96" s="152">
        <f t="shared" si="28"/>
        <v>0</v>
      </c>
      <c r="E96" s="151">
        <f t="shared" si="56"/>
        <v>0</v>
      </c>
      <c r="F96" s="152">
        <f t="shared" si="57"/>
        <v>0</v>
      </c>
      <c r="G96" s="151">
        <f t="shared" si="44"/>
        <v>0</v>
      </c>
      <c r="H96" s="152">
        <f t="shared" si="44"/>
        <v>0</v>
      </c>
      <c r="I96" s="151"/>
      <c r="J96" s="152"/>
      <c r="K96" s="151"/>
      <c r="L96" s="152"/>
      <c r="M96" s="151"/>
      <c r="N96" s="152"/>
      <c r="O96" s="151"/>
      <c r="P96" s="152"/>
      <c r="Q96" s="151"/>
      <c r="R96" s="152"/>
      <c r="S96" s="151"/>
      <c r="T96" s="152"/>
      <c r="U96" s="151"/>
      <c r="V96" s="152"/>
      <c r="W96" s="151"/>
      <c r="X96" s="152"/>
      <c r="Y96" s="151"/>
      <c r="Z96" s="152"/>
      <c r="AA96" s="151"/>
      <c r="AB96" s="152"/>
      <c r="AC96" s="151"/>
      <c r="AD96" s="152"/>
      <c r="AE96" s="151"/>
      <c r="AF96" s="152"/>
      <c r="AG96" s="151"/>
      <c r="AH96" s="152"/>
      <c r="AI96" s="151"/>
      <c r="AJ96" s="152"/>
      <c r="AK96" s="151"/>
      <c r="AL96" s="152"/>
      <c r="AM96" s="151"/>
      <c r="AN96" s="152"/>
      <c r="AO96" s="151"/>
      <c r="AP96" s="152"/>
      <c r="AQ96" s="151"/>
      <c r="AR96" s="152"/>
      <c r="AS96" s="151"/>
      <c r="AT96" s="152"/>
      <c r="AU96" s="151"/>
      <c r="AV96" s="152"/>
      <c r="AW96" s="151"/>
      <c r="AX96" s="152"/>
      <c r="AY96" s="151"/>
      <c r="AZ96" s="152"/>
      <c r="BA96" s="151"/>
      <c r="BB96" s="152"/>
      <c r="BC96" s="151"/>
      <c r="BD96" s="152"/>
      <c r="BE96" s="151"/>
      <c r="BF96" s="152"/>
      <c r="BG96" s="151"/>
      <c r="BH96" s="152"/>
      <c r="BI96" s="151"/>
      <c r="BJ96" s="152"/>
      <c r="BK96" s="151"/>
      <c r="BL96" s="152"/>
      <c r="BM96" s="151"/>
      <c r="BN96" s="152"/>
      <c r="BO96" s="151"/>
      <c r="BP96" s="152"/>
      <c r="BQ96" s="151"/>
      <c r="BR96" s="152"/>
      <c r="BS96" s="151"/>
      <c r="BT96" s="152"/>
      <c r="BU96" s="151"/>
      <c r="BV96" s="152"/>
      <c r="BW96" s="151"/>
      <c r="BX96" s="152"/>
      <c r="BY96" s="151"/>
      <c r="BZ96" s="152"/>
      <c r="CA96" s="151"/>
      <c r="CB96" s="152"/>
      <c r="CC96" s="151"/>
      <c r="CD96" s="152"/>
      <c r="CE96" s="151"/>
      <c r="CF96" s="152"/>
      <c r="CG96" s="151"/>
      <c r="CH96" s="152"/>
      <c r="CI96" s="151"/>
      <c r="CJ96" s="152"/>
      <c r="CK96" s="151"/>
      <c r="CL96" s="152"/>
      <c r="CM96" s="151"/>
      <c r="CN96" s="152"/>
      <c r="CO96" s="151"/>
      <c r="CP96" s="152"/>
      <c r="CQ96" s="151"/>
      <c r="CR96" s="152"/>
      <c r="CS96" s="151"/>
      <c r="CT96" s="152"/>
      <c r="CU96" s="151"/>
      <c r="CV96" s="152"/>
      <c r="CW96" s="151"/>
      <c r="CX96" s="152"/>
      <c r="CY96" s="151"/>
      <c r="CZ96" s="152"/>
      <c r="DA96" s="151"/>
      <c r="DB96" s="152"/>
      <c r="DC96" s="151"/>
      <c r="DD96" s="152"/>
      <c r="DE96" s="151"/>
      <c r="DF96" s="152"/>
      <c r="DG96" s="151"/>
      <c r="DH96" s="152"/>
      <c r="DI96" s="151"/>
      <c r="DJ96" s="152"/>
      <c r="DK96" s="151"/>
      <c r="DL96" s="152"/>
      <c r="DM96" s="151"/>
      <c r="DN96" s="152"/>
      <c r="DO96" s="151"/>
      <c r="DP96" s="152"/>
      <c r="DQ96" s="151"/>
      <c r="DR96" s="152"/>
      <c r="DS96" s="151"/>
      <c r="DT96" s="152"/>
      <c r="DU96" s="151"/>
      <c r="DV96" s="152"/>
    </row>
    <row r="97" spans="1:126" x14ac:dyDescent="0.2">
      <c r="A97" s="150" t="s">
        <v>958</v>
      </c>
      <c r="B97" s="150" t="s">
        <v>753</v>
      </c>
      <c r="C97" s="151">
        <f t="shared" si="32"/>
        <v>0</v>
      </c>
      <c r="D97" s="152">
        <f t="shared" si="28"/>
        <v>0</v>
      </c>
      <c r="E97" s="151">
        <f t="shared" si="56"/>
        <v>0</v>
      </c>
      <c r="F97" s="152">
        <f t="shared" si="57"/>
        <v>0</v>
      </c>
      <c r="G97" s="151">
        <f t="shared" si="44"/>
        <v>0</v>
      </c>
      <c r="H97" s="152">
        <f t="shared" si="44"/>
        <v>0</v>
      </c>
      <c r="I97" s="151"/>
      <c r="J97" s="152"/>
      <c r="K97" s="151"/>
      <c r="L97" s="152"/>
      <c r="M97" s="151"/>
      <c r="N97" s="152"/>
      <c r="O97" s="151"/>
      <c r="P97" s="152"/>
      <c r="Q97" s="151"/>
      <c r="R97" s="152"/>
      <c r="S97" s="151"/>
      <c r="T97" s="152"/>
      <c r="U97" s="151"/>
      <c r="V97" s="152"/>
      <c r="W97" s="151"/>
      <c r="X97" s="152"/>
      <c r="Y97" s="151"/>
      <c r="Z97" s="152"/>
      <c r="AA97" s="151"/>
      <c r="AB97" s="152"/>
      <c r="AC97" s="151"/>
      <c r="AD97" s="152"/>
      <c r="AE97" s="151"/>
      <c r="AF97" s="152"/>
      <c r="AG97" s="151"/>
      <c r="AH97" s="152"/>
      <c r="AI97" s="151"/>
      <c r="AJ97" s="152"/>
      <c r="AK97" s="151"/>
      <c r="AL97" s="152"/>
      <c r="AM97" s="151"/>
      <c r="AN97" s="152"/>
      <c r="AO97" s="151"/>
      <c r="AP97" s="152"/>
      <c r="AQ97" s="151"/>
      <c r="AR97" s="152"/>
      <c r="AS97" s="151"/>
      <c r="AT97" s="152"/>
      <c r="AU97" s="151"/>
      <c r="AV97" s="152"/>
      <c r="AW97" s="151"/>
      <c r="AX97" s="152"/>
      <c r="AY97" s="151"/>
      <c r="AZ97" s="152"/>
      <c r="BA97" s="151"/>
      <c r="BB97" s="152"/>
      <c r="BC97" s="151"/>
      <c r="BD97" s="152"/>
      <c r="BE97" s="151"/>
      <c r="BF97" s="152"/>
      <c r="BG97" s="151"/>
      <c r="BH97" s="152"/>
      <c r="BI97" s="151"/>
      <c r="BJ97" s="152"/>
      <c r="BK97" s="151"/>
      <c r="BL97" s="152"/>
      <c r="BM97" s="151"/>
      <c r="BN97" s="152"/>
      <c r="BO97" s="151"/>
      <c r="BP97" s="152"/>
      <c r="BQ97" s="151"/>
      <c r="BR97" s="152"/>
      <c r="BS97" s="151"/>
      <c r="BT97" s="152"/>
      <c r="BU97" s="151"/>
      <c r="BV97" s="152"/>
      <c r="BW97" s="151"/>
      <c r="BX97" s="152"/>
      <c r="BY97" s="151"/>
      <c r="BZ97" s="152"/>
      <c r="CA97" s="151"/>
      <c r="CB97" s="152"/>
      <c r="CC97" s="151"/>
      <c r="CD97" s="152"/>
      <c r="CE97" s="151"/>
      <c r="CF97" s="152"/>
      <c r="CG97" s="151"/>
      <c r="CH97" s="152"/>
      <c r="CI97" s="151"/>
      <c r="CJ97" s="152"/>
      <c r="CK97" s="151"/>
      <c r="CL97" s="152"/>
      <c r="CM97" s="151"/>
      <c r="CN97" s="152"/>
      <c r="CO97" s="151"/>
      <c r="CP97" s="152"/>
      <c r="CQ97" s="151"/>
      <c r="CR97" s="152"/>
      <c r="CS97" s="151"/>
      <c r="CT97" s="152"/>
      <c r="CU97" s="151"/>
      <c r="CV97" s="152"/>
      <c r="CW97" s="151"/>
      <c r="CX97" s="152"/>
      <c r="CY97" s="151"/>
      <c r="CZ97" s="152"/>
      <c r="DA97" s="151"/>
      <c r="DB97" s="152"/>
      <c r="DC97" s="151"/>
      <c r="DD97" s="152"/>
      <c r="DE97" s="151"/>
      <c r="DF97" s="152"/>
      <c r="DG97" s="151"/>
      <c r="DH97" s="152"/>
      <c r="DI97" s="151"/>
      <c r="DJ97" s="152"/>
      <c r="DK97" s="151"/>
      <c r="DL97" s="152"/>
      <c r="DM97" s="151"/>
      <c r="DN97" s="152"/>
      <c r="DO97" s="151"/>
      <c r="DP97" s="152"/>
      <c r="DQ97" s="151"/>
      <c r="DR97" s="152"/>
      <c r="DS97" s="151"/>
      <c r="DT97" s="152"/>
      <c r="DU97" s="151"/>
      <c r="DV97" s="152"/>
    </row>
    <row r="98" spans="1:126" x14ac:dyDescent="0.2">
      <c r="A98" s="150" t="s">
        <v>959</v>
      </c>
      <c r="B98" s="150" t="s">
        <v>960</v>
      </c>
      <c r="C98" s="151" t="e">
        <f t="shared" si="32"/>
        <v>#REF!</v>
      </c>
      <c r="D98" s="152" t="e">
        <f t="shared" si="28"/>
        <v>#REF!</v>
      </c>
      <c r="E98" s="151">
        <f t="shared" si="56"/>
        <v>0</v>
      </c>
      <c r="F98" s="152">
        <f t="shared" si="57"/>
        <v>0</v>
      </c>
      <c r="G98" s="151">
        <f t="shared" si="44"/>
        <v>0</v>
      </c>
      <c r="H98" s="152">
        <f t="shared" si="44"/>
        <v>0</v>
      </c>
      <c r="I98" s="151">
        <f>'[5]2B Önk kiad'!D36</f>
        <v>2312651</v>
      </c>
      <c r="J98" s="152" t="e">
        <f>'3A PH'!#REF!+'4H VG bev kiad'!#REF!+'4A Walla'!#REF!+'4B Nyitnikék'!#REF!+'4C Bóbita'!#REF!+'4D MMMH'!#REF!+'4E Könyvtár'!#REF!+'4F Segítő Kéz'!#REF!</f>
        <v>#REF!</v>
      </c>
      <c r="K98" s="151"/>
      <c r="L98" s="152"/>
      <c r="M98" s="151"/>
      <c r="N98" s="152"/>
      <c r="O98" s="151"/>
      <c r="P98" s="152"/>
      <c r="Q98" s="151"/>
      <c r="R98" s="152"/>
      <c r="S98" s="151"/>
      <c r="T98" s="152"/>
      <c r="U98" s="151"/>
      <c r="V98" s="152"/>
      <c r="W98" s="151"/>
      <c r="X98" s="152"/>
      <c r="Y98" s="151"/>
      <c r="Z98" s="152"/>
      <c r="AA98" s="151"/>
      <c r="AB98" s="152"/>
      <c r="AC98" s="151"/>
      <c r="AD98" s="152"/>
      <c r="AE98" s="151"/>
      <c r="AF98" s="152"/>
      <c r="AG98" s="151"/>
      <c r="AH98" s="152"/>
      <c r="AI98" s="151"/>
      <c r="AJ98" s="152"/>
      <c r="AK98" s="151"/>
      <c r="AL98" s="152"/>
      <c r="AM98" s="151"/>
      <c r="AN98" s="152"/>
      <c r="AO98" s="151"/>
      <c r="AP98" s="152"/>
      <c r="AQ98" s="151"/>
      <c r="AR98" s="152"/>
      <c r="AS98" s="151"/>
      <c r="AT98" s="152"/>
      <c r="AU98" s="151"/>
      <c r="AV98" s="152"/>
      <c r="AW98" s="151"/>
      <c r="AX98" s="152"/>
      <c r="AY98" s="151"/>
      <c r="AZ98" s="152"/>
      <c r="BA98" s="151"/>
      <c r="BB98" s="152"/>
      <c r="BC98" s="151"/>
      <c r="BD98" s="152"/>
      <c r="BE98" s="151"/>
      <c r="BF98" s="152"/>
      <c r="BG98" s="151"/>
      <c r="BH98" s="152"/>
      <c r="BI98" s="151"/>
      <c r="BJ98" s="152"/>
      <c r="BK98" s="151"/>
      <c r="BL98" s="152"/>
      <c r="BM98" s="151"/>
      <c r="BN98" s="152"/>
      <c r="BO98" s="151"/>
      <c r="BP98" s="152"/>
      <c r="BQ98" s="151"/>
      <c r="BR98" s="152"/>
      <c r="BS98" s="151"/>
      <c r="BT98" s="152"/>
      <c r="BU98" s="151"/>
      <c r="BV98" s="152"/>
      <c r="BW98" s="151"/>
      <c r="BX98" s="152"/>
      <c r="BY98" s="151"/>
      <c r="BZ98" s="152"/>
      <c r="CA98" s="151"/>
      <c r="CB98" s="152"/>
      <c r="CC98" s="151"/>
      <c r="CD98" s="152"/>
      <c r="CE98" s="151"/>
      <c r="CF98" s="152"/>
      <c r="CG98" s="151"/>
      <c r="CH98" s="152"/>
      <c r="CI98" s="151"/>
      <c r="CJ98" s="152"/>
      <c r="CK98" s="151"/>
      <c r="CL98" s="152"/>
      <c r="CM98" s="151"/>
      <c r="CN98" s="152"/>
      <c r="CO98" s="151"/>
      <c r="CP98" s="152"/>
      <c r="CQ98" s="151"/>
      <c r="CR98" s="152"/>
      <c r="CS98" s="151"/>
      <c r="CT98" s="152"/>
      <c r="CU98" s="151"/>
      <c r="CV98" s="152"/>
      <c r="CW98" s="151"/>
      <c r="CX98" s="152"/>
      <c r="CY98" s="151"/>
      <c r="CZ98" s="152"/>
      <c r="DA98" s="151"/>
      <c r="DB98" s="152"/>
      <c r="DC98" s="151"/>
      <c r="DD98" s="152"/>
      <c r="DE98" s="151"/>
      <c r="DF98" s="152"/>
      <c r="DG98" s="151"/>
      <c r="DH98" s="152"/>
      <c r="DI98" s="151"/>
      <c r="DJ98" s="152"/>
      <c r="DK98" s="151"/>
      <c r="DL98" s="152"/>
      <c r="DM98" s="151"/>
      <c r="DN98" s="152"/>
      <c r="DO98" s="151"/>
      <c r="DP98" s="152"/>
      <c r="DQ98" s="151"/>
      <c r="DR98" s="152"/>
      <c r="DS98" s="151"/>
      <c r="DT98" s="152"/>
      <c r="DU98" s="151"/>
      <c r="DV98" s="152"/>
    </row>
    <row r="99" spans="1:126" x14ac:dyDescent="0.2">
      <c r="A99" s="150" t="s">
        <v>961</v>
      </c>
      <c r="B99" s="150" t="s">
        <v>755</v>
      </c>
      <c r="C99" s="151">
        <f t="shared" si="32"/>
        <v>1050000</v>
      </c>
      <c r="D99" s="152">
        <f t="shared" si="28"/>
        <v>450000</v>
      </c>
      <c r="E99" s="151">
        <f t="shared" si="56"/>
        <v>0</v>
      </c>
      <c r="F99" s="152">
        <f t="shared" si="57"/>
        <v>0</v>
      </c>
      <c r="G99" s="151">
        <f t="shared" si="44"/>
        <v>0</v>
      </c>
      <c r="H99" s="152">
        <f t="shared" si="44"/>
        <v>0</v>
      </c>
      <c r="I99" s="151">
        <v>600000</v>
      </c>
      <c r="J99" s="152">
        <v>450000</v>
      </c>
      <c r="K99" s="151"/>
      <c r="L99" s="152"/>
      <c r="M99" s="151"/>
      <c r="N99" s="152"/>
      <c r="O99" s="151"/>
      <c r="P99" s="152"/>
      <c r="Q99" s="151"/>
      <c r="R99" s="152"/>
      <c r="S99" s="151"/>
      <c r="T99" s="152"/>
      <c r="U99" s="151"/>
      <c r="V99" s="152"/>
      <c r="W99" s="151"/>
      <c r="X99" s="152"/>
      <c r="Y99" s="151"/>
      <c r="Z99" s="152"/>
      <c r="AA99" s="151"/>
      <c r="AB99" s="152"/>
      <c r="AC99" s="151"/>
      <c r="AD99" s="152"/>
      <c r="AE99" s="151"/>
      <c r="AF99" s="152"/>
      <c r="AG99" s="151"/>
      <c r="AH99" s="152"/>
      <c r="AI99" s="151"/>
      <c r="AJ99" s="152"/>
      <c r="AK99" s="151"/>
      <c r="AL99" s="152"/>
      <c r="AM99" s="151"/>
      <c r="AN99" s="152"/>
      <c r="AO99" s="151"/>
      <c r="AP99" s="152"/>
      <c r="AQ99" s="151"/>
      <c r="AR99" s="152"/>
      <c r="AS99" s="151"/>
      <c r="AT99" s="152"/>
      <c r="AU99" s="151"/>
      <c r="AV99" s="152"/>
      <c r="AW99" s="151"/>
      <c r="AX99" s="152"/>
      <c r="AY99" s="151"/>
      <c r="AZ99" s="152"/>
      <c r="BA99" s="151"/>
      <c r="BB99" s="152"/>
      <c r="BC99" s="151"/>
      <c r="BD99" s="152"/>
      <c r="BE99" s="151"/>
      <c r="BF99" s="152"/>
      <c r="BG99" s="151"/>
      <c r="BH99" s="152"/>
      <c r="BI99" s="151"/>
      <c r="BJ99" s="152"/>
      <c r="BK99" s="151"/>
      <c r="BL99" s="152"/>
      <c r="BM99" s="151"/>
      <c r="BN99" s="152"/>
      <c r="BO99" s="151"/>
      <c r="BP99" s="152"/>
      <c r="BQ99" s="151"/>
      <c r="BR99" s="152"/>
      <c r="BS99" s="151"/>
      <c r="BT99" s="152"/>
      <c r="BU99" s="151"/>
      <c r="BV99" s="152"/>
      <c r="BW99" s="151"/>
      <c r="BX99" s="152"/>
      <c r="BY99" s="151"/>
      <c r="BZ99" s="152"/>
      <c r="CA99" s="151"/>
      <c r="CB99" s="152"/>
      <c r="CC99" s="151"/>
      <c r="CD99" s="152"/>
      <c r="CE99" s="151"/>
      <c r="CF99" s="152"/>
      <c r="CG99" s="151"/>
      <c r="CH99" s="152"/>
      <c r="CI99" s="151"/>
      <c r="CJ99" s="152"/>
      <c r="CK99" s="151"/>
      <c r="CL99" s="152"/>
      <c r="CM99" s="151"/>
      <c r="CN99" s="152"/>
      <c r="CO99" s="151"/>
      <c r="CP99" s="152"/>
      <c r="CQ99" s="151"/>
      <c r="CR99" s="152"/>
      <c r="CS99" s="151"/>
      <c r="CT99" s="152"/>
      <c r="CU99" s="151"/>
      <c r="CV99" s="152"/>
      <c r="CW99" s="151"/>
      <c r="CX99" s="152"/>
      <c r="CY99" s="151"/>
      <c r="CZ99" s="152"/>
      <c r="DA99" s="151"/>
      <c r="DB99" s="152"/>
      <c r="DC99" s="151"/>
      <c r="DD99" s="152"/>
      <c r="DE99" s="151"/>
      <c r="DF99" s="152"/>
      <c r="DG99" s="151"/>
      <c r="DH99" s="152"/>
      <c r="DI99" s="151"/>
      <c r="DJ99" s="152"/>
      <c r="DK99" s="151"/>
      <c r="DL99" s="152"/>
      <c r="DM99" s="151"/>
      <c r="DN99" s="152"/>
      <c r="DO99" s="151"/>
      <c r="DP99" s="152"/>
      <c r="DQ99" s="151"/>
      <c r="DR99" s="152"/>
      <c r="DS99" s="151"/>
      <c r="DT99" s="152"/>
      <c r="DU99" s="151"/>
      <c r="DV99" s="152"/>
    </row>
    <row r="100" spans="1:126" x14ac:dyDescent="0.2">
      <c r="A100" s="150" t="s">
        <v>962</v>
      </c>
      <c r="B100" s="150" t="s">
        <v>963</v>
      </c>
      <c r="C100" s="151">
        <f t="shared" si="32"/>
        <v>0</v>
      </c>
      <c r="D100" s="152">
        <f t="shared" si="28"/>
        <v>0</v>
      </c>
      <c r="E100" s="151">
        <f t="shared" si="56"/>
        <v>0</v>
      </c>
      <c r="F100" s="152">
        <f t="shared" si="57"/>
        <v>0</v>
      </c>
      <c r="G100" s="151">
        <f t="shared" si="44"/>
        <v>0</v>
      </c>
      <c r="H100" s="152">
        <f t="shared" si="44"/>
        <v>0</v>
      </c>
      <c r="I100" s="151"/>
      <c r="J100" s="152"/>
      <c r="K100" s="151"/>
      <c r="L100" s="152"/>
      <c r="M100" s="151"/>
      <c r="N100" s="152"/>
      <c r="O100" s="151"/>
      <c r="P100" s="152"/>
      <c r="Q100" s="151"/>
      <c r="R100" s="152"/>
      <c r="S100" s="151"/>
      <c r="T100" s="152"/>
      <c r="U100" s="151"/>
      <c r="V100" s="152"/>
      <c r="W100" s="151"/>
      <c r="X100" s="152"/>
      <c r="Y100" s="151"/>
      <c r="Z100" s="152"/>
      <c r="AA100" s="151"/>
      <c r="AB100" s="152"/>
      <c r="AC100" s="151"/>
      <c r="AD100" s="152"/>
      <c r="AE100" s="151"/>
      <c r="AF100" s="152"/>
      <c r="AG100" s="151"/>
      <c r="AH100" s="152"/>
      <c r="AI100" s="151"/>
      <c r="AJ100" s="152"/>
      <c r="AK100" s="151"/>
      <c r="AL100" s="152"/>
      <c r="AM100" s="151"/>
      <c r="AN100" s="152"/>
      <c r="AO100" s="151"/>
      <c r="AP100" s="152"/>
      <c r="AQ100" s="151"/>
      <c r="AR100" s="152"/>
      <c r="AS100" s="151"/>
      <c r="AT100" s="152"/>
      <c r="AU100" s="151"/>
      <c r="AV100" s="152"/>
      <c r="AW100" s="151"/>
      <c r="AX100" s="152"/>
      <c r="AY100" s="151"/>
      <c r="AZ100" s="152"/>
      <c r="BA100" s="151"/>
      <c r="BB100" s="152"/>
      <c r="BC100" s="151"/>
      <c r="BD100" s="152"/>
      <c r="BE100" s="151"/>
      <c r="BF100" s="152"/>
      <c r="BG100" s="151"/>
      <c r="BH100" s="152"/>
      <c r="BI100" s="151"/>
      <c r="BJ100" s="152"/>
      <c r="BK100" s="151"/>
      <c r="BL100" s="152"/>
      <c r="BM100" s="151"/>
      <c r="BN100" s="152"/>
      <c r="BO100" s="151"/>
      <c r="BP100" s="152"/>
      <c r="BQ100" s="151"/>
      <c r="BR100" s="152"/>
      <c r="BS100" s="151"/>
      <c r="BT100" s="152"/>
      <c r="BU100" s="151"/>
      <c r="BV100" s="152"/>
      <c r="BW100" s="151"/>
      <c r="BX100" s="152"/>
      <c r="BY100" s="151"/>
      <c r="BZ100" s="152"/>
      <c r="CA100" s="151"/>
      <c r="CB100" s="152"/>
      <c r="CC100" s="151"/>
      <c r="CD100" s="152"/>
      <c r="CE100" s="151"/>
      <c r="CF100" s="152"/>
      <c r="CG100" s="151"/>
      <c r="CH100" s="152"/>
      <c r="CI100" s="151"/>
      <c r="CJ100" s="152"/>
      <c r="CK100" s="151"/>
      <c r="CL100" s="152"/>
      <c r="CM100" s="151"/>
      <c r="CN100" s="152"/>
      <c r="CO100" s="151"/>
      <c r="CP100" s="152"/>
      <c r="CQ100" s="151"/>
      <c r="CR100" s="152"/>
      <c r="CS100" s="151"/>
      <c r="CT100" s="152"/>
      <c r="CU100" s="151"/>
      <c r="CV100" s="152"/>
      <c r="CW100" s="151"/>
      <c r="CX100" s="152"/>
      <c r="CY100" s="151"/>
      <c r="CZ100" s="152"/>
      <c r="DA100" s="151"/>
      <c r="DB100" s="152"/>
      <c r="DC100" s="151"/>
      <c r="DD100" s="152"/>
      <c r="DE100" s="151"/>
      <c r="DF100" s="152"/>
      <c r="DG100" s="151"/>
      <c r="DH100" s="152"/>
      <c r="DI100" s="151"/>
      <c r="DJ100" s="152"/>
      <c r="DK100" s="151"/>
      <c r="DL100" s="152"/>
      <c r="DM100" s="151"/>
      <c r="DN100" s="152"/>
      <c r="DO100" s="151"/>
      <c r="DP100" s="152"/>
      <c r="DQ100" s="151"/>
      <c r="DR100" s="152"/>
      <c r="DS100" s="151"/>
      <c r="DT100" s="152"/>
      <c r="DU100" s="151"/>
      <c r="DV100" s="152"/>
    </row>
    <row r="101" spans="1:126" x14ac:dyDescent="0.2">
      <c r="A101" s="150" t="s">
        <v>964</v>
      </c>
      <c r="B101" s="150" t="s">
        <v>965</v>
      </c>
      <c r="C101" s="151">
        <f t="shared" si="32"/>
        <v>0</v>
      </c>
      <c r="D101" s="152">
        <f t="shared" si="28"/>
        <v>0</v>
      </c>
      <c r="E101" s="151">
        <f t="shared" si="56"/>
        <v>0</v>
      </c>
      <c r="F101" s="152">
        <f t="shared" si="57"/>
        <v>0</v>
      </c>
      <c r="G101" s="151">
        <f t="shared" si="44"/>
        <v>0</v>
      </c>
      <c r="H101" s="152">
        <f t="shared" si="44"/>
        <v>0</v>
      </c>
      <c r="I101" s="151"/>
      <c r="J101" s="152"/>
      <c r="K101" s="151"/>
      <c r="L101" s="152"/>
      <c r="M101" s="151"/>
      <c r="N101" s="152"/>
      <c r="O101" s="151"/>
      <c r="P101" s="152"/>
      <c r="Q101" s="151"/>
      <c r="R101" s="152"/>
      <c r="S101" s="151"/>
      <c r="T101" s="152"/>
      <c r="U101" s="151"/>
      <c r="V101" s="152"/>
      <c r="W101" s="151"/>
      <c r="X101" s="152"/>
      <c r="Y101" s="151"/>
      <c r="Z101" s="152"/>
      <c r="AA101" s="151"/>
      <c r="AB101" s="152"/>
      <c r="AC101" s="151"/>
      <c r="AD101" s="152"/>
      <c r="AE101" s="151"/>
      <c r="AF101" s="152"/>
      <c r="AG101" s="151"/>
      <c r="AH101" s="152"/>
      <c r="AI101" s="151"/>
      <c r="AJ101" s="152"/>
      <c r="AK101" s="151"/>
      <c r="AL101" s="152"/>
      <c r="AM101" s="151"/>
      <c r="AN101" s="152"/>
      <c r="AO101" s="151"/>
      <c r="AP101" s="152"/>
      <c r="AQ101" s="151"/>
      <c r="AR101" s="152"/>
      <c r="AS101" s="151"/>
      <c r="AT101" s="152"/>
      <c r="AU101" s="151"/>
      <c r="AV101" s="152"/>
      <c r="AW101" s="151"/>
      <c r="AX101" s="152"/>
      <c r="AY101" s="151"/>
      <c r="AZ101" s="152"/>
      <c r="BA101" s="151"/>
      <c r="BB101" s="152"/>
      <c r="BC101" s="151"/>
      <c r="BD101" s="152"/>
      <c r="BE101" s="151"/>
      <c r="BF101" s="152"/>
      <c r="BG101" s="151"/>
      <c r="BH101" s="152"/>
      <c r="BI101" s="151"/>
      <c r="BJ101" s="152"/>
      <c r="BK101" s="151"/>
      <c r="BL101" s="152"/>
      <c r="BM101" s="151"/>
      <c r="BN101" s="152"/>
      <c r="BO101" s="151"/>
      <c r="BP101" s="152"/>
      <c r="BQ101" s="151"/>
      <c r="BR101" s="152"/>
      <c r="BS101" s="151"/>
      <c r="BT101" s="152"/>
      <c r="BU101" s="151"/>
      <c r="BV101" s="152"/>
      <c r="BW101" s="151"/>
      <c r="BX101" s="152"/>
      <c r="BY101" s="151"/>
      <c r="BZ101" s="152"/>
      <c r="CA101" s="151"/>
      <c r="CB101" s="152"/>
      <c r="CC101" s="151"/>
      <c r="CD101" s="152"/>
      <c r="CE101" s="151"/>
      <c r="CF101" s="152"/>
      <c r="CG101" s="151"/>
      <c r="CH101" s="152"/>
      <c r="CI101" s="151"/>
      <c r="CJ101" s="152"/>
      <c r="CK101" s="151"/>
      <c r="CL101" s="152"/>
      <c r="CM101" s="151"/>
      <c r="CN101" s="152"/>
      <c r="CO101" s="151"/>
      <c r="CP101" s="152"/>
      <c r="CQ101" s="151"/>
      <c r="CR101" s="152"/>
      <c r="CS101" s="151"/>
      <c r="CT101" s="152"/>
      <c r="CU101" s="151"/>
      <c r="CV101" s="152"/>
      <c r="CW101" s="151"/>
      <c r="CX101" s="152"/>
      <c r="CY101" s="151"/>
      <c r="CZ101" s="152"/>
      <c r="DA101" s="151"/>
      <c r="DB101" s="152"/>
      <c r="DC101" s="151"/>
      <c r="DD101" s="152"/>
      <c r="DE101" s="151"/>
      <c r="DF101" s="152"/>
      <c r="DG101" s="151"/>
      <c r="DH101" s="152"/>
      <c r="DI101" s="151"/>
      <c r="DJ101" s="152"/>
      <c r="DK101" s="151"/>
      <c r="DL101" s="152"/>
      <c r="DM101" s="151"/>
      <c r="DN101" s="152"/>
      <c r="DO101" s="151"/>
      <c r="DP101" s="152"/>
      <c r="DQ101" s="151"/>
      <c r="DR101" s="152"/>
      <c r="DS101" s="151"/>
      <c r="DT101" s="152"/>
      <c r="DU101" s="151"/>
      <c r="DV101" s="152"/>
    </row>
    <row r="102" spans="1:126" x14ac:dyDescent="0.2">
      <c r="A102" s="150" t="s">
        <v>966</v>
      </c>
      <c r="B102" s="150" t="s">
        <v>967</v>
      </c>
      <c r="C102" s="151">
        <f t="shared" si="32"/>
        <v>0</v>
      </c>
      <c r="D102" s="152">
        <f t="shared" si="28"/>
        <v>0</v>
      </c>
      <c r="E102" s="151">
        <f t="shared" si="56"/>
        <v>0</v>
      </c>
      <c r="F102" s="152">
        <f t="shared" si="57"/>
        <v>0</v>
      </c>
      <c r="G102" s="151">
        <f t="shared" si="44"/>
        <v>0</v>
      </c>
      <c r="H102" s="152">
        <f t="shared" si="44"/>
        <v>0</v>
      </c>
      <c r="I102" s="151"/>
      <c r="J102" s="152"/>
      <c r="K102" s="151"/>
      <c r="L102" s="152"/>
      <c r="M102" s="151"/>
      <c r="N102" s="152"/>
      <c r="O102" s="151"/>
      <c r="P102" s="152"/>
      <c r="Q102" s="151"/>
      <c r="R102" s="152"/>
      <c r="S102" s="151"/>
      <c r="T102" s="152"/>
      <c r="U102" s="151"/>
      <c r="V102" s="152"/>
      <c r="W102" s="151"/>
      <c r="X102" s="152"/>
      <c r="Y102" s="151"/>
      <c r="Z102" s="152"/>
      <c r="AA102" s="151"/>
      <c r="AB102" s="152"/>
      <c r="AC102" s="151"/>
      <c r="AD102" s="152"/>
      <c r="AE102" s="151"/>
      <c r="AF102" s="152"/>
      <c r="AG102" s="151"/>
      <c r="AH102" s="152"/>
      <c r="AI102" s="151"/>
      <c r="AJ102" s="152"/>
      <c r="AK102" s="151"/>
      <c r="AL102" s="152"/>
      <c r="AM102" s="151"/>
      <c r="AN102" s="152"/>
      <c r="AO102" s="151"/>
      <c r="AP102" s="152"/>
      <c r="AQ102" s="151"/>
      <c r="AR102" s="152"/>
      <c r="AS102" s="151"/>
      <c r="AT102" s="152"/>
      <c r="AU102" s="151"/>
      <c r="AV102" s="152"/>
      <c r="AW102" s="151"/>
      <c r="AX102" s="152"/>
      <c r="AY102" s="151"/>
      <c r="AZ102" s="152"/>
      <c r="BA102" s="151"/>
      <c r="BB102" s="152"/>
      <c r="BC102" s="151"/>
      <c r="BD102" s="152"/>
      <c r="BE102" s="151"/>
      <c r="BF102" s="152"/>
      <c r="BG102" s="151"/>
      <c r="BH102" s="152"/>
      <c r="BI102" s="151"/>
      <c r="BJ102" s="152"/>
      <c r="BK102" s="151"/>
      <c r="BL102" s="152"/>
      <c r="BM102" s="151"/>
      <c r="BN102" s="152"/>
      <c r="BO102" s="151"/>
      <c r="BP102" s="152"/>
      <c r="BQ102" s="151"/>
      <c r="BR102" s="152"/>
      <c r="BS102" s="151"/>
      <c r="BT102" s="152"/>
      <c r="BU102" s="151"/>
      <c r="BV102" s="152"/>
      <c r="BW102" s="151"/>
      <c r="BX102" s="152"/>
      <c r="BY102" s="151"/>
      <c r="BZ102" s="152"/>
      <c r="CA102" s="151"/>
      <c r="CB102" s="152"/>
      <c r="CC102" s="151"/>
      <c r="CD102" s="152"/>
      <c r="CE102" s="151"/>
      <c r="CF102" s="152"/>
      <c r="CG102" s="151"/>
      <c r="CH102" s="152"/>
      <c r="CI102" s="151"/>
      <c r="CJ102" s="152"/>
      <c r="CK102" s="151"/>
      <c r="CL102" s="152"/>
      <c r="CM102" s="151"/>
      <c r="CN102" s="152"/>
      <c r="CO102" s="151"/>
      <c r="CP102" s="152"/>
      <c r="CQ102" s="151"/>
      <c r="CR102" s="152"/>
      <c r="CS102" s="151"/>
      <c r="CT102" s="152"/>
      <c r="CU102" s="151"/>
      <c r="CV102" s="152"/>
      <c r="CW102" s="151"/>
      <c r="CX102" s="152"/>
      <c r="CY102" s="151"/>
      <c r="CZ102" s="152"/>
      <c r="DA102" s="151"/>
      <c r="DB102" s="152"/>
      <c r="DC102" s="151"/>
      <c r="DD102" s="152"/>
      <c r="DE102" s="151"/>
      <c r="DF102" s="152"/>
      <c r="DG102" s="151"/>
      <c r="DH102" s="152"/>
      <c r="DI102" s="151"/>
      <c r="DJ102" s="152"/>
      <c r="DK102" s="151"/>
      <c r="DL102" s="152"/>
      <c r="DM102" s="151"/>
      <c r="DN102" s="152"/>
      <c r="DO102" s="151"/>
      <c r="DP102" s="152"/>
      <c r="DQ102" s="151"/>
      <c r="DR102" s="152"/>
      <c r="DS102" s="151"/>
      <c r="DT102" s="152"/>
      <c r="DU102" s="151"/>
      <c r="DV102" s="152"/>
    </row>
    <row r="103" spans="1:126" x14ac:dyDescent="0.2">
      <c r="A103" s="150" t="s">
        <v>968</v>
      </c>
      <c r="B103" s="150" t="s">
        <v>969</v>
      </c>
      <c r="C103" s="151">
        <f t="shared" si="32"/>
        <v>0</v>
      </c>
      <c r="D103" s="152">
        <f t="shared" si="28"/>
        <v>0</v>
      </c>
      <c r="E103" s="151">
        <f t="shared" si="56"/>
        <v>0</v>
      </c>
      <c r="F103" s="152">
        <f t="shared" si="57"/>
        <v>0</v>
      </c>
      <c r="G103" s="151">
        <f t="shared" si="44"/>
        <v>0</v>
      </c>
      <c r="H103" s="152">
        <f t="shared" si="44"/>
        <v>0</v>
      </c>
      <c r="I103" s="151"/>
      <c r="J103" s="152"/>
      <c r="K103" s="151"/>
      <c r="L103" s="152"/>
      <c r="M103" s="151"/>
      <c r="N103" s="152"/>
      <c r="O103" s="151"/>
      <c r="P103" s="152"/>
      <c r="Q103" s="151"/>
      <c r="R103" s="152"/>
      <c r="S103" s="151"/>
      <c r="T103" s="152"/>
      <c r="U103" s="151"/>
      <c r="V103" s="152"/>
      <c r="W103" s="151"/>
      <c r="X103" s="152"/>
      <c r="Y103" s="151"/>
      <c r="Z103" s="152"/>
      <c r="AA103" s="151"/>
      <c r="AB103" s="152"/>
      <c r="AC103" s="151"/>
      <c r="AD103" s="152"/>
      <c r="AE103" s="151"/>
      <c r="AF103" s="152"/>
      <c r="AG103" s="151"/>
      <c r="AH103" s="152"/>
      <c r="AI103" s="151"/>
      <c r="AJ103" s="152"/>
      <c r="AK103" s="151"/>
      <c r="AL103" s="152"/>
      <c r="AM103" s="151"/>
      <c r="AN103" s="152"/>
      <c r="AO103" s="151"/>
      <c r="AP103" s="152"/>
      <c r="AQ103" s="151"/>
      <c r="AR103" s="152"/>
      <c r="AS103" s="151"/>
      <c r="AT103" s="152"/>
      <c r="AU103" s="151"/>
      <c r="AV103" s="152"/>
      <c r="AW103" s="151"/>
      <c r="AX103" s="152"/>
      <c r="AY103" s="151"/>
      <c r="AZ103" s="152"/>
      <c r="BA103" s="151"/>
      <c r="BB103" s="152"/>
      <c r="BC103" s="151"/>
      <c r="BD103" s="152"/>
      <c r="BE103" s="151"/>
      <c r="BF103" s="152"/>
      <c r="BG103" s="151"/>
      <c r="BH103" s="152"/>
      <c r="BI103" s="151"/>
      <c r="BJ103" s="152"/>
      <c r="BK103" s="151"/>
      <c r="BL103" s="152"/>
      <c r="BM103" s="151"/>
      <c r="BN103" s="152"/>
      <c r="BO103" s="151"/>
      <c r="BP103" s="152"/>
      <c r="BQ103" s="151"/>
      <c r="BR103" s="152"/>
      <c r="BS103" s="151"/>
      <c r="BT103" s="152"/>
      <c r="BU103" s="151"/>
      <c r="BV103" s="152"/>
      <c r="BW103" s="151"/>
      <c r="BX103" s="152"/>
      <c r="BY103" s="151"/>
      <c r="BZ103" s="152"/>
      <c r="CA103" s="151"/>
      <c r="CB103" s="152"/>
      <c r="CC103" s="151"/>
      <c r="CD103" s="152"/>
      <c r="CE103" s="151"/>
      <c r="CF103" s="152"/>
      <c r="CG103" s="151"/>
      <c r="CH103" s="152"/>
      <c r="CI103" s="151"/>
      <c r="CJ103" s="152"/>
      <c r="CK103" s="151"/>
      <c r="CL103" s="152"/>
      <c r="CM103" s="151"/>
      <c r="CN103" s="152"/>
      <c r="CO103" s="151"/>
      <c r="CP103" s="152"/>
      <c r="CQ103" s="151"/>
      <c r="CR103" s="152"/>
      <c r="CS103" s="151"/>
      <c r="CT103" s="152"/>
      <c r="CU103" s="151"/>
      <c r="CV103" s="152"/>
      <c r="CW103" s="151"/>
      <c r="CX103" s="152"/>
      <c r="CY103" s="151"/>
      <c r="CZ103" s="152"/>
      <c r="DA103" s="151"/>
      <c r="DB103" s="152"/>
      <c r="DC103" s="151"/>
      <c r="DD103" s="152"/>
      <c r="DE103" s="151"/>
      <c r="DF103" s="152"/>
      <c r="DG103" s="151"/>
      <c r="DH103" s="152"/>
      <c r="DI103" s="151"/>
      <c r="DJ103" s="152"/>
      <c r="DK103" s="151"/>
      <c r="DL103" s="152"/>
      <c r="DM103" s="151"/>
      <c r="DN103" s="152"/>
      <c r="DO103" s="151"/>
      <c r="DP103" s="152"/>
      <c r="DQ103" s="151"/>
      <c r="DR103" s="152"/>
      <c r="DS103" s="151"/>
      <c r="DT103" s="152"/>
      <c r="DU103" s="151"/>
      <c r="DV103" s="152"/>
    </row>
    <row r="104" spans="1:126" x14ac:dyDescent="0.2">
      <c r="A104" s="150" t="s">
        <v>970</v>
      </c>
      <c r="B104" s="150" t="s">
        <v>971</v>
      </c>
      <c r="C104" s="151">
        <f t="shared" si="32"/>
        <v>0</v>
      </c>
      <c r="D104" s="152">
        <f t="shared" si="28"/>
        <v>0</v>
      </c>
      <c r="E104" s="151">
        <f t="shared" si="56"/>
        <v>0</v>
      </c>
      <c r="F104" s="152">
        <f t="shared" si="57"/>
        <v>0</v>
      </c>
      <c r="G104" s="151">
        <f t="shared" si="44"/>
        <v>0</v>
      </c>
      <c r="H104" s="152">
        <f t="shared" si="44"/>
        <v>0</v>
      </c>
      <c r="I104" s="151"/>
      <c r="J104" s="152"/>
      <c r="K104" s="151"/>
      <c r="L104" s="152"/>
      <c r="M104" s="151"/>
      <c r="N104" s="152"/>
      <c r="O104" s="151"/>
      <c r="P104" s="152"/>
      <c r="Q104" s="151"/>
      <c r="R104" s="152"/>
      <c r="S104" s="151"/>
      <c r="T104" s="152"/>
      <c r="U104" s="151"/>
      <c r="V104" s="152"/>
      <c r="W104" s="151"/>
      <c r="X104" s="152"/>
      <c r="Y104" s="151"/>
      <c r="Z104" s="152"/>
      <c r="AA104" s="151"/>
      <c r="AB104" s="152"/>
      <c r="AC104" s="151"/>
      <c r="AD104" s="152"/>
      <c r="AE104" s="151"/>
      <c r="AF104" s="152"/>
      <c r="AG104" s="151"/>
      <c r="AH104" s="152"/>
      <c r="AI104" s="151"/>
      <c r="AJ104" s="152"/>
      <c r="AK104" s="151"/>
      <c r="AL104" s="152"/>
      <c r="AM104" s="151"/>
      <c r="AN104" s="152"/>
      <c r="AO104" s="151"/>
      <c r="AP104" s="152"/>
      <c r="AQ104" s="151"/>
      <c r="AR104" s="152"/>
      <c r="AS104" s="151"/>
      <c r="AT104" s="152"/>
      <c r="AU104" s="151"/>
      <c r="AV104" s="152"/>
      <c r="AW104" s="151"/>
      <c r="AX104" s="152"/>
      <c r="AY104" s="151"/>
      <c r="AZ104" s="152"/>
      <c r="BA104" s="151"/>
      <c r="BB104" s="152"/>
      <c r="BC104" s="151"/>
      <c r="BD104" s="152"/>
      <c r="BE104" s="151"/>
      <c r="BF104" s="152"/>
      <c r="BG104" s="151"/>
      <c r="BH104" s="152"/>
      <c r="BI104" s="151"/>
      <c r="BJ104" s="152"/>
      <c r="BK104" s="151"/>
      <c r="BL104" s="152"/>
      <c r="BM104" s="151"/>
      <c r="BN104" s="152"/>
      <c r="BO104" s="151"/>
      <c r="BP104" s="152"/>
      <c r="BQ104" s="151"/>
      <c r="BR104" s="152"/>
      <c r="BS104" s="151"/>
      <c r="BT104" s="152"/>
      <c r="BU104" s="151"/>
      <c r="BV104" s="152"/>
      <c r="BW104" s="151"/>
      <c r="BX104" s="152"/>
      <c r="BY104" s="151"/>
      <c r="BZ104" s="152"/>
      <c r="CA104" s="151"/>
      <c r="CB104" s="152"/>
      <c r="CC104" s="151"/>
      <c r="CD104" s="152"/>
      <c r="CE104" s="151"/>
      <c r="CF104" s="152"/>
      <c r="CG104" s="151"/>
      <c r="CH104" s="152"/>
      <c r="CI104" s="151"/>
      <c r="CJ104" s="152"/>
      <c r="CK104" s="151"/>
      <c r="CL104" s="152"/>
      <c r="CM104" s="151"/>
      <c r="CN104" s="152"/>
      <c r="CO104" s="151"/>
      <c r="CP104" s="152"/>
      <c r="CQ104" s="151"/>
      <c r="CR104" s="152"/>
      <c r="CS104" s="151"/>
      <c r="CT104" s="152"/>
      <c r="CU104" s="151"/>
      <c r="CV104" s="152"/>
      <c r="CW104" s="151"/>
      <c r="CX104" s="152"/>
      <c r="CY104" s="151"/>
      <c r="CZ104" s="152"/>
      <c r="DA104" s="151"/>
      <c r="DB104" s="152"/>
      <c r="DC104" s="151"/>
      <c r="DD104" s="152"/>
      <c r="DE104" s="151"/>
      <c r="DF104" s="152"/>
      <c r="DG104" s="151"/>
      <c r="DH104" s="152"/>
      <c r="DI104" s="151"/>
      <c r="DJ104" s="152"/>
      <c r="DK104" s="151"/>
      <c r="DL104" s="152"/>
      <c r="DM104" s="151"/>
      <c r="DN104" s="152"/>
      <c r="DO104" s="151"/>
      <c r="DP104" s="152"/>
      <c r="DQ104" s="151"/>
      <c r="DR104" s="152"/>
      <c r="DS104" s="151"/>
      <c r="DT104" s="152"/>
      <c r="DU104" s="151"/>
      <c r="DV104" s="152"/>
    </row>
    <row r="105" spans="1:126" x14ac:dyDescent="0.2">
      <c r="A105" s="150" t="s">
        <v>972</v>
      </c>
      <c r="B105" s="150" t="s">
        <v>973</v>
      </c>
      <c r="C105" s="151">
        <f t="shared" si="32"/>
        <v>0</v>
      </c>
      <c r="D105" s="152">
        <f t="shared" si="28"/>
        <v>0</v>
      </c>
      <c r="E105" s="151">
        <f t="shared" si="56"/>
        <v>0</v>
      </c>
      <c r="F105" s="152">
        <f t="shared" si="57"/>
        <v>0</v>
      </c>
      <c r="G105" s="151">
        <f t="shared" si="44"/>
        <v>0</v>
      </c>
      <c r="H105" s="152">
        <f t="shared" si="44"/>
        <v>0</v>
      </c>
      <c r="I105" s="151"/>
      <c r="J105" s="152"/>
      <c r="K105" s="151"/>
      <c r="L105" s="152"/>
      <c r="M105" s="151"/>
      <c r="N105" s="152"/>
      <c r="O105" s="151"/>
      <c r="P105" s="152"/>
      <c r="Q105" s="151"/>
      <c r="R105" s="152"/>
      <c r="S105" s="151"/>
      <c r="T105" s="152"/>
      <c r="U105" s="151"/>
      <c r="V105" s="152"/>
      <c r="W105" s="151"/>
      <c r="X105" s="152"/>
      <c r="Y105" s="151"/>
      <c r="Z105" s="152"/>
      <c r="AA105" s="151"/>
      <c r="AB105" s="152"/>
      <c r="AC105" s="151"/>
      <c r="AD105" s="152"/>
      <c r="AE105" s="151"/>
      <c r="AF105" s="152"/>
      <c r="AG105" s="151"/>
      <c r="AH105" s="152"/>
      <c r="AI105" s="151"/>
      <c r="AJ105" s="152"/>
      <c r="AK105" s="151"/>
      <c r="AL105" s="152"/>
      <c r="AM105" s="151"/>
      <c r="AN105" s="152"/>
      <c r="AO105" s="151"/>
      <c r="AP105" s="152"/>
      <c r="AQ105" s="151"/>
      <c r="AR105" s="152"/>
      <c r="AS105" s="151"/>
      <c r="AT105" s="152"/>
      <c r="AU105" s="151"/>
      <c r="AV105" s="152"/>
      <c r="AW105" s="151"/>
      <c r="AX105" s="152"/>
      <c r="AY105" s="151"/>
      <c r="AZ105" s="152"/>
      <c r="BA105" s="151"/>
      <c r="BB105" s="152"/>
      <c r="BC105" s="151"/>
      <c r="BD105" s="152"/>
      <c r="BE105" s="151"/>
      <c r="BF105" s="152"/>
      <c r="BG105" s="151"/>
      <c r="BH105" s="152"/>
      <c r="BI105" s="151"/>
      <c r="BJ105" s="152"/>
      <c r="BK105" s="151"/>
      <c r="BL105" s="152"/>
      <c r="BM105" s="151"/>
      <c r="BN105" s="152"/>
      <c r="BO105" s="151"/>
      <c r="BP105" s="152"/>
      <c r="BQ105" s="151"/>
      <c r="BR105" s="152"/>
      <c r="BS105" s="151"/>
      <c r="BT105" s="152"/>
      <c r="BU105" s="151"/>
      <c r="BV105" s="152"/>
      <c r="BW105" s="151"/>
      <c r="BX105" s="152"/>
      <c r="BY105" s="151"/>
      <c r="BZ105" s="152"/>
      <c r="CA105" s="151"/>
      <c r="CB105" s="152"/>
      <c r="CC105" s="151"/>
      <c r="CD105" s="152"/>
      <c r="CE105" s="151"/>
      <c r="CF105" s="152"/>
      <c r="CG105" s="151"/>
      <c r="CH105" s="152"/>
      <c r="CI105" s="151"/>
      <c r="CJ105" s="152"/>
      <c r="CK105" s="151"/>
      <c r="CL105" s="152"/>
      <c r="CM105" s="151"/>
      <c r="CN105" s="152"/>
      <c r="CO105" s="151"/>
      <c r="CP105" s="152"/>
      <c r="CQ105" s="151"/>
      <c r="CR105" s="152"/>
      <c r="CS105" s="151"/>
      <c r="CT105" s="152"/>
      <c r="CU105" s="151"/>
      <c r="CV105" s="152"/>
      <c r="CW105" s="151"/>
      <c r="CX105" s="152"/>
      <c r="CY105" s="151"/>
      <c r="CZ105" s="152"/>
      <c r="DA105" s="151"/>
      <c r="DB105" s="152"/>
      <c r="DC105" s="151"/>
      <c r="DD105" s="152"/>
      <c r="DE105" s="151"/>
      <c r="DF105" s="152"/>
      <c r="DG105" s="151"/>
      <c r="DH105" s="152"/>
      <c r="DI105" s="151"/>
      <c r="DJ105" s="152"/>
      <c r="DK105" s="151"/>
      <c r="DL105" s="152"/>
      <c r="DM105" s="151"/>
      <c r="DN105" s="152"/>
      <c r="DO105" s="151"/>
      <c r="DP105" s="152"/>
      <c r="DQ105" s="151"/>
      <c r="DR105" s="152"/>
      <c r="DS105" s="151"/>
      <c r="DT105" s="152"/>
      <c r="DU105" s="151"/>
      <c r="DV105" s="152"/>
    </row>
    <row r="106" spans="1:126" x14ac:dyDescent="0.2">
      <c r="A106" s="153" t="s">
        <v>974</v>
      </c>
      <c r="B106" s="153" t="s">
        <v>975</v>
      </c>
      <c r="C106" s="154" t="e">
        <f t="shared" ref="C106:I106" si="58">SUM(C89:C105)</f>
        <v>#REF!</v>
      </c>
      <c r="D106" s="155" t="e">
        <f t="shared" si="58"/>
        <v>#REF!</v>
      </c>
      <c r="E106" s="154">
        <f t="shared" si="58"/>
        <v>0</v>
      </c>
      <c r="F106" s="155">
        <f t="shared" si="58"/>
        <v>0</v>
      </c>
      <c r="G106" s="154">
        <f t="shared" si="58"/>
        <v>0</v>
      </c>
      <c r="H106" s="155">
        <f t="shared" si="58"/>
        <v>0</v>
      </c>
      <c r="I106" s="154">
        <f t="shared" si="58"/>
        <v>2912651</v>
      </c>
      <c r="J106" s="155" t="e">
        <f t="shared" ref="J106:AO106" si="59">SUM(J89:J105)</f>
        <v>#REF!</v>
      </c>
      <c r="K106" s="154">
        <f t="shared" si="59"/>
        <v>0</v>
      </c>
      <c r="L106" s="155">
        <f t="shared" si="59"/>
        <v>0</v>
      </c>
      <c r="M106" s="154">
        <f t="shared" si="59"/>
        <v>0</v>
      </c>
      <c r="N106" s="155">
        <f t="shared" si="59"/>
        <v>0</v>
      </c>
      <c r="O106" s="154">
        <f t="shared" si="59"/>
        <v>0</v>
      </c>
      <c r="P106" s="155">
        <f t="shared" si="59"/>
        <v>0</v>
      </c>
      <c r="Q106" s="154">
        <f t="shared" si="59"/>
        <v>0</v>
      </c>
      <c r="R106" s="155">
        <f t="shared" si="59"/>
        <v>0</v>
      </c>
      <c r="S106" s="154">
        <f t="shared" si="59"/>
        <v>0</v>
      </c>
      <c r="T106" s="155">
        <f>SUM(T89:T105)</f>
        <v>0</v>
      </c>
      <c r="U106" s="154">
        <f t="shared" si="59"/>
        <v>0</v>
      </c>
      <c r="V106" s="155">
        <f>SUM(V89:V105)</f>
        <v>0</v>
      </c>
      <c r="W106" s="154">
        <f t="shared" si="59"/>
        <v>0</v>
      </c>
      <c r="X106" s="155">
        <f t="shared" si="59"/>
        <v>0</v>
      </c>
      <c r="Y106" s="154">
        <f t="shared" si="59"/>
        <v>0</v>
      </c>
      <c r="Z106" s="155">
        <f>SUM(Z89:Z105)</f>
        <v>0</v>
      </c>
      <c r="AA106" s="154">
        <f t="shared" si="59"/>
        <v>0</v>
      </c>
      <c r="AB106" s="155">
        <f>SUM(AB89:AB105)</f>
        <v>0</v>
      </c>
      <c r="AC106" s="154">
        <f t="shared" si="59"/>
        <v>0</v>
      </c>
      <c r="AD106" s="155">
        <f>SUM(AD89:AD105)</f>
        <v>0</v>
      </c>
      <c r="AE106" s="154">
        <f t="shared" si="59"/>
        <v>0</v>
      </c>
      <c r="AF106" s="155">
        <f>SUM(AF89:AF105)</f>
        <v>0</v>
      </c>
      <c r="AG106" s="154"/>
      <c r="AH106" s="155">
        <f>SUM(AH89:AH105)</f>
        <v>0</v>
      </c>
      <c r="AI106" s="154">
        <f>SUM(AI89:AI105)</f>
        <v>0</v>
      </c>
      <c r="AJ106" s="155">
        <f>SUM(AJ89:AJ105)</f>
        <v>0</v>
      </c>
      <c r="AK106" s="154">
        <f t="shared" si="59"/>
        <v>0</v>
      </c>
      <c r="AL106" s="155">
        <f>SUM(AL89:AL105)</f>
        <v>0</v>
      </c>
      <c r="AM106" s="154">
        <f t="shared" si="59"/>
        <v>0</v>
      </c>
      <c r="AN106" s="155"/>
      <c r="AO106" s="154">
        <f t="shared" si="59"/>
        <v>0</v>
      </c>
      <c r="AP106" s="155">
        <f>SUM(AP89:AP105)</f>
        <v>0</v>
      </c>
      <c r="AQ106" s="154">
        <f t="shared" ref="AQ106:DS106" si="60">SUM(AQ89:AQ105)</f>
        <v>0</v>
      </c>
      <c r="AR106" s="155">
        <f>SUM(AR89:AR105)</f>
        <v>0</v>
      </c>
      <c r="AS106" s="154">
        <f t="shared" si="60"/>
        <v>0</v>
      </c>
      <c r="AT106" s="155">
        <f>SUM(AT89:AT105)</f>
        <v>0</v>
      </c>
      <c r="AU106" s="154">
        <f t="shared" si="60"/>
        <v>0</v>
      </c>
      <c r="AV106" s="155">
        <f>SUM(AV89:AV105)</f>
        <v>0</v>
      </c>
      <c r="AW106" s="154">
        <f t="shared" si="60"/>
        <v>0</v>
      </c>
      <c r="AX106" s="155">
        <f>SUM(AX89:AX105)</f>
        <v>0</v>
      </c>
      <c r="AY106" s="154">
        <f t="shared" si="60"/>
        <v>0</v>
      </c>
      <c r="AZ106" s="155">
        <f>SUM(AZ89:AZ105)</f>
        <v>0</v>
      </c>
      <c r="BA106" s="154">
        <f t="shared" si="60"/>
        <v>0</v>
      </c>
      <c r="BB106" s="155">
        <f>SUM(BB89:BB105)</f>
        <v>0</v>
      </c>
      <c r="BC106" s="154">
        <f t="shared" si="60"/>
        <v>0</v>
      </c>
      <c r="BD106" s="155">
        <f>SUM(BD89:BD105)</f>
        <v>0</v>
      </c>
      <c r="BE106" s="154">
        <f t="shared" si="60"/>
        <v>0</v>
      </c>
      <c r="BF106" s="155">
        <f>SUM(BF89:BF105)</f>
        <v>0</v>
      </c>
      <c r="BG106" s="154">
        <f t="shared" si="60"/>
        <v>0</v>
      </c>
      <c r="BH106" s="155">
        <f>SUM(BH89:BH105)</f>
        <v>0</v>
      </c>
      <c r="BI106" s="154">
        <f t="shared" si="60"/>
        <v>0</v>
      </c>
      <c r="BJ106" s="155">
        <f>SUM(BJ89:BJ105)</f>
        <v>0</v>
      </c>
      <c r="BK106" s="154">
        <f t="shared" si="60"/>
        <v>0</v>
      </c>
      <c r="BL106" s="155">
        <f>SUM(BL89:BL105)</f>
        <v>0</v>
      </c>
      <c r="BM106" s="154">
        <f t="shared" si="60"/>
        <v>0</v>
      </c>
      <c r="BN106" s="155">
        <f>SUM(BN89:BN105)</f>
        <v>0</v>
      </c>
      <c r="BO106" s="154">
        <f t="shared" si="60"/>
        <v>0</v>
      </c>
      <c r="BP106" s="155">
        <f>SUM(BP89:BP105)</f>
        <v>0</v>
      </c>
      <c r="BQ106" s="154">
        <f t="shared" si="60"/>
        <v>0</v>
      </c>
      <c r="BR106" s="155">
        <f>SUM(BR89:BR105)</f>
        <v>0</v>
      </c>
      <c r="BS106" s="154">
        <f t="shared" si="60"/>
        <v>0</v>
      </c>
      <c r="BT106" s="155">
        <f>SUM(BT89:BT105)</f>
        <v>0</v>
      </c>
      <c r="BU106" s="154">
        <f t="shared" si="60"/>
        <v>0</v>
      </c>
      <c r="BV106" s="155">
        <f>SUM(BV89:BV105)</f>
        <v>0</v>
      </c>
      <c r="BW106" s="154">
        <f t="shared" si="60"/>
        <v>0</v>
      </c>
      <c r="BX106" s="155">
        <f>SUM(BX89:BX105)</f>
        <v>0</v>
      </c>
      <c r="BY106" s="154">
        <f t="shared" si="60"/>
        <v>0</v>
      </c>
      <c r="BZ106" s="155">
        <f>SUM(BZ89:BZ105)</f>
        <v>0</v>
      </c>
      <c r="CA106" s="154">
        <f t="shared" si="60"/>
        <v>0</v>
      </c>
      <c r="CB106" s="155">
        <f>SUM(CB89:CB105)</f>
        <v>0</v>
      </c>
      <c r="CC106" s="154">
        <f t="shared" si="60"/>
        <v>0</v>
      </c>
      <c r="CD106" s="155">
        <f>SUM(CD89:CD105)</f>
        <v>0</v>
      </c>
      <c r="CE106" s="154">
        <f>SUM(CE89:CE105)</f>
        <v>0</v>
      </c>
      <c r="CF106" s="155">
        <f>SUM(CF89:CF105)</f>
        <v>0</v>
      </c>
      <c r="CG106" s="154">
        <f t="shared" si="60"/>
        <v>0</v>
      </c>
      <c r="CH106" s="155">
        <f>SUM(CH89:CH105)</f>
        <v>0</v>
      </c>
      <c r="CI106" s="154">
        <f t="shared" si="60"/>
        <v>0</v>
      </c>
      <c r="CJ106" s="155">
        <f>SUM(CJ89:CJ105)</f>
        <v>0</v>
      </c>
      <c r="CK106" s="154">
        <f t="shared" si="60"/>
        <v>0</v>
      </c>
      <c r="CL106" s="155">
        <f>SUM(CL89:CL105)</f>
        <v>0</v>
      </c>
      <c r="CM106" s="154">
        <f t="shared" si="60"/>
        <v>0</v>
      </c>
      <c r="CN106" s="155">
        <f>SUM(CN89:CN105)</f>
        <v>0</v>
      </c>
      <c r="CO106" s="154">
        <f t="shared" si="60"/>
        <v>0</v>
      </c>
      <c r="CP106" s="155">
        <f>SUM(CP89:CP105)</f>
        <v>0</v>
      </c>
      <c r="CQ106" s="154">
        <f t="shared" si="60"/>
        <v>0</v>
      </c>
      <c r="CR106" s="155">
        <f>SUM(CR89:CR105)</f>
        <v>0</v>
      </c>
      <c r="CS106" s="154">
        <f t="shared" si="60"/>
        <v>0</v>
      </c>
      <c r="CT106" s="155">
        <f>SUM(CT89:CT105)</f>
        <v>0</v>
      </c>
      <c r="CU106" s="154">
        <f t="shared" si="60"/>
        <v>0</v>
      </c>
      <c r="CV106" s="155">
        <f>SUM(CV89:CV105)</f>
        <v>0</v>
      </c>
      <c r="CW106" s="154">
        <f t="shared" si="60"/>
        <v>0</v>
      </c>
      <c r="CX106" s="155">
        <f>SUM(CX89:CX105)</f>
        <v>0</v>
      </c>
      <c r="CY106" s="154">
        <f t="shared" si="60"/>
        <v>0</v>
      </c>
      <c r="CZ106" s="155"/>
      <c r="DA106" s="154">
        <f t="shared" si="60"/>
        <v>0</v>
      </c>
      <c r="DB106" s="155"/>
      <c r="DC106" s="154">
        <f t="shared" si="60"/>
        <v>0</v>
      </c>
      <c r="DD106" s="155">
        <f>SUM(DD89:DD105)</f>
        <v>0</v>
      </c>
      <c r="DE106" s="154">
        <f t="shared" si="60"/>
        <v>0</v>
      </c>
      <c r="DF106" s="155">
        <f>SUM(DF89:DF105)</f>
        <v>0</v>
      </c>
      <c r="DG106" s="154">
        <f t="shared" si="60"/>
        <v>0</v>
      </c>
      <c r="DH106" s="155">
        <f>SUM(DH89:DH105)</f>
        <v>0</v>
      </c>
      <c r="DI106" s="154">
        <f t="shared" si="60"/>
        <v>0</v>
      </c>
      <c r="DJ106" s="155">
        <f>SUM(DJ89:DJ105)</f>
        <v>0</v>
      </c>
      <c r="DK106" s="154">
        <f t="shared" si="60"/>
        <v>0</v>
      </c>
      <c r="DL106" s="155">
        <f>SUM(DL89:DL105)</f>
        <v>0</v>
      </c>
      <c r="DM106" s="154">
        <f t="shared" si="60"/>
        <v>0</v>
      </c>
      <c r="DN106" s="155">
        <f>SUM(DN89:DN105)</f>
        <v>0</v>
      </c>
      <c r="DO106" s="154">
        <f t="shared" si="60"/>
        <v>0</v>
      </c>
      <c r="DP106" s="155">
        <f>SUM(DP89:DP105)</f>
        <v>0</v>
      </c>
      <c r="DQ106" s="154">
        <f t="shared" si="60"/>
        <v>0</v>
      </c>
      <c r="DR106" s="155"/>
      <c r="DS106" s="154">
        <f t="shared" si="60"/>
        <v>0</v>
      </c>
      <c r="DT106" s="155">
        <f>SUM(DT89:DT105)</f>
        <v>0</v>
      </c>
      <c r="DU106" s="154"/>
      <c r="DV106" s="155"/>
    </row>
    <row r="107" spans="1:126" x14ac:dyDescent="0.2">
      <c r="A107" s="1018" t="s">
        <v>976</v>
      </c>
      <c r="B107" s="1018"/>
      <c r="C107" s="161" t="e">
        <f t="shared" ref="C107:BO107" si="61">C44+C53+C66+C74+C79+C88+C106+C18+C19</f>
        <v>#REF!</v>
      </c>
      <c r="D107" s="162" t="e">
        <f t="shared" si="61"/>
        <v>#REF!</v>
      </c>
      <c r="E107" s="161">
        <f t="shared" si="61"/>
        <v>823805</v>
      </c>
      <c r="F107" s="162" t="e">
        <f t="shared" si="61"/>
        <v>#REF!</v>
      </c>
      <c r="G107" s="161">
        <f t="shared" si="61"/>
        <v>782823</v>
      </c>
      <c r="H107" s="162" t="e">
        <f>H44+H53+H66+H74+H79+H88+H106+H18+H19</f>
        <v>#REF!</v>
      </c>
      <c r="I107" s="161">
        <f t="shared" si="61"/>
        <v>2912651</v>
      </c>
      <c r="J107" s="162" t="e">
        <f t="shared" si="61"/>
        <v>#REF!</v>
      </c>
      <c r="K107" s="161">
        <f t="shared" si="61"/>
        <v>20986</v>
      </c>
      <c r="L107" s="162">
        <f t="shared" si="61"/>
        <v>21800</v>
      </c>
      <c r="M107" s="161">
        <f t="shared" si="61"/>
        <v>2540</v>
      </c>
      <c r="N107" s="162">
        <f t="shared" si="61"/>
        <v>4040</v>
      </c>
      <c r="O107" s="161">
        <f>O44+O53+O66+O74+O79+O88+O106+O18+O19</f>
        <v>19942</v>
      </c>
      <c r="P107" s="162">
        <f>P44+P53+P66+P74+P79+P88+P106+P18+P19</f>
        <v>18518</v>
      </c>
      <c r="Q107" s="161">
        <f t="shared" si="61"/>
        <v>29069</v>
      </c>
      <c r="R107" s="162">
        <f t="shared" si="61"/>
        <v>31943</v>
      </c>
      <c r="S107" s="161">
        <f t="shared" si="61"/>
        <v>0</v>
      </c>
      <c r="T107" s="162">
        <f>T44+T53+T66+T74+T79+T88+T106+T18+T19</f>
        <v>1000</v>
      </c>
      <c r="U107" s="161">
        <f t="shared" si="61"/>
        <v>0</v>
      </c>
      <c r="V107" s="162">
        <f>V44+V53+V66+V74+V79+V88+V106+V18+V19</f>
        <v>100</v>
      </c>
      <c r="W107" s="161">
        <f t="shared" si="61"/>
        <v>2413</v>
      </c>
      <c r="X107" s="162">
        <f t="shared" si="61"/>
        <v>2713</v>
      </c>
      <c r="Y107" s="161">
        <f t="shared" si="61"/>
        <v>1000</v>
      </c>
      <c r="Z107" s="162">
        <f>Z44+Z53+Z66+Z74+Z79+Z88+Z106+Z18+Z19</f>
        <v>6526</v>
      </c>
      <c r="AA107" s="161">
        <f t="shared" si="61"/>
        <v>5115</v>
      </c>
      <c r="AB107" s="162">
        <f>AB44+AB53+AB66+AB74+AB79+AB88+AB106+AB18+AB19</f>
        <v>4988</v>
      </c>
      <c r="AC107" s="161">
        <f t="shared" si="61"/>
        <v>400</v>
      </c>
      <c r="AD107" s="162">
        <f>AD44+AD53+AD66+AD74+AD79+AD88+AD106+AD18+AD19</f>
        <v>400</v>
      </c>
      <c r="AE107" s="161">
        <f t="shared" si="61"/>
        <v>718340</v>
      </c>
      <c r="AF107" s="162" t="e">
        <f>AF44+AF53+AF66+AF74+AF79+AF88+AF106+AF18+AF19</f>
        <v>#REF!</v>
      </c>
      <c r="AG107" s="161"/>
      <c r="AH107" s="162" t="e">
        <f>AH44+AH53+AH66+AH74+AH79+AH88+AH106+AH18+AH19</f>
        <v>#REF!</v>
      </c>
      <c r="AI107" s="161">
        <f t="shared" si="61"/>
        <v>24000</v>
      </c>
      <c r="AJ107" s="162">
        <f>AJ44+AJ53+AJ66+AJ74+AJ79+AJ88+AJ106+AJ18+AJ19</f>
        <v>21160</v>
      </c>
      <c r="AK107" s="161">
        <f t="shared" si="61"/>
        <v>3744</v>
      </c>
      <c r="AL107" s="162">
        <f>AL44+AL53+AL66+AL74+AL79+AL88+AL106+AL18+AL19</f>
        <v>3744</v>
      </c>
      <c r="AM107" s="161">
        <f t="shared" si="61"/>
        <v>0</v>
      </c>
      <c r="AN107" s="162"/>
      <c r="AO107" s="161">
        <f t="shared" si="61"/>
        <v>4000</v>
      </c>
      <c r="AP107" s="162">
        <f>AP44+AP53+AP66+AP74+AP79+AP88+AP106+AP18+AP19</f>
        <v>8061</v>
      </c>
      <c r="AQ107" s="161">
        <f t="shared" si="61"/>
        <v>1500</v>
      </c>
      <c r="AR107" s="162">
        <f>AR44+AR53+AR66+AR74+AR79+AR88+AR106+AR18+AR19</f>
        <v>3500</v>
      </c>
      <c r="AS107" s="161">
        <f t="shared" si="61"/>
        <v>1000</v>
      </c>
      <c r="AT107" s="162">
        <f>AT44+AT53+AT66+AT74+AT79+AT88+AT106+AT18+AT19</f>
        <v>5200</v>
      </c>
      <c r="AU107" s="161">
        <f t="shared" si="61"/>
        <v>0</v>
      </c>
      <c r="AV107" s="162">
        <f>AV44+AV53+AV66+AV74+AV79+AV88+AV106+AV18+AV19</f>
        <v>0</v>
      </c>
      <c r="AW107" s="161">
        <f t="shared" si="61"/>
        <v>2811</v>
      </c>
      <c r="AX107" s="162">
        <f>AX44+AX53+AX66+AX74+AX79+AX88+AX106+AX18+AX19</f>
        <v>2811</v>
      </c>
      <c r="AY107" s="161">
        <f t="shared" si="61"/>
        <v>1595</v>
      </c>
      <c r="AZ107" s="162">
        <f>AZ44+AZ53+AZ66+AZ74+AZ79+AZ88+AZ106+AZ18+AZ19</f>
        <v>1595</v>
      </c>
      <c r="BA107" s="161">
        <f t="shared" si="61"/>
        <v>6000</v>
      </c>
      <c r="BB107" s="162">
        <f>BB44+BB53+BB66+BB74+BB79+BB88+BB106+BB18+BB19</f>
        <v>7620</v>
      </c>
      <c r="BC107" s="161">
        <f t="shared" si="61"/>
        <v>875</v>
      </c>
      <c r="BD107" s="162">
        <f>BD44+BD53+BD66+BD74+BD79+BD88+BD106+BD18+BD19</f>
        <v>1750</v>
      </c>
      <c r="BE107" s="161">
        <f t="shared" si="61"/>
        <v>914</v>
      </c>
      <c r="BF107" s="162">
        <f>BF44+BF53+BF66+BF74+BF79+BF88+BF106+BF18+BF19</f>
        <v>1829</v>
      </c>
      <c r="BG107" s="161">
        <f t="shared" si="61"/>
        <v>2400</v>
      </c>
      <c r="BH107" s="162">
        <f>BH44+BH53+BH66+BH74+BH79+BH88+BH106+BH18+BH19</f>
        <v>2400</v>
      </c>
      <c r="BI107" s="161">
        <f t="shared" si="61"/>
        <v>2421</v>
      </c>
      <c r="BJ107" s="162">
        <f>BJ44+BJ53+BJ66+BJ74+BJ79+BJ88+BJ106+BJ18+BJ19</f>
        <v>2421</v>
      </c>
      <c r="BK107" s="161">
        <f t="shared" si="61"/>
        <v>2136</v>
      </c>
      <c r="BL107" s="162">
        <f>BL44+BL53+BL66+BL74+BL79+BL88+BL106+BL18+BL19</f>
        <v>0</v>
      </c>
      <c r="BM107" s="161">
        <f t="shared" si="61"/>
        <v>1200</v>
      </c>
      <c r="BN107" s="162">
        <f>BN44+BN53+BN66+BN74+BN79+BN88+BN106+BN18+BN19</f>
        <v>1500</v>
      </c>
      <c r="BO107" s="161">
        <f t="shared" si="61"/>
        <v>15000</v>
      </c>
      <c r="BP107" s="162">
        <f>BP44+BP53+BP66+BP74+BP79+BP88+BP106+BP18+BP19</f>
        <v>18847</v>
      </c>
      <c r="BQ107" s="161">
        <f t="shared" ref="BQ107:DU107" si="62">BQ44+BQ53+BQ66+BQ74+BQ79+BQ88+BQ106+BQ18+BQ19</f>
        <v>11818</v>
      </c>
      <c r="BR107" s="162">
        <f>BR44+BR53+BR66+BR74+BR79+BR88+BR106+BR18+BR19</f>
        <v>8163</v>
      </c>
      <c r="BS107" s="161">
        <f t="shared" si="62"/>
        <v>2000</v>
      </c>
      <c r="BT107" s="162">
        <f>BT44+BT53+BT66+BT74+BT79+BT88+BT106+BT18+BT19</f>
        <v>2623</v>
      </c>
      <c r="BU107" s="161">
        <f t="shared" si="62"/>
        <v>19120</v>
      </c>
      <c r="BV107" s="162">
        <f>BV44+BV53+BV66+BV74+BV79+BV88+BV106+BV18+BV19</f>
        <v>19120</v>
      </c>
      <c r="BW107" s="161">
        <f t="shared" si="62"/>
        <v>2000</v>
      </c>
      <c r="BX107" s="162">
        <f>BX44+BX53+BX66+BX74+BX79+BX88+BX106+BX18+BX19</f>
        <v>2000</v>
      </c>
      <c r="BY107" s="161">
        <f t="shared" si="62"/>
        <v>3766</v>
      </c>
      <c r="BZ107" s="162">
        <f>BZ44+BZ53+BZ66+BZ74+BZ79+BZ88+BZ106+BZ18+BZ19</f>
        <v>1000</v>
      </c>
      <c r="CA107" s="161">
        <f t="shared" si="62"/>
        <v>7560</v>
      </c>
      <c r="CB107" s="162">
        <f>CB44+CB53+CB66+CB74+CB79+CB88+CB106+CB18+CB19</f>
        <v>4440</v>
      </c>
      <c r="CC107" s="161">
        <f t="shared" si="62"/>
        <v>5400</v>
      </c>
      <c r="CD107" s="162">
        <f>CD44+CD53+CD66+CD74+CD79+CD88+CD106+CD18+CD19</f>
        <v>5400</v>
      </c>
      <c r="CE107" s="161">
        <f>CE44+CE53+CE66+CE74+CE79+CE88+CE106+CE18+CE19</f>
        <v>400</v>
      </c>
      <c r="CF107" s="162">
        <f>CF44+CF53+CF66+CF74+CF79+CF88+CF106+CF18+CF19</f>
        <v>400</v>
      </c>
      <c r="CG107" s="161">
        <f t="shared" si="62"/>
        <v>0</v>
      </c>
      <c r="CH107" s="162">
        <f>CH44+CH53+CH66+CH74+CH79+CH88+CH106+CH18+CH19</f>
        <v>0</v>
      </c>
      <c r="CI107" s="161">
        <f t="shared" si="62"/>
        <v>256163</v>
      </c>
      <c r="CJ107" s="162">
        <f>CJ44+CJ53+CJ66+CJ74+CJ79+CJ88+CJ106+CJ18+CJ19</f>
        <v>195415</v>
      </c>
      <c r="CK107" s="161">
        <f t="shared" si="62"/>
        <v>24888</v>
      </c>
      <c r="CL107" s="162">
        <f>CL44+CL53+CL66+CL74+CL79+CL88+CL106+CL18+CL19</f>
        <v>27269</v>
      </c>
      <c r="CM107" s="161">
        <f t="shared" si="62"/>
        <v>3000</v>
      </c>
      <c r="CN107" s="162">
        <f>CN44+CN53+CN66+CN74+CN79+CN88+CN106+CN18+CN19</f>
        <v>1500</v>
      </c>
      <c r="CO107" s="161">
        <f t="shared" si="62"/>
        <v>6500</v>
      </c>
      <c r="CP107" s="162">
        <f>CP44+CP53+CP66+CP74+CP79+CP88+CP106+CP18+CP19</f>
        <v>6500</v>
      </c>
      <c r="CQ107" s="161">
        <f t="shared" si="62"/>
        <v>2572</v>
      </c>
      <c r="CR107" s="162">
        <f>CR44+CR53+CR66+CR74+CR79+CR88+CR106+CR18+CR19</f>
        <v>2572</v>
      </c>
      <c r="CS107" s="161">
        <f t="shared" si="62"/>
        <v>0</v>
      </c>
      <c r="CT107" s="162">
        <f>CT44+CT53+CT66+CT74+CT79+CT88+CT106+CT18+CT19</f>
        <v>15890</v>
      </c>
      <c r="CU107" s="161">
        <f t="shared" si="62"/>
        <v>31500</v>
      </c>
      <c r="CV107" s="162">
        <f>CV44+CV53+CV66+CV74+CV79+CV88+CV106+CV18+CV19</f>
        <v>31500</v>
      </c>
      <c r="CW107" s="161">
        <f t="shared" si="62"/>
        <v>9500</v>
      </c>
      <c r="CX107" s="162">
        <f>CX44+CX53+CX66+CX74+CX79+CX88+CX106+CX18+CX19</f>
        <v>14760</v>
      </c>
      <c r="CY107" s="161">
        <f t="shared" si="62"/>
        <v>0</v>
      </c>
      <c r="CZ107" s="162"/>
      <c r="DA107" s="161">
        <f t="shared" si="62"/>
        <v>0</v>
      </c>
      <c r="DB107" s="162"/>
      <c r="DC107" s="161">
        <f t="shared" si="62"/>
        <v>1710</v>
      </c>
      <c r="DD107" s="162">
        <f>DD44+DD53+DD66+DD74+DD79+DD88+DD106+DD18+DD19</f>
        <v>2470</v>
      </c>
      <c r="DE107" s="161">
        <f t="shared" si="62"/>
        <v>32000</v>
      </c>
      <c r="DF107" s="162">
        <f>DF44+DF53+DF66+DF74+DF79+DF88+DF106+DF18+DF19</f>
        <v>18840</v>
      </c>
      <c r="DG107" s="161">
        <f t="shared" si="62"/>
        <v>6000</v>
      </c>
      <c r="DH107" s="162">
        <f>DH44+DH53+DH66+DH74+DH79+DH88+DH106+DH18+DH19</f>
        <v>40397</v>
      </c>
      <c r="DI107" s="161">
        <f t="shared" si="62"/>
        <v>263547</v>
      </c>
      <c r="DJ107" s="162" t="e">
        <f>DJ44+DJ53+DJ66+DJ74+DJ79+DJ88+DJ106+DJ18+DJ19</f>
        <v>#REF!</v>
      </c>
      <c r="DK107" s="161">
        <f t="shared" si="62"/>
        <v>29040</v>
      </c>
      <c r="DL107" s="162">
        <f>DL44+DL53+DL66+DL74+DL79+DL88+DL106+DL18+DL19</f>
        <v>17000</v>
      </c>
      <c r="DM107" s="161">
        <f t="shared" si="62"/>
        <v>2000</v>
      </c>
      <c r="DN107" s="162">
        <f>DN44+DN53+DN66+DN74+DN79+DN88+DN106+DN18+DN19</f>
        <v>5000</v>
      </c>
      <c r="DO107" s="161">
        <f t="shared" si="62"/>
        <v>1000</v>
      </c>
      <c r="DP107" s="162">
        <f>DP44+DP53+DP66+DP74+DP79+DP88+DP106+DP18+DP19</f>
        <v>1000</v>
      </c>
      <c r="DQ107" s="161">
        <f t="shared" si="62"/>
        <v>0</v>
      </c>
      <c r="DR107" s="162"/>
      <c r="DS107" s="161">
        <f t="shared" si="62"/>
        <v>15543</v>
      </c>
      <c r="DT107" s="162">
        <f>DT44+DT53+DT66+DT74+DT79+DT88+DT106+DT18+DT19</f>
        <v>23314</v>
      </c>
      <c r="DU107" s="161">
        <f t="shared" si="62"/>
        <v>200</v>
      </c>
      <c r="DV107" s="162">
        <f>DV44+DV53+DV66+DV74+DV79+DV88+DV106+DV18+DV19</f>
        <v>200</v>
      </c>
    </row>
  </sheetData>
  <mergeCells count="1">
    <mergeCell ref="A107:B107"/>
  </mergeCells>
  <pageMargins left="0.78749999999999998" right="0.78749999999999998" top="0.78749999999999998" bottom="0.78749999999999998" header="9.8611111111111108E-2" footer="9.8611111111111108E-2"/>
  <pageSetup paperSize="9" fitToHeight="0" orientation="portrait" useFirstPageNumber="1" r:id="rId1"/>
  <headerFooter alignWithMargins="0">
    <oddHeader>&amp;CRovatrend lista</oddHeader>
    <oddFooter>&amp;Coldal: &amp;P/&amp;N
exportálva: 2014-01-13 13:57 (2105 MP)</oddFooter>
  </headerFooter>
  <legacy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pageSetUpPr fitToPage="1"/>
  </sheetPr>
  <dimension ref="A1:IT172"/>
  <sheetViews>
    <sheetView topLeftCell="B1" zoomScale="150" zoomScaleNormal="150" zoomScaleSheetLayoutView="100" workbookViewId="0">
      <pane xSplit="2" ySplit="3" topLeftCell="D142" activePane="bottomRight" state="frozen"/>
      <selection activeCell="B1" sqref="B1"/>
      <selection pane="topRight" activeCell="D1" sqref="D1"/>
      <selection pane="bottomLeft" activeCell="B4" sqref="B4"/>
      <selection pane="bottomRight" activeCell="M120" sqref="M120"/>
    </sheetView>
  </sheetViews>
  <sheetFormatPr defaultColWidth="11.7109375" defaultRowHeight="14.1" customHeight="1" x14ac:dyDescent="0.25"/>
  <cols>
    <col min="1" max="1" width="5.7109375" style="4" customWidth="1"/>
    <col min="2" max="2" width="7.7109375" style="4" customWidth="1"/>
    <col min="3" max="3" width="30.7109375" style="5" customWidth="1"/>
    <col min="4" max="5" width="10.85546875" style="6" customWidth="1"/>
    <col min="6" max="6" width="9.85546875" style="6" bestFit="1" customWidth="1"/>
    <col min="7" max="7" width="9.85546875" style="6" customWidth="1"/>
    <col min="8" max="8" width="10.7109375" style="6" customWidth="1"/>
    <col min="9" max="9" width="12" style="6" customWidth="1"/>
    <col min="10" max="10" width="10.7109375" style="6" customWidth="1"/>
    <col min="11" max="11" width="12" style="6" customWidth="1"/>
    <col min="12" max="12" width="10.7109375" style="6" customWidth="1"/>
    <col min="13" max="13" width="12" style="6" customWidth="1"/>
    <col min="14" max="16384" width="11.7109375" style="5"/>
  </cols>
  <sheetData>
    <row r="1" spans="1:13" s="1" customFormat="1" ht="12.75" customHeight="1" x14ac:dyDescent="0.25">
      <c r="A1" s="1021" t="s">
        <v>603</v>
      </c>
      <c r="B1" s="1022"/>
      <c r="C1" s="1022"/>
      <c r="D1" s="1022"/>
      <c r="E1" s="1022"/>
      <c r="F1" s="1022"/>
      <c r="G1" s="1022"/>
      <c r="H1" s="1022"/>
      <c r="I1" s="1022"/>
      <c r="J1" s="1022"/>
      <c r="K1" s="1022"/>
      <c r="L1" s="1022"/>
      <c r="M1" s="1022"/>
    </row>
    <row r="2" spans="1:13" s="1" customFormat="1" ht="14.1" customHeight="1" x14ac:dyDescent="0.25">
      <c r="A2" s="974" t="s">
        <v>0</v>
      </c>
      <c r="B2" s="975" t="s">
        <v>1</v>
      </c>
      <c r="C2" s="974" t="s">
        <v>2</v>
      </c>
      <c r="D2" s="976" t="s">
        <v>260</v>
      </c>
      <c r="E2" s="969" t="s">
        <v>259</v>
      </c>
      <c r="F2" s="971" t="s">
        <v>600</v>
      </c>
      <c r="G2" s="972"/>
      <c r="H2" s="971" t="s">
        <v>601</v>
      </c>
      <c r="I2" s="972"/>
      <c r="J2" s="971" t="s">
        <v>602</v>
      </c>
      <c r="K2" s="972"/>
      <c r="L2" s="1019" t="s">
        <v>1264</v>
      </c>
      <c r="M2" s="1020"/>
    </row>
    <row r="3" spans="1:13" s="3" customFormat="1" ht="25.5" customHeight="1" x14ac:dyDescent="0.25">
      <c r="A3" s="974"/>
      <c r="B3" s="975"/>
      <c r="C3" s="974"/>
      <c r="D3" s="976"/>
      <c r="E3" s="970"/>
      <c r="F3" s="2" t="s">
        <v>263</v>
      </c>
      <c r="G3" s="2" t="s">
        <v>259</v>
      </c>
      <c r="H3" s="2" t="s">
        <v>260</v>
      </c>
      <c r="I3" s="2" t="s">
        <v>259</v>
      </c>
      <c r="J3" s="2" t="s">
        <v>260</v>
      </c>
      <c r="K3" s="2" t="s">
        <v>259</v>
      </c>
      <c r="L3" s="284" t="s">
        <v>260</v>
      </c>
      <c r="M3" s="284" t="s">
        <v>259</v>
      </c>
    </row>
    <row r="4" spans="1:13" ht="5.65" customHeight="1" x14ac:dyDescent="0.25"/>
    <row r="5" spans="1:13" ht="14.1" customHeight="1" x14ac:dyDescent="0.25">
      <c r="A5" s="973" t="s">
        <v>3</v>
      </c>
      <c r="B5" s="973"/>
      <c r="C5" s="973"/>
      <c r="D5" s="973"/>
      <c r="E5" s="973"/>
      <c r="F5" s="973"/>
      <c r="G5" s="973"/>
      <c r="H5" s="973"/>
      <c r="I5" s="973"/>
      <c r="J5" s="98"/>
      <c r="K5" s="98"/>
      <c r="L5" s="98"/>
      <c r="M5" s="98"/>
    </row>
    <row r="6" spans="1:13" s="3" customFormat="1" ht="12.75" customHeight="1" x14ac:dyDescent="0.25">
      <c r="A6" s="7" t="s">
        <v>4</v>
      </c>
      <c r="B6" s="7" t="s">
        <v>5</v>
      </c>
      <c r="C6" s="8" t="s">
        <v>6</v>
      </c>
      <c r="D6" s="9">
        <f>F6+H6+J6</f>
        <v>26790</v>
      </c>
      <c r="E6" s="9">
        <f>G6+I6+K6</f>
        <v>31757</v>
      </c>
      <c r="F6" s="10">
        <v>0</v>
      </c>
      <c r="G6" s="10">
        <v>0</v>
      </c>
      <c r="H6" s="10">
        <v>26790</v>
      </c>
      <c r="I6" s="10">
        <f>31385+7*3*12+2*5*12</f>
        <v>31757</v>
      </c>
      <c r="J6" s="10">
        <v>0</v>
      </c>
      <c r="K6" s="10">
        <v>0</v>
      </c>
      <c r="L6" s="10">
        <v>0</v>
      </c>
      <c r="M6" s="10">
        <v>0</v>
      </c>
    </row>
    <row r="7" spans="1:13" s="15" customFormat="1" ht="11.45" customHeight="1" x14ac:dyDescent="0.25">
      <c r="A7" s="11"/>
      <c r="B7" s="11"/>
      <c r="C7" s="12"/>
      <c r="D7" s="13"/>
      <c r="E7" s="13"/>
      <c r="F7" s="14"/>
      <c r="G7" s="14"/>
      <c r="H7" s="14"/>
      <c r="I7" s="14"/>
      <c r="J7" s="14"/>
      <c r="K7" s="14"/>
      <c r="L7" s="14"/>
      <c r="M7" s="14"/>
    </row>
    <row r="8" spans="1:13" s="3" customFormat="1" ht="12.75" customHeight="1" x14ac:dyDescent="0.25">
      <c r="A8" s="7" t="s">
        <v>7</v>
      </c>
      <c r="B8" s="7" t="s">
        <v>8</v>
      </c>
      <c r="C8" s="8" t="s">
        <v>9</v>
      </c>
      <c r="D8" s="9">
        <f t="shared" ref="D8:E10" si="0">F8+H8+J8</f>
        <v>0</v>
      </c>
      <c r="E8" s="9">
        <f t="shared" si="0"/>
        <v>0</v>
      </c>
      <c r="F8" s="10">
        <v>0</v>
      </c>
      <c r="G8" s="10">
        <v>0</v>
      </c>
      <c r="H8" s="10">
        <v>0</v>
      </c>
      <c r="I8" s="10">
        <v>0</v>
      </c>
      <c r="J8" s="10">
        <v>0</v>
      </c>
      <c r="K8" s="10">
        <v>0</v>
      </c>
      <c r="L8" s="10">
        <v>0</v>
      </c>
      <c r="M8" s="10">
        <v>0</v>
      </c>
    </row>
    <row r="9" spans="1:13" s="3" customFormat="1" ht="12.75" customHeight="1" x14ac:dyDescent="0.25">
      <c r="A9" s="7" t="s">
        <v>10</v>
      </c>
      <c r="B9" s="7" t="s">
        <v>11</v>
      </c>
      <c r="C9" s="8" t="s">
        <v>12</v>
      </c>
      <c r="D9" s="9">
        <f t="shared" si="0"/>
        <v>0</v>
      </c>
      <c r="E9" s="9">
        <f t="shared" si="0"/>
        <v>787</v>
      </c>
      <c r="F9" s="10">
        <v>0</v>
      </c>
      <c r="G9" s="10">
        <v>0</v>
      </c>
      <c r="H9" s="10">
        <v>0</v>
      </c>
      <c r="I9" s="10">
        <v>787</v>
      </c>
      <c r="J9" s="10">
        <v>0</v>
      </c>
      <c r="K9" s="10">
        <v>0</v>
      </c>
      <c r="L9" s="10">
        <v>0</v>
      </c>
      <c r="M9" s="10">
        <v>0</v>
      </c>
    </row>
    <row r="10" spans="1:13" s="3" customFormat="1" ht="12.75" customHeight="1" x14ac:dyDescent="0.25">
      <c r="A10" s="7" t="s">
        <v>13</v>
      </c>
      <c r="B10" s="7" t="s">
        <v>14</v>
      </c>
      <c r="C10" s="8" t="s">
        <v>15</v>
      </c>
      <c r="D10" s="9">
        <f t="shared" si="0"/>
        <v>350</v>
      </c>
      <c r="E10" s="9">
        <f t="shared" si="0"/>
        <v>350</v>
      </c>
      <c r="F10" s="10">
        <f>SUM(F11:F12)</f>
        <v>0</v>
      </c>
      <c r="G10" s="10">
        <f>SUM(G11:G12)</f>
        <v>0</v>
      </c>
      <c r="H10" s="10">
        <f>SUM(H11:H12)</f>
        <v>350</v>
      </c>
      <c r="I10" s="10">
        <f>SUM(I11:I12)</f>
        <v>350</v>
      </c>
      <c r="J10" s="10">
        <v>0</v>
      </c>
      <c r="K10" s="10">
        <v>0</v>
      </c>
      <c r="L10" s="10">
        <v>0</v>
      </c>
      <c r="M10" s="10">
        <v>0</v>
      </c>
    </row>
    <row r="11" spans="1:13" s="15" customFormat="1" ht="11.45" customHeight="1" x14ac:dyDescent="0.25">
      <c r="A11" s="11"/>
      <c r="B11" s="11"/>
      <c r="C11" s="12" t="s">
        <v>16</v>
      </c>
      <c r="D11" s="13"/>
      <c r="E11" s="13"/>
      <c r="F11" s="14"/>
      <c r="G11" s="14"/>
      <c r="H11" s="14">
        <v>0</v>
      </c>
      <c r="I11" s="14"/>
      <c r="J11" s="14"/>
      <c r="K11" s="14"/>
      <c r="L11" s="14"/>
      <c r="M11" s="14"/>
    </row>
    <row r="12" spans="1:13" s="15" customFormat="1" ht="11.45" customHeight="1" x14ac:dyDescent="0.25">
      <c r="A12" s="11"/>
      <c r="B12" s="11"/>
      <c r="C12" s="12" t="s">
        <v>17</v>
      </c>
      <c r="D12" s="13"/>
      <c r="E12" s="13"/>
      <c r="F12" s="14"/>
      <c r="G12" s="14"/>
      <c r="H12" s="14">
        <v>350</v>
      </c>
      <c r="I12" s="14">
        <v>350</v>
      </c>
      <c r="J12" s="14"/>
      <c r="K12" s="14"/>
      <c r="L12" s="14"/>
      <c r="M12" s="14"/>
    </row>
    <row r="13" spans="1:13" s="3" customFormat="1" ht="12.75" customHeight="1" x14ac:dyDescent="0.25">
      <c r="A13" s="7" t="s">
        <v>18</v>
      </c>
      <c r="B13" s="7" t="s">
        <v>19</v>
      </c>
      <c r="C13" s="8" t="s">
        <v>20</v>
      </c>
      <c r="D13" s="9">
        <f t="shared" ref="D13:E15" si="1">F13+H13+J13</f>
        <v>0</v>
      </c>
      <c r="E13" s="9">
        <f t="shared" si="1"/>
        <v>0</v>
      </c>
      <c r="F13" s="10">
        <v>0</v>
      </c>
      <c r="G13" s="10">
        <v>0</v>
      </c>
      <c r="H13" s="10">
        <v>0</v>
      </c>
      <c r="I13" s="10">
        <v>0</v>
      </c>
      <c r="J13" s="10">
        <v>0</v>
      </c>
      <c r="K13" s="10">
        <v>0</v>
      </c>
      <c r="L13" s="10">
        <v>0</v>
      </c>
      <c r="M13" s="10">
        <v>0</v>
      </c>
    </row>
    <row r="14" spans="1:13" s="3" customFormat="1" ht="12.75" customHeight="1" x14ac:dyDescent="0.25">
      <c r="A14" s="7" t="s">
        <v>21</v>
      </c>
      <c r="B14" s="7" t="s">
        <v>22</v>
      </c>
      <c r="C14" s="8" t="s">
        <v>23</v>
      </c>
      <c r="D14" s="9">
        <f t="shared" si="1"/>
        <v>0</v>
      </c>
      <c r="E14" s="9">
        <f t="shared" si="1"/>
        <v>0</v>
      </c>
      <c r="F14" s="10">
        <v>0</v>
      </c>
      <c r="G14" s="10">
        <v>0</v>
      </c>
      <c r="H14" s="10">
        <v>0</v>
      </c>
      <c r="I14" s="10">
        <v>0</v>
      </c>
      <c r="J14" s="10">
        <v>0</v>
      </c>
      <c r="K14" s="10">
        <v>0</v>
      </c>
      <c r="L14" s="10">
        <v>0</v>
      </c>
      <c r="M14" s="10">
        <v>0</v>
      </c>
    </row>
    <row r="15" spans="1:13" s="3" customFormat="1" ht="12.75" customHeight="1" x14ac:dyDescent="0.25">
      <c r="A15" s="7" t="s">
        <v>24</v>
      </c>
      <c r="B15" s="7" t="s">
        <v>25</v>
      </c>
      <c r="C15" s="8" t="s">
        <v>26</v>
      </c>
      <c r="D15" s="9">
        <f t="shared" si="1"/>
        <v>1200</v>
      </c>
      <c r="E15" s="9">
        <f t="shared" si="1"/>
        <v>1344</v>
      </c>
      <c r="F15" s="10">
        <v>0</v>
      </c>
      <c r="G15" s="10">
        <f>G16</f>
        <v>0</v>
      </c>
      <c r="H15" s="10">
        <f>H16</f>
        <v>1200</v>
      </c>
      <c r="I15" s="10">
        <f>I16</f>
        <v>1344</v>
      </c>
      <c r="J15" s="10">
        <v>0</v>
      </c>
      <c r="K15" s="10">
        <v>0</v>
      </c>
      <c r="L15" s="10">
        <v>0</v>
      </c>
      <c r="M15" s="10">
        <v>0</v>
      </c>
    </row>
    <row r="16" spans="1:13" s="15" customFormat="1" ht="11.45" customHeight="1" x14ac:dyDescent="0.25">
      <c r="A16" s="11"/>
      <c r="B16" s="11"/>
      <c r="C16" s="12" t="s">
        <v>278</v>
      </c>
      <c r="D16" s="13"/>
      <c r="E16" s="13"/>
      <c r="F16" s="14"/>
      <c r="G16" s="14"/>
      <c r="H16" s="14">
        <v>1200</v>
      </c>
      <c r="I16" s="14">
        <v>1344</v>
      </c>
      <c r="J16" s="14"/>
      <c r="K16" s="14"/>
      <c r="L16" s="14"/>
      <c r="M16" s="14"/>
    </row>
    <row r="17" spans="1:13" s="3" customFormat="1" ht="12.75" customHeight="1" x14ac:dyDescent="0.25">
      <c r="A17" s="7" t="s">
        <v>27</v>
      </c>
      <c r="B17" s="7" t="s">
        <v>28</v>
      </c>
      <c r="C17" s="8" t="s">
        <v>29</v>
      </c>
      <c r="D17" s="9">
        <f t="shared" ref="D17:E19" si="2">F17+H17+J17</f>
        <v>0</v>
      </c>
      <c r="E17" s="9">
        <f t="shared" si="2"/>
        <v>0</v>
      </c>
      <c r="F17" s="10">
        <v>0</v>
      </c>
      <c r="G17" s="10">
        <v>0</v>
      </c>
      <c r="H17" s="10">
        <v>0</v>
      </c>
      <c r="I17" s="10">
        <v>0</v>
      </c>
      <c r="J17" s="10">
        <v>0</v>
      </c>
      <c r="K17" s="10">
        <v>0</v>
      </c>
      <c r="L17" s="10">
        <v>0</v>
      </c>
      <c r="M17" s="10">
        <v>0</v>
      </c>
    </row>
    <row r="18" spans="1:13" s="3" customFormat="1" ht="12.75" customHeight="1" x14ac:dyDescent="0.25">
      <c r="A18" s="7" t="s">
        <v>30</v>
      </c>
      <c r="B18" s="7" t="s">
        <v>31</v>
      </c>
      <c r="C18" s="8" t="s">
        <v>32</v>
      </c>
      <c r="D18" s="9">
        <f t="shared" si="2"/>
        <v>1222</v>
      </c>
      <c r="E18" s="9">
        <f t="shared" si="2"/>
        <v>1016</v>
      </c>
      <c r="F18" s="10">
        <v>0</v>
      </c>
      <c r="G18" s="10">
        <v>0</v>
      </c>
      <c r="H18" s="10">
        <v>1222</v>
      </c>
      <c r="I18" s="10">
        <v>1016</v>
      </c>
      <c r="J18" s="10">
        <v>0</v>
      </c>
      <c r="K18" s="10">
        <v>0</v>
      </c>
      <c r="L18" s="10">
        <v>0</v>
      </c>
      <c r="M18" s="10">
        <v>0</v>
      </c>
    </row>
    <row r="19" spans="1:13" s="3" customFormat="1" ht="12.75" customHeight="1" x14ac:dyDescent="0.25">
      <c r="A19" s="7" t="s">
        <v>33</v>
      </c>
      <c r="B19" s="7" t="s">
        <v>34</v>
      </c>
      <c r="C19" s="8" t="s">
        <v>35</v>
      </c>
      <c r="D19" s="9">
        <f t="shared" si="2"/>
        <v>0</v>
      </c>
      <c r="E19" s="9">
        <f t="shared" si="2"/>
        <v>168</v>
      </c>
      <c r="F19" s="10">
        <v>0</v>
      </c>
      <c r="G19" s="10">
        <f>G20</f>
        <v>0</v>
      </c>
      <c r="H19" s="10">
        <v>0</v>
      </c>
      <c r="I19" s="10">
        <f>I20</f>
        <v>168</v>
      </c>
      <c r="J19" s="10">
        <v>0</v>
      </c>
      <c r="K19" s="10">
        <v>0</v>
      </c>
      <c r="L19" s="10">
        <v>0</v>
      </c>
      <c r="M19" s="10">
        <v>0</v>
      </c>
    </row>
    <row r="20" spans="1:13" s="3" customFormat="1" ht="12.75" customHeight="1" x14ac:dyDescent="0.25">
      <c r="A20" s="11"/>
      <c r="B20" s="11"/>
      <c r="C20" s="12" t="s">
        <v>1266</v>
      </c>
      <c r="D20" s="13"/>
      <c r="E20" s="13"/>
      <c r="F20" s="14"/>
      <c r="G20" s="14"/>
      <c r="H20" s="14"/>
      <c r="I20" s="14">
        <v>168</v>
      </c>
      <c r="J20" s="14"/>
      <c r="K20" s="14"/>
      <c r="L20" s="14"/>
      <c r="M20" s="14"/>
    </row>
    <row r="21" spans="1:13" s="3" customFormat="1" ht="12.75" customHeight="1" x14ac:dyDescent="0.25">
      <c r="A21" s="7" t="s">
        <v>36</v>
      </c>
      <c r="B21" s="7" t="s">
        <v>37</v>
      </c>
      <c r="C21" s="8" t="s">
        <v>38</v>
      </c>
      <c r="D21" s="9">
        <f>F21+H21+J21</f>
        <v>0</v>
      </c>
      <c r="E21" s="9">
        <f>G21+I21+K21</f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</row>
    <row r="22" spans="1:13" s="3" customFormat="1" ht="12.75" customHeight="1" x14ac:dyDescent="0.25">
      <c r="A22" s="7" t="s">
        <v>39</v>
      </c>
      <c r="B22" s="7" t="s">
        <v>40</v>
      </c>
      <c r="C22" s="8" t="s">
        <v>41</v>
      </c>
      <c r="D22" s="9">
        <f>F22+H22+J22</f>
        <v>0</v>
      </c>
      <c r="E22" s="9">
        <f>G22+I22+K22</f>
        <v>0</v>
      </c>
      <c r="F22" s="10">
        <f>F23</f>
        <v>0</v>
      </c>
      <c r="G22" s="10">
        <f>G23</f>
        <v>0</v>
      </c>
      <c r="H22" s="10">
        <f>H23</f>
        <v>0</v>
      </c>
      <c r="I22" s="10">
        <f>I23</f>
        <v>0</v>
      </c>
      <c r="J22" s="10">
        <v>0</v>
      </c>
      <c r="K22" s="10">
        <v>0</v>
      </c>
      <c r="L22" s="10">
        <v>0</v>
      </c>
      <c r="M22" s="10">
        <v>0</v>
      </c>
    </row>
    <row r="23" spans="1:13" s="3" customFormat="1" ht="12.75" customHeight="1" x14ac:dyDescent="0.25">
      <c r="A23" s="11"/>
      <c r="B23" s="11"/>
      <c r="C23" s="12" t="s">
        <v>280</v>
      </c>
      <c r="D23" s="13"/>
      <c r="E23" s="13"/>
      <c r="F23" s="14">
        <v>0</v>
      </c>
      <c r="G23" s="14">
        <f>ROUND(G6*0.004,0)</f>
        <v>0</v>
      </c>
      <c r="H23" s="14"/>
      <c r="I23" s="14"/>
      <c r="J23" s="14"/>
      <c r="K23" s="14"/>
      <c r="L23" s="14"/>
      <c r="M23" s="14"/>
    </row>
    <row r="24" spans="1:13" s="3" customFormat="1" ht="12.75" customHeight="1" x14ac:dyDescent="0.25">
      <c r="A24" s="7" t="s">
        <v>42</v>
      </c>
      <c r="B24" s="7" t="s">
        <v>43</v>
      </c>
      <c r="C24" s="8" t="s">
        <v>44</v>
      </c>
      <c r="D24" s="9">
        <f>F24+H24+J24</f>
        <v>2959</v>
      </c>
      <c r="E24" s="9">
        <f>G24+I24+K24</f>
        <v>953</v>
      </c>
      <c r="F24" s="10">
        <v>0</v>
      </c>
      <c r="G24" s="10">
        <f>G25</f>
        <v>0</v>
      </c>
      <c r="H24" s="10">
        <v>2959</v>
      </c>
      <c r="I24" s="10">
        <f>I25</f>
        <v>953</v>
      </c>
      <c r="J24" s="10">
        <v>0</v>
      </c>
      <c r="K24" s="10">
        <v>0</v>
      </c>
      <c r="L24" s="10">
        <v>0</v>
      </c>
      <c r="M24" s="10">
        <v>0</v>
      </c>
    </row>
    <row r="25" spans="1:13" s="15" customFormat="1" ht="11.45" customHeight="1" x14ac:dyDescent="0.25">
      <c r="A25" s="11"/>
      <c r="B25" s="11"/>
      <c r="C25" s="12" t="s">
        <v>1268</v>
      </c>
      <c r="D25" s="13"/>
      <c r="E25" s="13"/>
      <c r="F25" s="14"/>
      <c r="G25" s="14"/>
      <c r="H25" s="14"/>
      <c r="I25" s="14">
        <f>ROUND(I6*0.03,0)</f>
        <v>953</v>
      </c>
      <c r="J25" s="14"/>
      <c r="K25" s="14"/>
      <c r="L25" s="14"/>
      <c r="M25" s="14"/>
    </row>
    <row r="26" spans="1:13" s="3" customFormat="1" ht="12.75" customHeight="1" x14ac:dyDescent="0.25">
      <c r="A26" s="16" t="s">
        <v>45</v>
      </c>
      <c r="B26" s="16" t="s">
        <v>46</v>
      </c>
      <c r="C26" s="17" t="s">
        <v>47</v>
      </c>
      <c r="D26" s="18">
        <f t="shared" ref="D26:K26" si="3">D6+D8+D9+D10+D13+D14+D15+D17+D18+D19+D21+D22+D24</f>
        <v>32521</v>
      </c>
      <c r="E26" s="18">
        <f t="shared" si="3"/>
        <v>36375</v>
      </c>
      <c r="F26" s="18">
        <f t="shared" si="3"/>
        <v>0</v>
      </c>
      <c r="G26" s="18">
        <f t="shared" si="3"/>
        <v>0</v>
      </c>
      <c r="H26" s="18">
        <f t="shared" si="3"/>
        <v>32521</v>
      </c>
      <c r="I26" s="18">
        <f t="shared" si="3"/>
        <v>36375</v>
      </c>
      <c r="J26" s="18">
        <f t="shared" si="3"/>
        <v>0</v>
      </c>
      <c r="K26" s="18">
        <f t="shared" si="3"/>
        <v>0</v>
      </c>
      <c r="L26" s="18">
        <f>L6+L8+L9+L10+L13+L14+L15+L17+L18+L19+L21+L22+L24</f>
        <v>0</v>
      </c>
      <c r="M26" s="18">
        <f>M6+M8+M9+M10+M13+M14+M15+M17+M18+M19+M21+M22+M24</f>
        <v>0</v>
      </c>
    </row>
    <row r="27" spans="1:13" s="3" customFormat="1" ht="12.75" customHeight="1" x14ac:dyDescent="0.25">
      <c r="A27" s="7" t="s">
        <v>48</v>
      </c>
      <c r="B27" s="7" t="s">
        <v>49</v>
      </c>
      <c r="C27" s="8" t="s">
        <v>50</v>
      </c>
      <c r="D27" s="9">
        <f>F27+H27+J27</f>
        <v>0</v>
      </c>
      <c r="E27" s="9">
        <f>G27+I27+K27</f>
        <v>0</v>
      </c>
      <c r="F27" s="10">
        <v>0</v>
      </c>
      <c r="G27" s="10">
        <v>0</v>
      </c>
      <c r="H27" s="10">
        <v>0</v>
      </c>
      <c r="I27" s="10">
        <v>0</v>
      </c>
      <c r="J27" s="10">
        <v>0</v>
      </c>
      <c r="K27" s="10">
        <v>0</v>
      </c>
      <c r="L27" s="10">
        <v>0</v>
      </c>
      <c r="M27" s="10">
        <v>0</v>
      </c>
    </row>
    <row r="28" spans="1:13" s="3" customFormat="1" ht="12.75" customHeight="1" x14ac:dyDescent="0.25">
      <c r="A28" s="7" t="s">
        <v>51</v>
      </c>
      <c r="B28" s="7" t="s">
        <v>52</v>
      </c>
      <c r="C28" s="8" t="s">
        <v>53</v>
      </c>
      <c r="D28" s="9">
        <f>F28+H28+J28</f>
        <v>1700</v>
      </c>
      <c r="E28" s="9">
        <f>G28+I28+K28</f>
        <v>1700</v>
      </c>
      <c r="F28" s="10">
        <f t="shared" ref="F28:M28" si="4">F29</f>
        <v>0</v>
      </c>
      <c r="G28" s="10">
        <f t="shared" si="4"/>
        <v>0</v>
      </c>
      <c r="H28" s="10">
        <f t="shared" si="4"/>
        <v>1700</v>
      </c>
      <c r="I28" s="10">
        <f t="shared" si="4"/>
        <v>1700</v>
      </c>
      <c r="J28" s="10">
        <f t="shared" si="4"/>
        <v>0</v>
      </c>
      <c r="K28" s="10">
        <f t="shared" si="4"/>
        <v>0</v>
      </c>
      <c r="L28" s="10">
        <f t="shared" si="4"/>
        <v>0</v>
      </c>
      <c r="M28" s="10">
        <f t="shared" si="4"/>
        <v>0</v>
      </c>
    </row>
    <row r="29" spans="1:13" s="15" customFormat="1" ht="11.45" customHeight="1" x14ac:dyDescent="0.25">
      <c r="A29" s="11"/>
      <c r="B29" s="11"/>
      <c r="C29" s="12" t="s">
        <v>282</v>
      </c>
      <c r="D29" s="13"/>
      <c r="E29" s="13"/>
      <c r="F29" s="14"/>
      <c r="G29" s="14"/>
      <c r="H29" s="14">
        <v>1700</v>
      </c>
      <c r="I29" s="14">
        <v>1700</v>
      </c>
      <c r="J29" s="14"/>
      <c r="K29" s="14"/>
      <c r="L29" s="14"/>
      <c r="M29" s="14"/>
    </row>
    <row r="30" spans="1:13" s="3" customFormat="1" ht="12.75" customHeight="1" x14ac:dyDescent="0.25">
      <c r="A30" s="7" t="s">
        <v>54</v>
      </c>
      <c r="B30" s="7" t="s">
        <v>55</v>
      </c>
      <c r="C30" s="8" t="s">
        <v>285</v>
      </c>
      <c r="D30" s="9">
        <f>F30+H30+J30</f>
        <v>250</v>
      </c>
      <c r="E30" s="9">
        <f>G30+I30+K30+M30</f>
        <v>1250</v>
      </c>
      <c r="F30" s="10">
        <f t="shared" ref="F30:M30" si="5">F31</f>
        <v>130</v>
      </c>
      <c r="G30" s="10">
        <f t="shared" si="5"/>
        <v>130</v>
      </c>
      <c r="H30" s="10">
        <f t="shared" si="5"/>
        <v>40</v>
      </c>
      <c r="I30" s="10">
        <f t="shared" si="5"/>
        <v>40</v>
      </c>
      <c r="J30" s="10">
        <f t="shared" si="5"/>
        <v>80</v>
      </c>
      <c r="K30" s="10">
        <f t="shared" si="5"/>
        <v>80</v>
      </c>
      <c r="L30" s="10">
        <f t="shared" si="5"/>
        <v>0</v>
      </c>
      <c r="M30" s="10">
        <f t="shared" si="5"/>
        <v>1000</v>
      </c>
    </row>
    <row r="31" spans="1:13" s="15" customFormat="1" ht="11.45" customHeight="1" x14ac:dyDescent="0.25">
      <c r="A31" s="11"/>
      <c r="B31" s="11"/>
      <c r="C31" s="12" t="s">
        <v>283</v>
      </c>
      <c r="D31" s="13"/>
      <c r="E31" s="13"/>
      <c r="F31" s="14">
        <v>130</v>
      </c>
      <c r="G31" s="14">
        <v>130</v>
      </c>
      <c r="H31" s="14">
        <v>40</v>
      </c>
      <c r="I31" s="14">
        <v>40</v>
      </c>
      <c r="J31" s="14">
        <v>80</v>
      </c>
      <c r="K31" s="14">
        <v>80</v>
      </c>
      <c r="L31" s="14">
        <v>0</v>
      </c>
      <c r="M31" s="14">
        <v>1000</v>
      </c>
    </row>
    <row r="32" spans="1:13" s="3" customFormat="1" ht="12.75" customHeight="1" x14ac:dyDescent="0.25">
      <c r="A32" s="16" t="s">
        <v>56</v>
      </c>
      <c r="B32" s="16" t="s">
        <v>57</v>
      </c>
      <c r="C32" s="17" t="s">
        <v>58</v>
      </c>
      <c r="D32" s="18">
        <f>D27+D28+D30</f>
        <v>1950</v>
      </c>
      <c r="E32" s="18">
        <f t="shared" ref="E32:J32" si="6">E27+E28+E30</f>
        <v>2950</v>
      </c>
      <c r="F32" s="18">
        <f t="shared" si="6"/>
        <v>130</v>
      </c>
      <c r="G32" s="18">
        <f t="shared" si="6"/>
        <v>130</v>
      </c>
      <c r="H32" s="18">
        <f t="shared" si="6"/>
        <v>1740</v>
      </c>
      <c r="I32" s="18">
        <f t="shared" si="6"/>
        <v>1740</v>
      </c>
      <c r="J32" s="18">
        <f t="shared" si="6"/>
        <v>80</v>
      </c>
      <c r="K32" s="18">
        <f>K27+K28+K30</f>
        <v>80</v>
      </c>
      <c r="L32" s="18">
        <f>L27+L28+L30</f>
        <v>0</v>
      </c>
      <c r="M32" s="18">
        <f>M27+M28+M30</f>
        <v>1000</v>
      </c>
    </row>
    <row r="33" spans="1:13" s="3" customFormat="1" ht="12.75" customHeight="1" x14ac:dyDescent="0.25">
      <c r="A33" s="20" t="s">
        <v>59</v>
      </c>
      <c r="B33" s="20" t="s">
        <v>60</v>
      </c>
      <c r="C33" s="21" t="s">
        <v>286</v>
      </c>
      <c r="D33" s="22">
        <f>D26+D32</f>
        <v>34471</v>
      </c>
      <c r="E33" s="22">
        <f t="shared" ref="E33:J33" si="7">E26+E32</f>
        <v>39325</v>
      </c>
      <c r="F33" s="22">
        <f t="shared" si="7"/>
        <v>130</v>
      </c>
      <c r="G33" s="22">
        <f t="shared" si="7"/>
        <v>130</v>
      </c>
      <c r="H33" s="22">
        <f t="shared" si="7"/>
        <v>34261</v>
      </c>
      <c r="I33" s="22">
        <f t="shared" si="7"/>
        <v>38115</v>
      </c>
      <c r="J33" s="22">
        <f t="shared" si="7"/>
        <v>80</v>
      </c>
      <c r="K33" s="22">
        <f>K26+K32</f>
        <v>80</v>
      </c>
      <c r="L33" s="22">
        <f>L26+L32</f>
        <v>0</v>
      </c>
      <c r="M33" s="22">
        <f>M26+M32</f>
        <v>1000</v>
      </c>
    </row>
    <row r="34" spans="1:13" s="15" customFormat="1" ht="11.45" customHeight="1" x14ac:dyDescent="0.25">
      <c r="A34" s="11"/>
      <c r="B34" s="11"/>
      <c r="C34" s="12" t="s">
        <v>284</v>
      </c>
      <c r="D34" s="13">
        <f>H34+F34+J34</f>
        <v>8540</v>
      </c>
      <c r="E34" s="13">
        <f>I34+G34+K34</f>
        <v>9549</v>
      </c>
      <c r="F34" s="13">
        <v>0</v>
      </c>
      <c r="G34" s="13">
        <f>ROUND((G6+G8+G9+G10+G13+G14+G22+G28)*0.27,0)</f>
        <v>0</v>
      </c>
      <c r="H34" s="13">
        <v>8540</v>
      </c>
      <c r="I34" s="13">
        <f>ROUND((I6+I8+I9+I13+I14+I19+I24+I27+I28)*0.27,0)</f>
        <v>9549</v>
      </c>
      <c r="J34" s="13">
        <v>0</v>
      </c>
      <c r="K34" s="13">
        <v>0</v>
      </c>
      <c r="L34" s="13">
        <v>0</v>
      </c>
      <c r="M34" s="13">
        <v>0</v>
      </c>
    </row>
    <row r="35" spans="1:13" s="15" customFormat="1" ht="11.45" customHeight="1" x14ac:dyDescent="0.25">
      <c r="A35" s="11"/>
      <c r="B35" s="11"/>
      <c r="C35" s="12" t="s">
        <v>61</v>
      </c>
      <c r="D35" s="13">
        <f>H35+F35+J35</f>
        <v>281</v>
      </c>
      <c r="E35" s="13">
        <f>I35+G35+K35+M35</f>
        <v>626</v>
      </c>
      <c r="F35" s="14">
        <v>42</v>
      </c>
      <c r="G35" s="13">
        <f>ROUND(G15*1.19*0.14+(G30+G24)*1.19*0.27,0)</f>
        <v>42</v>
      </c>
      <c r="H35" s="14">
        <v>213</v>
      </c>
      <c r="I35" s="13">
        <f>ROUND(I15*1.19*0.14+I31*1.19*0.27,0)</f>
        <v>237</v>
      </c>
      <c r="J35" s="14">
        <v>26</v>
      </c>
      <c r="K35" s="14">
        <v>26</v>
      </c>
      <c r="L35" s="14">
        <v>0</v>
      </c>
      <c r="M35" s="14">
        <v>321</v>
      </c>
    </row>
    <row r="36" spans="1:13" s="15" customFormat="1" ht="11.45" customHeight="1" x14ac:dyDescent="0.25">
      <c r="A36" s="11"/>
      <c r="B36" s="11"/>
      <c r="C36" s="12" t="s">
        <v>62</v>
      </c>
      <c r="D36" s="13">
        <f>H36+F36+J36</f>
        <v>0</v>
      </c>
      <c r="E36" s="13">
        <f>I36+G36+K36</f>
        <v>0</v>
      </c>
      <c r="F36" s="14">
        <v>0</v>
      </c>
      <c r="G36" s="14"/>
      <c r="H36" s="14"/>
      <c r="I36" s="14"/>
      <c r="J36" s="14">
        <v>0</v>
      </c>
      <c r="K36" s="14">
        <v>0</v>
      </c>
      <c r="L36" s="14">
        <v>0</v>
      </c>
      <c r="M36" s="14">
        <v>0</v>
      </c>
    </row>
    <row r="37" spans="1:13" s="15" customFormat="1" ht="11.45" customHeight="1" x14ac:dyDescent="0.25">
      <c r="A37" s="11"/>
      <c r="B37" s="11"/>
      <c r="C37" s="12" t="s">
        <v>63</v>
      </c>
      <c r="D37" s="13">
        <f>H37+F37+J37</f>
        <v>276</v>
      </c>
      <c r="E37" s="13">
        <f>I37+G37+K37+M37</f>
        <v>494</v>
      </c>
      <c r="F37" s="14">
        <v>25</v>
      </c>
      <c r="G37" s="14">
        <f>ROUND((G31+G25+G16)*1.19*0.16,0)</f>
        <v>25</v>
      </c>
      <c r="H37" s="14">
        <v>236</v>
      </c>
      <c r="I37" s="14">
        <f>ROUND((I15+I31)*1.19*0.16,0)</f>
        <v>264</v>
      </c>
      <c r="J37" s="14">
        <v>15</v>
      </c>
      <c r="K37" s="14">
        <v>15</v>
      </c>
      <c r="L37" s="14">
        <v>0</v>
      </c>
      <c r="M37" s="14">
        <v>190</v>
      </c>
    </row>
    <row r="38" spans="1:13" s="3" customFormat="1" ht="12.75" customHeight="1" x14ac:dyDescent="0.25">
      <c r="A38" s="20" t="s">
        <v>64</v>
      </c>
      <c r="B38" s="20" t="s">
        <v>65</v>
      </c>
      <c r="C38" s="21" t="s">
        <v>287</v>
      </c>
      <c r="D38" s="22">
        <f>D34+D35+D36+D37</f>
        <v>9097</v>
      </c>
      <c r="E38" s="22">
        <f t="shared" ref="E38:J38" si="8">E34+E35+E36+E37</f>
        <v>10669</v>
      </c>
      <c r="F38" s="22">
        <f t="shared" si="8"/>
        <v>67</v>
      </c>
      <c r="G38" s="22">
        <f t="shared" si="8"/>
        <v>67</v>
      </c>
      <c r="H38" s="22">
        <f t="shared" si="8"/>
        <v>8989</v>
      </c>
      <c r="I38" s="22">
        <f t="shared" si="8"/>
        <v>10050</v>
      </c>
      <c r="J38" s="22">
        <f t="shared" si="8"/>
        <v>41</v>
      </c>
      <c r="K38" s="22">
        <f>K34+K35+K36+K37</f>
        <v>41</v>
      </c>
      <c r="L38" s="22">
        <f>L34+L35+L36+L37</f>
        <v>0</v>
      </c>
      <c r="M38" s="22">
        <f>M34+M35+M36+M37</f>
        <v>511</v>
      </c>
    </row>
    <row r="39" spans="1:13" s="3" customFormat="1" ht="14.1" customHeight="1" x14ac:dyDescent="0.25">
      <c r="A39" s="966" t="s">
        <v>66</v>
      </c>
      <c r="B39" s="967"/>
      <c r="C39" s="968"/>
      <c r="D39" s="29">
        <f>D33+D38</f>
        <v>43568</v>
      </c>
      <c r="E39" s="29">
        <f t="shared" ref="E39:J39" si="9">E33+E38</f>
        <v>49994</v>
      </c>
      <c r="F39" s="29">
        <f t="shared" si="9"/>
        <v>197</v>
      </c>
      <c r="G39" s="29">
        <f t="shared" si="9"/>
        <v>197</v>
      </c>
      <c r="H39" s="29">
        <f t="shared" si="9"/>
        <v>43250</v>
      </c>
      <c r="I39" s="29">
        <f t="shared" si="9"/>
        <v>48165</v>
      </c>
      <c r="J39" s="29">
        <f t="shared" si="9"/>
        <v>121</v>
      </c>
      <c r="K39" s="29">
        <f>K33+K38</f>
        <v>121</v>
      </c>
      <c r="L39" s="29">
        <f>L33+L38</f>
        <v>0</v>
      </c>
      <c r="M39" s="29">
        <f>M33+M38</f>
        <v>1511</v>
      </c>
    </row>
    <row r="40" spans="1:13" s="1" customFormat="1" ht="12.75" customHeight="1" x14ac:dyDescent="0.25">
      <c r="A40" s="1001" t="s">
        <v>604</v>
      </c>
      <c r="B40" s="1002"/>
      <c r="C40" s="1002"/>
      <c r="D40" s="1002"/>
      <c r="E40" s="1002"/>
      <c r="F40" s="1002"/>
      <c r="G40" s="1002"/>
      <c r="H40" s="1002"/>
      <c r="I40" s="1002"/>
      <c r="J40" s="1002"/>
      <c r="K40" s="1002"/>
      <c r="L40" s="1002"/>
      <c r="M40" s="1002"/>
    </row>
    <row r="41" spans="1:13" s="1" customFormat="1" ht="14.1" customHeight="1" x14ac:dyDescent="0.25">
      <c r="A41" s="974" t="s">
        <v>0</v>
      </c>
      <c r="B41" s="975" t="s">
        <v>1</v>
      </c>
      <c r="C41" s="974" t="s">
        <v>2</v>
      </c>
      <c r="D41" s="976" t="s">
        <v>260</v>
      </c>
      <c r="E41" s="969" t="s">
        <v>259</v>
      </c>
      <c r="F41" s="971" t="s">
        <v>600</v>
      </c>
      <c r="G41" s="972"/>
      <c r="H41" s="971" t="s">
        <v>601</v>
      </c>
      <c r="I41" s="972"/>
      <c r="J41" s="971" t="s">
        <v>602</v>
      </c>
      <c r="K41" s="972"/>
      <c r="L41" s="1019" t="s">
        <v>1265</v>
      </c>
      <c r="M41" s="1020"/>
    </row>
    <row r="42" spans="1:13" s="3" customFormat="1" ht="33" customHeight="1" x14ac:dyDescent="0.25">
      <c r="A42" s="974"/>
      <c r="B42" s="975"/>
      <c r="C42" s="974"/>
      <c r="D42" s="976"/>
      <c r="E42" s="970"/>
      <c r="F42" s="2" t="s">
        <v>263</v>
      </c>
      <c r="G42" s="2" t="s">
        <v>259</v>
      </c>
      <c r="H42" s="2" t="s">
        <v>260</v>
      </c>
      <c r="I42" s="2" t="s">
        <v>259</v>
      </c>
      <c r="J42" s="2" t="s">
        <v>260</v>
      </c>
      <c r="K42" s="2" t="s">
        <v>259</v>
      </c>
      <c r="L42" s="284" t="s">
        <v>260</v>
      </c>
      <c r="M42" s="284" t="s">
        <v>259</v>
      </c>
    </row>
    <row r="43" spans="1:13" ht="5.65" customHeight="1" x14ac:dyDescent="0.25"/>
    <row r="44" spans="1:13" ht="14.1" customHeight="1" x14ac:dyDescent="0.25">
      <c r="A44" s="973" t="s">
        <v>288</v>
      </c>
      <c r="B44" s="973"/>
      <c r="C44" s="973"/>
      <c r="D44" s="973"/>
      <c r="E44" s="973"/>
      <c r="F44" s="973"/>
      <c r="G44" s="973"/>
      <c r="H44" s="973"/>
      <c r="I44" s="973"/>
      <c r="J44" s="98"/>
      <c r="K44" s="98"/>
      <c r="L44" s="98"/>
      <c r="M44" s="98"/>
    </row>
    <row r="45" spans="1:13" s="3" customFormat="1" ht="14.1" customHeight="1" x14ac:dyDescent="0.25">
      <c r="A45" s="7" t="s">
        <v>67</v>
      </c>
      <c r="B45" s="7" t="s">
        <v>68</v>
      </c>
      <c r="C45" s="8" t="s">
        <v>69</v>
      </c>
      <c r="D45" s="9">
        <f>F45+H45+J45</f>
        <v>25</v>
      </c>
      <c r="E45" s="9">
        <f>G45+I45+K45</f>
        <v>40</v>
      </c>
      <c r="F45" s="10">
        <f t="shared" ref="F45:M45" si="10">SUM(F46:F51)</f>
        <v>0</v>
      </c>
      <c r="G45" s="10">
        <f t="shared" si="10"/>
        <v>0</v>
      </c>
      <c r="H45" s="10">
        <f t="shared" si="10"/>
        <v>25</v>
      </c>
      <c r="I45" s="10">
        <f t="shared" si="10"/>
        <v>40</v>
      </c>
      <c r="J45" s="10">
        <f t="shared" si="10"/>
        <v>0</v>
      </c>
      <c r="K45" s="10">
        <f t="shared" si="10"/>
        <v>0</v>
      </c>
      <c r="L45" s="10">
        <f t="shared" si="10"/>
        <v>0</v>
      </c>
      <c r="M45" s="10">
        <f t="shared" si="10"/>
        <v>0</v>
      </c>
    </row>
    <row r="46" spans="1:13" ht="14.1" customHeight="1" x14ac:dyDescent="0.25">
      <c r="A46" s="24"/>
      <c r="B46" s="24"/>
      <c r="C46" s="25" t="s">
        <v>70</v>
      </c>
      <c r="D46" s="26"/>
      <c r="E46" s="26"/>
      <c r="F46" s="26"/>
      <c r="G46" s="26"/>
      <c r="H46" s="26">
        <v>25</v>
      </c>
      <c r="I46" s="26">
        <v>30</v>
      </c>
      <c r="J46" s="26"/>
      <c r="K46" s="26"/>
      <c r="L46" s="26"/>
      <c r="M46" s="26"/>
    </row>
    <row r="47" spans="1:13" ht="14.1" customHeight="1" x14ac:dyDescent="0.25">
      <c r="A47" s="24"/>
      <c r="B47" s="24"/>
      <c r="C47" s="25" t="s">
        <v>71</v>
      </c>
      <c r="D47" s="26"/>
      <c r="E47" s="26"/>
      <c r="F47" s="26"/>
      <c r="G47" s="26"/>
      <c r="H47" s="26"/>
      <c r="I47" s="26"/>
      <c r="J47" s="26"/>
      <c r="K47" s="26"/>
      <c r="L47" s="26"/>
      <c r="M47" s="26"/>
    </row>
    <row r="48" spans="1:13" ht="14.1" customHeight="1" x14ac:dyDescent="0.25">
      <c r="A48" s="24"/>
      <c r="B48" s="24"/>
      <c r="C48" s="25" t="s">
        <v>72</v>
      </c>
      <c r="D48" s="26"/>
      <c r="E48" s="26"/>
      <c r="F48" s="26"/>
      <c r="G48" s="26"/>
      <c r="H48" s="26"/>
      <c r="I48" s="26"/>
      <c r="J48" s="26"/>
      <c r="K48" s="26"/>
      <c r="L48" s="26"/>
      <c r="M48" s="26"/>
    </row>
    <row r="49" spans="1:13" ht="14.1" customHeight="1" x14ac:dyDescent="0.25">
      <c r="A49" s="24"/>
      <c r="B49" s="24"/>
      <c r="C49" s="25" t="s">
        <v>73</v>
      </c>
      <c r="D49" s="26"/>
      <c r="E49" s="26"/>
      <c r="F49" s="26"/>
      <c r="G49" s="26"/>
      <c r="H49" s="26"/>
      <c r="I49" s="26"/>
      <c r="J49" s="26"/>
      <c r="K49" s="26"/>
      <c r="L49" s="26"/>
      <c r="M49" s="26"/>
    </row>
    <row r="50" spans="1:13" ht="14.1" customHeight="1" x14ac:dyDescent="0.25">
      <c r="A50" s="24"/>
      <c r="B50" s="24"/>
      <c r="C50" s="25" t="s">
        <v>74</v>
      </c>
      <c r="D50" s="26"/>
      <c r="E50" s="26"/>
      <c r="F50" s="26"/>
      <c r="G50" s="26"/>
      <c r="H50" s="26"/>
      <c r="I50" s="26">
        <v>10</v>
      </c>
      <c r="J50" s="26"/>
      <c r="K50" s="26"/>
      <c r="L50" s="26"/>
      <c r="M50" s="26"/>
    </row>
    <row r="51" spans="1:13" ht="14.1" customHeight="1" x14ac:dyDescent="0.25">
      <c r="A51" s="24"/>
      <c r="B51" s="24"/>
      <c r="C51" s="25" t="s">
        <v>75</v>
      </c>
      <c r="D51" s="26"/>
      <c r="E51" s="26"/>
      <c r="F51" s="26"/>
      <c r="G51" s="26"/>
      <c r="H51" s="26"/>
      <c r="I51" s="26"/>
      <c r="J51" s="26"/>
      <c r="K51" s="26"/>
      <c r="L51" s="26"/>
      <c r="M51" s="26"/>
    </row>
    <row r="52" spans="1:13" s="3" customFormat="1" ht="14.1" customHeight="1" x14ac:dyDescent="0.25">
      <c r="A52" s="7" t="s">
        <v>76</v>
      </c>
      <c r="B52" s="7" t="s">
        <v>77</v>
      </c>
      <c r="C52" s="8" t="s">
        <v>78</v>
      </c>
      <c r="D52" s="9">
        <f>F52+H52+J52</f>
        <v>1850</v>
      </c>
      <c r="E52" s="9">
        <f>G52+I52+K52</f>
        <v>1940</v>
      </c>
      <c r="F52" s="10">
        <f t="shared" ref="F52:M52" si="11">SUM(F53:F58)</f>
        <v>325</v>
      </c>
      <c r="G52" s="10">
        <f t="shared" si="11"/>
        <v>350</v>
      </c>
      <c r="H52" s="10">
        <f t="shared" si="11"/>
        <v>1475</v>
      </c>
      <c r="I52" s="10">
        <f t="shared" si="11"/>
        <v>1540</v>
      </c>
      <c r="J52" s="10">
        <f t="shared" si="11"/>
        <v>50</v>
      </c>
      <c r="K52" s="10">
        <f t="shared" si="11"/>
        <v>50</v>
      </c>
      <c r="L52" s="10">
        <f t="shared" si="11"/>
        <v>0</v>
      </c>
      <c r="M52" s="10">
        <f t="shared" si="11"/>
        <v>0</v>
      </c>
    </row>
    <row r="53" spans="1:13" ht="14.1" customHeight="1" x14ac:dyDescent="0.25">
      <c r="A53" s="24"/>
      <c r="B53" s="24"/>
      <c r="C53" s="25" t="s">
        <v>79</v>
      </c>
      <c r="D53" s="26"/>
      <c r="E53" s="26"/>
      <c r="F53" s="26">
        <v>150</v>
      </c>
      <c r="G53" s="26">
        <v>200</v>
      </c>
      <c r="H53" s="26"/>
      <c r="I53" s="26"/>
      <c r="J53" s="26"/>
      <c r="K53" s="26"/>
      <c r="L53" s="26"/>
      <c r="M53" s="26"/>
    </row>
    <row r="54" spans="1:13" ht="14.1" customHeight="1" x14ac:dyDescent="0.25">
      <c r="A54" s="24"/>
      <c r="B54" s="24"/>
      <c r="C54" s="25" t="s">
        <v>80</v>
      </c>
      <c r="D54" s="26"/>
      <c r="E54" s="26"/>
      <c r="F54" s="26"/>
      <c r="G54" s="26"/>
      <c r="H54" s="26">
        <v>525</v>
      </c>
      <c r="I54" s="26">
        <v>400</v>
      </c>
      <c r="J54" s="26"/>
      <c r="K54" s="26"/>
      <c r="L54" s="26"/>
      <c r="M54" s="26"/>
    </row>
    <row r="55" spans="1:13" ht="14.1" customHeight="1" x14ac:dyDescent="0.25">
      <c r="A55" s="24"/>
      <c r="B55" s="24"/>
      <c r="C55" s="25" t="s">
        <v>81</v>
      </c>
      <c r="D55" s="26"/>
      <c r="E55" s="26"/>
      <c r="F55" s="26"/>
      <c r="G55" s="26"/>
      <c r="H55" s="26"/>
      <c r="I55" s="26"/>
      <c r="J55" s="26"/>
      <c r="K55" s="26"/>
      <c r="L55" s="26"/>
      <c r="M55" s="26"/>
    </row>
    <row r="56" spans="1:13" ht="14.1" customHeight="1" x14ac:dyDescent="0.25">
      <c r="A56" s="24"/>
      <c r="B56" s="24"/>
      <c r="C56" s="25" t="s">
        <v>82</v>
      </c>
      <c r="D56" s="26"/>
      <c r="E56" s="26"/>
      <c r="F56" s="26"/>
      <c r="G56" s="26"/>
      <c r="H56" s="26"/>
      <c r="I56" s="26"/>
      <c r="J56" s="26"/>
      <c r="K56" s="26"/>
      <c r="L56" s="26"/>
      <c r="M56" s="26"/>
    </row>
    <row r="57" spans="1:13" ht="14.1" customHeight="1" x14ac:dyDescent="0.25">
      <c r="A57" s="24"/>
      <c r="B57" s="24"/>
      <c r="C57" s="25" t="s">
        <v>83</v>
      </c>
      <c r="D57" s="26"/>
      <c r="E57" s="26"/>
      <c r="F57" s="26"/>
      <c r="G57" s="26"/>
      <c r="H57" s="26"/>
      <c r="I57" s="26"/>
      <c r="J57" s="26"/>
      <c r="K57" s="26"/>
      <c r="L57" s="26"/>
      <c r="M57" s="26"/>
    </row>
    <row r="58" spans="1:13" ht="14.1" customHeight="1" x14ac:dyDescent="0.25">
      <c r="A58" s="24"/>
      <c r="B58" s="24"/>
      <c r="C58" s="25" t="s">
        <v>84</v>
      </c>
      <c r="D58" s="26"/>
      <c r="E58" s="26"/>
      <c r="F58" s="26">
        <v>175</v>
      </c>
      <c r="G58" s="26">
        <v>150</v>
      </c>
      <c r="H58" s="26">
        <v>950</v>
      </c>
      <c r="I58" s="26">
        <v>1140</v>
      </c>
      <c r="J58" s="26">
        <v>50</v>
      </c>
      <c r="K58" s="26">
        <v>50</v>
      </c>
      <c r="L58" s="26">
        <v>0</v>
      </c>
      <c r="M58" s="26">
        <v>0</v>
      </c>
    </row>
    <row r="59" spans="1:13" s="3" customFormat="1" ht="14.1" customHeight="1" x14ac:dyDescent="0.25">
      <c r="A59" s="7" t="s">
        <v>85</v>
      </c>
      <c r="B59" s="7" t="s">
        <v>86</v>
      </c>
      <c r="C59" s="8" t="s">
        <v>87</v>
      </c>
      <c r="D59" s="9">
        <f>F59+H59+J59</f>
        <v>0</v>
      </c>
      <c r="E59" s="9">
        <f>G59+I59+K59</f>
        <v>0</v>
      </c>
      <c r="F59" s="10">
        <f t="shared" ref="F59:M59" si="12">SUM(F60:F61)</f>
        <v>0</v>
      </c>
      <c r="G59" s="10">
        <f t="shared" si="12"/>
        <v>0</v>
      </c>
      <c r="H59" s="10">
        <f t="shared" si="12"/>
        <v>0</v>
      </c>
      <c r="I59" s="10">
        <f t="shared" si="12"/>
        <v>0</v>
      </c>
      <c r="J59" s="10">
        <f t="shared" si="12"/>
        <v>0</v>
      </c>
      <c r="K59" s="10">
        <f t="shared" si="12"/>
        <v>0</v>
      </c>
      <c r="L59" s="10">
        <f t="shared" si="12"/>
        <v>0</v>
      </c>
      <c r="M59" s="10">
        <f t="shared" si="12"/>
        <v>0</v>
      </c>
    </row>
    <row r="60" spans="1:13" ht="14.1" customHeight="1" x14ac:dyDescent="0.25">
      <c r="A60" s="24"/>
      <c r="B60" s="24"/>
      <c r="C60" s="25" t="s">
        <v>88</v>
      </c>
      <c r="D60" s="26"/>
      <c r="E60" s="26"/>
      <c r="F60" s="26"/>
      <c r="G60" s="26"/>
      <c r="H60" s="26"/>
      <c r="I60" s="26"/>
      <c r="J60" s="26"/>
      <c r="K60" s="26"/>
      <c r="L60" s="26"/>
      <c r="M60" s="26"/>
    </row>
    <row r="61" spans="1:13" ht="14.1" customHeight="1" x14ac:dyDescent="0.25">
      <c r="A61" s="24"/>
      <c r="B61" s="24"/>
      <c r="C61" s="25" t="s">
        <v>89</v>
      </c>
      <c r="D61" s="26"/>
      <c r="E61" s="26"/>
      <c r="F61" s="26"/>
      <c r="G61" s="26"/>
      <c r="H61" s="26"/>
      <c r="I61" s="26"/>
      <c r="J61" s="26"/>
      <c r="K61" s="26"/>
      <c r="L61" s="26"/>
      <c r="M61" s="26"/>
    </row>
    <row r="62" spans="1:13" s="3" customFormat="1" ht="14.1" customHeight="1" x14ac:dyDescent="0.25">
      <c r="A62" s="16" t="s">
        <v>90</v>
      </c>
      <c r="B62" s="16" t="s">
        <v>91</v>
      </c>
      <c r="C62" s="17" t="s">
        <v>92</v>
      </c>
      <c r="D62" s="19">
        <f>D45+D52</f>
        <v>1875</v>
      </c>
      <c r="E62" s="19">
        <f t="shared" ref="E62:K62" si="13">E45+E52</f>
        <v>1980</v>
      </c>
      <c r="F62" s="19">
        <f t="shared" si="13"/>
        <v>325</v>
      </c>
      <c r="G62" s="19">
        <f t="shared" si="13"/>
        <v>350</v>
      </c>
      <c r="H62" s="19">
        <f t="shared" si="13"/>
        <v>1500</v>
      </c>
      <c r="I62" s="19">
        <f t="shared" si="13"/>
        <v>1580</v>
      </c>
      <c r="J62" s="19">
        <f t="shared" si="13"/>
        <v>50</v>
      </c>
      <c r="K62" s="19">
        <f t="shared" si="13"/>
        <v>50</v>
      </c>
      <c r="L62" s="19">
        <f>L45+L52</f>
        <v>0</v>
      </c>
      <c r="M62" s="19">
        <f>M45+M52</f>
        <v>0</v>
      </c>
    </row>
    <row r="63" spans="1:13" s="3" customFormat="1" ht="14.1" customHeight="1" x14ac:dyDescent="0.25">
      <c r="A63" s="7" t="s">
        <v>93</v>
      </c>
      <c r="B63" s="7" t="s">
        <v>94</v>
      </c>
      <c r="C63" s="8" t="s">
        <v>95</v>
      </c>
      <c r="D63" s="9">
        <f>F63+H63+J63</f>
        <v>1030</v>
      </c>
      <c r="E63" s="9">
        <f>G63+I63+K63</f>
        <v>1260</v>
      </c>
      <c r="F63" s="10">
        <f t="shared" ref="F63:M63" si="14">SUM(F64:F69)</f>
        <v>190</v>
      </c>
      <c r="G63" s="10">
        <f t="shared" si="14"/>
        <v>300</v>
      </c>
      <c r="H63" s="10">
        <f t="shared" si="14"/>
        <v>840</v>
      </c>
      <c r="I63" s="10">
        <f t="shared" si="14"/>
        <v>960</v>
      </c>
      <c r="J63" s="10">
        <f t="shared" si="14"/>
        <v>0</v>
      </c>
      <c r="K63" s="10">
        <f t="shared" si="14"/>
        <v>0</v>
      </c>
      <c r="L63" s="10">
        <f t="shared" si="14"/>
        <v>0</v>
      </c>
      <c r="M63" s="10">
        <f t="shared" si="14"/>
        <v>0</v>
      </c>
    </row>
    <row r="64" spans="1:13" ht="14.1" customHeight="1" x14ac:dyDescent="0.25">
      <c r="A64" s="24"/>
      <c r="B64" s="24"/>
      <c r="C64" s="25" t="s">
        <v>96</v>
      </c>
      <c r="D64" s="26"/>
      <c r="E64" s="26"/>
      <c r="F64" s="26"/>
      <c r="G64" s="26"/>
      <c r="H64" s="26"/>
      <c r="I64" s="26"/>
      <c r="J64" s="26"/>
      <c r="K64" s="26"/>
      <c r="L64" s="26"/>
      <c r="M64" s="26"/>
    </row>
    <row r="65" spans="1:13" ht="14.1" customHeight="1" x14ac:dyDescent="0.25">
      <c r="A65" s="24"/>
      <c r="B65" s="24"/>
      <c r="C65" s="25" t="s">
        <v>97</v>
      </c>
      <c r="D65" s="26"/>
      <c r="E65" s="26"/>
      <c r="F65" s="26"/>
      <c r="G65" s="26"/>
      <c r="H65" s="26">
        <v>720</v>
      </c>
      <c r="I65" s="26">
        <v>720</v>
      </c>
      <c r="J65" s="26"/>
      <c r="K65" s="26"/>
      <c r="L65" s="26"/>
      <c r="M65" s="26"/>
    </row>
    <row r="66" spans="1:13" ht="14.1" customHeight="1" x14ac:dyDescent="0.25">
      <c r="A66" s="24"/>
      <c r="B66" s="24"/>
      <c r="C66" s="25" t="s">
        <v>98</v>
      </c>
      <c r="D66" s="26"/>
      <c r="E66" s="26"/>
      <c r="F66" s="26"/>
      <c r="G66" s="26"/>
      <c r="H66" s="26"/>
      <c r="I66" s="26">
        <v>40</v>
      </c>
      <c r="J66" s="26"/>
      <c r="K66" s="26"/>
      <c r="L66" s="26"/>
      <c r="M66" s="26"/>
    </row>
    <row r="67" spans="1:13" ht="14.1" customHeight="1" x14ac:dyDescent="0.25">
      <c r="A67" s="24"/>
      <c r="B67" s="24"/>
      <c r="C67" s="25" t="s">
        <v>99</v>
      </c>
      <c r="D67" s="26"/>
      <c r="E67" s="26"/>
      <c r="F67" s="26"/>
      <c r="G67" s="26"/>
      <c r="H67" s="26"/>
      <c r="I67" s="26">
        <v>100</v>
      </c>
      <c r="J67" s="26"/>
      <c r="K67" s="26"/>
      <c r="L67" s="26"/>
      <c r="M67" s="26"/>
    </row>
    <row r="68" spans="1:13" ht="14.1" customHeight="1" x14ac:dyDescent="0.25">
      <c r="A68" s="24"/>
      <c r="B68" s="24"/>
      <c r="C68" s="25" t="s">
        <v>100</v>
      </c>
      <c r="D68" s="26"/>
      <c r="E68" s="26"/>
      <c r="F68" s="26">
        <v>120</v>
      </c>
      <c r="G68" s="26">
        <v>100</v>
      </c>
      <c r="H68" s="26">
        <v>120</v>
      </c>
      <c r="I68" s="26">
        <v>100</v>
      </c>
      <c r="J68" s="26"/>
      <c r="K68" s="26"/>
      <c r="L68" s="26"/>
      <c r="M68" s="26"/>
    </row>
    <row r="69" spans="1:13" ht="14.1" customHeight="1" x14ac:dyDescent="0.25">
      <c r="A69" s="24"/>
      <c r="B69" s="24"/>
      <c r="C69" s="25" t="s">
        <v>101</v>
      </c>
      <c r="D69" s="26"/>
      <c r="E69" s="26"/>
      <c r="F69" s="26">
        <v>70</v>
      </c>
      <c r="G69" s="26">
        <v>200</v>
      </c>
      <c r="H69" s="26"/>
      <c r="I69" s="26"/>
      <c r="J69" s="26"/>
      <c r="K69" s="26"/>
      <c r="L69" s="26"/>
      <c r="M69" s="26"/>
    </row>
    <row r="70" spans="1:13" s="3" customFormat="1" ht="14.1" customHeight="1" x14ac:dyDescent="0.25">
      <c r="A70" s="7" t="s">
        <v>102</v>
      </c>
      <c r="B70" s="7" t="s">
        <v>103</v>
      </c>
      <c r="C70" s="8" t="s">
        <v>104</v>
      </c>
      <c r="D70" s="9">
        <f>F70+H70+J70</f>
        <v>330</v>
      </c>
      <c r="E70" s="9">
        <f>G70+I70+K70</f>
        <v>290</v>
      </c>
      <c r="F70" s="10">
        <f t="shared" ref="F70:M70" si="15">SUM(F71:F72)</f>
        <v>147</v>
      </c>
      <c r="G70" s="10">
        <f t="shared" si="15"/>
        <v>145</v>
      </c>
      <c r="H70" s="10">
        <f t="shared" si="15"/>
        <v>183</v>
      </c>
      <c r="I70" s="10">
        <f t="shared" si="15"/>
        <v>145</v>
      </c>
      <c r="J70" s="10">
        <f t="shared" si="15"/>
        <v>0</v>
      </c>
      <c r="K70" s="10">
        <f t="shared" si="15"/>
        <v>0</v>
      </c>
      <c r="L70" s="10">
        <f t="shared" si="15"/>
        <v>0</v>
      </c>
      <c r="M70" s="10">
        <f t="shared" si="15"/>
        <v>0</v>
      </c>
    </row>
    <row r="71" spans="1:13" ht="14.1" customHeight="1" x14ac:dyDescent="0.25">
      <c r="A71" s="24"/>
      <c r="B71" s="24"/>
      <c r="C71" s="25" t="s">
        <v>105</v>
      </c>
      <c r="D71" s="26"/>
      <c r="E71" s="26"/>
      <c r="F71" s="26">
        <v>147</v>
      </c>
      <c r="G71" s="26">
        <v>145</v>
      </c>
      <c r="H71" s="26">
        <v>183</v>
      </c>
      <c r="I71" s="26">
        <v>145</v>
      </c>
      <c r="J71" s="26"/>
      <c r="K71" s="26"/>
      <c r="L71" s="26"/>
      <c r="M71" s="26"/>
    </row>
    <row r="72" spans="1:13" ht="14.1" customHeight="1" x14ac:dyDescent="0.25">
      <c r="A72" s="24"/>
      <c r="B72" s="24"/>
      <c r="C72" s="25" t="s">
        <v>106</v>
      </c>
      <c r="D72" s="26"/>
      <c r="E72" s="26"/>
      <c r="F72" s="26"/>
      <c r="G72" s="26"/>
      <c r="H72" s="26"/>
      <c r="I72" s="26"/>
      <c r="J72" s="26"/>
      <c r="K72" s="26"/>
      <c r="L72" s="26"/>
      <c r="M72" s="26"/>
    </row>
    <row r="73" spans="1:13" s="3" customFormat="1" ht="14.1" customHeight="1" x14ac:dyDescent="0.25">
      <c r="A73" s="16" t="s">
        <v>107</v>
      </c>
      <c r="B73" s="16" t="s">
        <v>108</v>
      </c>
      <c r="C73" s="17" t="s">
        <v>109</v>
      </c>
      <c r="D73" s="19">
        <f>D63+D70</f>
        <v>1360</v>
      </c>
      <c r="E73" s="19">
        <f t="shared" ref="E73:K73" si="16">E63+E70</f>
        <v>1550</v>
      </c>
      <c r="F73" s="19">
        <f t="shared" si="16"/>
        <v>337</v>
      </c>
      <c r="G73" s="19">
        <f t="shared" si="16"/>
        <v>445</v>
      </c>
      <c r="H73" s="19">
        <f t="shared" si="16"/>
        <v>1023</v>
      </c>
      <c r="I73" s="19">
        <f t="shared" si="16"/>
        <v>1105</v>
      </c>
      <c r="J73" s="19">
        <f t="shared" si="16"/>
        <v>0</v>
      </c>
      <c r="K73" s="19">
        <f t="shared" si="16"/>
        <v>0</v>
      </c>
      <c r="L73" s="19">
        <f>L63+L70</f>
        <v>0</v>
      </c>
      <c r="M73" s="19">
        <f>M63+M70</f>
        <v>0</v>
      </c>
    </row>
    <row r="74" spans="1:13" s="3" customFormat="1" ht="14.1" customHeight="1" x14ac:dyDescent="0.25">
      <c r="A74" s="7" t="s">
        <v>110</v>
      </c>
      <c r="B74" s="7" t="s">
        <v>111</v>
      </c>
      <c r="C74" s="8" t="s">
        <v>112</v>
      </c>
      <c r="D74" s="9">
        <f>F74+H74+J74</f>
        <v>18425</v>
      </c>
      <c r="E74" s="9">
        <f>G74+I74+K74</f>
        <v>16180</v>
      </c>
      <c r="F74" s="10">
        <f t="shared" ref="F74:M74" si="17">SUM(F75:F77)</f>
        <v>0</v>
      </c>
      <c r="G74" s="10">
        <f t="shared" si="17"/>
        <v>0</v>
      </c>
      <c r="H74" s="10">
        <f t="shared" si="17"/>
        <v>18425</v>
      </c>
      <c r="I74" s="10">
        <f t="shared" si="17"/>
        <v>16180</v>
      </c>
      <c r="J74" s="10">
        <f t="shared" si="17"/>
        <v>0</v>
      </c>
      <c r="K74" s="10">
        <f t="shared" si="17"/>
        <v>0</v>
      </c>
      <c r="L74" s="10">
        <f t="shared" si="17"/>
        <v>0</v>
      </c>
      <c r="M74" s="10">
        <f t="shared" si="17"/>
        <v>0</v>
      </c>
    </row>
    <row r="75" spans="1:13" ht="14.1" customHeight="1" x14ac:dyDescent="0.25">
      <c r="A75" s="24"/>
      <c r="B75" s="24"/>
      <c r="C75" s="25" t="s">
        <v>113</v>
      </c>
      <c r="D75" s="26"/>
      <c r="E75" s="26"/>
      <c r="F75" s="26"/>
      <c r="G75" s="26"/>
      <c r="H75" s="26">
        <v>10000</v>
      </c>
      <c r="I75" s="26">
        <v>7020</v>
      </c>
      <c r="J75" s="26"/>
      <c r="K75" s="26"/>
      <c r="L75" s="26"/>
      <c r="M75" s="26"/>
    </row>
    <row r="76" spans="1:13" ht="14.1" customHeight="1" x14ac:dyDescent="0.25">
      <c r="A76" s="24"/>
      <c r="B76" s="24"/>
      <c r="C76" s="25" t="s">
        <v>114</v>
      </c>
      <c r="D76" s="26"/>
      <c r="E76" s="26"/>
      <c r="F76" s="26"/>
      <c r="G76" s="26"/>
      <c r="H76" s="26">
        <v>8000</v>
      </c>
      <c r="I76" s="26">
        <v>8660</v>
      </c>
      <c r="J76" s="26"/>
      <c r="K76" s="26"/>
      <c r="L76" s="26"/>
      <c r="M76" s="26"/>
    </row>
    <row r="77" spans="1:13" ht="14.1" customHeight="1" x14ac:dyDescent="0.25">
      <c r="A77" s="24"/>
      <c r="B77" s="24"/>
      <c r="C77" s="25" t="s">
        <v>115</v>
      </c>
      <c r="D77" s="26"/>
      <c r="E77" s="26"/>
      <c r="F77" s="26"/>
      <c r="G77" s="26"/>
      <c r="H77" s="26">
        <v>425</v>
      </c>
      <c r="I77" s="26">
        <v>500</v>
      </c>
      <c r="J77" s="26"/>
      <c r="K77" s="26"/>
      <c r="L77" s="26"/>
      <c r="M77" s="26"/>
    </row>
    <row r="78" spans="1:13" s="3" customFormat="1" ht="14.1" customHeight="1" x14ac:dyDescent="0.25">
      <c r="A78" s="7" t="s">
        <v>116</v>
      </c>
      <c r="B78" s="7" t="s">
        <v>117</v>
      </c>
      <c r="C78" s="8" t="s">
        <v>118</v>
      </c>
      <c r="D78" s="9">
        <f>F78+H78+J78</f>
        <v>0</v>
      </c>
      <c r="E78" s="9">
        <f>G78+I78+K78</f>
        <v>0</v>
      </c>
      <c r="F78" s="10">
        <v>0</v>
      </c>
      <c r="G78" s="10">
        <f>G79</f>
        <v>0</v>
      </c>
      <c r="H78" s="10">
        <v>0</v>
      </c>
      <c r="I78" s="10">
        <f>I79</f>
        <v>0</v>
      </c>
      <c r="J78" s="10">
        <f>J79</f>
        <v>0</v>
      </c>
      <c r="K78" s="10">
        <f>K79</f>
        <v>0</v>
      </c>
      <c r="L78" s="10">
        <f>L79</f>
        <v>0</v>
      </c>
      <c r="M78" s="10">
        <f>M79</f>
        <v>0</v>
      </c>
    </row>
    <row r="79" spans="1:13" s="3" customFormat="1" ht="14.1" customHeight="1" x14ac:dyDescent="0.25">
      <c r="A79" s="24"/>
      <c r="B79" s="24"/>
      <c r="C79" s="25"/>
      <c r="D79" s="26"/>
      <c r="E79" s="26"/>
      <c r="F79" s="26"/>
      <c r="G79" s="26"/>
      <c r="H79" s="26"/>
      <c r="I79" s="26"/>
      <c r="J79" s="26"/>
      <c r="K79" s="26"/>
      <c r="L79" s="26"/>
      <c r="M79" s="26"/>
    </row>
    <row r="80" spans="1:13" s="3" customFormat="1" ht="14.1" customHeight="1" x14ac:dyDescent="0.25">
      <c r="A80" s="7" t="s">
        <v>119</v>
      </c>
      <c r="B80" s="7" t="s">
        <v>120</v>
      </c>
      <c r="C80" s="8" t="s">
        <v>121</v>
      </c>
      <c r="D80" s="9">
        <f>F80+H80+J80</f>
        <v>85</v>
      </c>
      <c r="E80" s="9">
        <f>G80+I80+K80</f>
        <v>358</v>
      </c>
      <c r="F80" s="10">
        <f t="shared" ref="F80:M80" si="18">SUM(F81:F82)</f>
        <v>0</v>
      </c>
      <c r="G80" s="10">
        <f t="shared" si="18"/>
        <v>200</v>
      </c>
      <c r="H80" s="10">
        <f t="shared" si="18"/>
        <v>85</v>
      </c>
      <c r="I80" s="10">
        <f t="shared" si="18"/>
        <v>158</v>
      </c>
      <c r="J80" s="10">
        <f t="shared" si="18"/>
        <v>0</v>
      </c>
      <c r="K80" s="10">
        <f t="shared" si="18"/>
        <v>0</v>
      </c>
      <c r="L80" s="10">
        <f t="shared" si="18"/>
        <v>0</v>
      </c>
      <c r="M80" s="10">
        <f t="shared" si="18"/>
        <v>0</v>
      </c>
    </row>
    <row r="81" spans="1:13" ht="14.1" customHeight="1" x14ac:dyDescent="0.25">
      <c r="A81" s="24"/>
      <c r="B81" s="24"/>
      <c r="C81" s="25" t="s">
        <v>122</v>
      </c>
      <c r="D81" s="26"/>
      <c r="E81" s="26"/>
      <c r="F81" s="26"/>
      <c r="G81" s="26"/>
      <c r="H81" s="26"/>
      <c r="I81" s="26"/>
      <c r="J81" s="26"/>
      <c r="K81" s="26"/>
      <c r="L81" s="26"/>
      <c r="M81" s="26"/>
    </row>
    <row r="82" spans="1:13" ht="14.1" customHeight="1" x14ac:dyDescent="0.25">
      <c r="A82" s="24"/>
      <c r="B82" s="24"/>
      <c r="C82" s="25" t="s">
        <v>123</v>
      </c>
      <c r="D82" s="26"/>
      <c r="E82" s="26"/>
      <c r="F82" s="26"/>
      <c r="G82" s="26">
        <v>200</v>
      </c>
      <c r="H82" s="26">
        <v>85</v>
      </c>
      <c r="I82" s="26">
        <v>158</v>
      </c>
      <c r="J82" s="26"/>
      <c r="K82" s="26"/>
      <c r="L82" s="26"/>
      <c r="M82" s="26"/>
    </row>
    <row r="83" spans="1:13" s="3" customFormat="1" ht="14.1" customHeight="1" x14ac:dyDescent="0.25">
      <c r="A83" s="7" t="s">
        <v>124</v>
      </c>
      <c r="B83" s="7" t="s">
        <v>125</v>
      </c>
      <c r="C83" s="8" t="s">
        <v>126</v>
      </c>
      <c r="D83" s="9">
        <f>F83+H83+J83</f>
        <v>9892</v>
      </c>
      <c r="E83" s="9">
        <f>G83+I83+K83</f>
        <v>13082</v>
      </c>
      <c r="F83" s="10">
        <v>0</v>
      </c>
      <c r="G83" s="10">
        <v>0</v>
      </c>
      <c r="H83" s="10">
        <v>9892</v>
      </c>
      <c r="I83" s="10">
        <v>13082</v>
      </c>
      <c r="J83" s="10">
        <v>0</v>
      </c>
      <c r="K83" s="10"/>
      <c r="L83" s="10">
        <v>0</v>
      </c>
      <c r="M83" s="10"/>
    </row>
    <row r="84" spans="1:13" s="3" customFormat="1" ht="14.1" customHeight="1" x14ac:dyDescent="0.25">
      <c r="A84" s="7" t="s">
        <v>127</v>
      </c>
      <c r="B84" s="7" t="s">
        <v>128</v>
      </c>
      <c r="C84" s="8" t="s">
        <v>129</v>
      </c>
      <c r="D84" s="9">
        <f>F84+H84+J84</f>
        <v>2570</v>
      </c>
      <c r="E84" s="9">
        <f>G84+I84+K84</f>
        <v>2520</v>
      </c>
      <c r="F84" s="10">
        <f t="shared" ref="F84:M84" si="19">SUM(F85:F86)</f>
        <v>0</v>
      </c>
      <c r="G84" s="10">
        <f t="shared" si="19"/>
        <v>0</v>
      </c>
      <c r="H84" s="10">
        <f t="shared" si="19"/>
        <v>2570</v>
      </c>
      <c r="I84" s="10">
        <f t="shared" si="19"/>
        <v>2520</v>
      </c>
      <c r="J84" s="10">
        <f t="shared" si="19"/>
        <v>0</v>
      </c>
      <c r="K84" s="10">
        <f t="shared" si="19"/>
        <v>0</v>
      </c>
      <c r="L84" s="10">
        <f t="shared" si="19"/>
        <v>0</v>
      </c>
      <c r="M84" s="10">
        <f t="shared" si="19"/>
        <v>0</v>
      </c>
    </row>
    <row r="85" spans="1:13" ht="14.1" customHeight="1" x14ac:dyDescent="0.25">
      <c r="A85" s="24"/>
      <c r="B85" s="24"/>
      <c r="C85" s="25" t="s">
        <v>130</v>
      </c>
      <c r="D85" s="26"/>
      <c r="E85" s="26"/>
      <c r="F85" s="26"/>
      <c r="G85" s="26"/>
      <c r="H85" s="26">
        <v>2120</v>
      </c>
      <c r="I85" s="26">
        <v>2120</v>
      </c>
      <c r="J85" s="26"/>
      <c r="K85" s="26"/>
      <c r="L85" s="26"/>
      <c r="M85" s="26"/>
    </row>
    <row r="86" spans="1:13" ht="14.1" customHeight="1" x14ac:dyDescent="0.25">
      <c r="A86" s="24"/>
      <c r="B86" s="24"/>
      <c r="C86" s="25" t="s">
        <v>131</v>
      </c>
      <c r="D86" s="26"/>
      <c r="E86" s="26"/>
      <c r="F86" s="26"/>
      <c r="G86" s="26"/>
      <c r="H86" s="26">
        <v>450</v>
      </c>
      <c r="I86" s="26">
        <v>400</v>
      </c>
      <c r="J86" s="26"/>
      <c r="K86" s="26"/>
      <c r="L86" s="26"/>
      <c r="M86" s="26"/>
    </row>
    <row r="87" spans="1:13" s="3" customFormat="1" ht="14.1" customHeight="1" x14ac:dyDescent="0.25">
      <c r="A87" s="7" t="s">
        <v>132</v>
      </c>
      <c r="B87" s="7" t="s">
        <v>133</v>
      </c>
      <c r="C87" s="8" t="s">
        <v>134</v>
      </c>
      <c r="D87" s="9">
        <f>F87+H87+J87</f>
        <v>14845</v>
      </c>
      <c r="E87" s="9">
        <f>G87+I87+K87+M87</f>
        <v>15845</v>
      </c>
      <c r="F87" s="10">
        <f t="shared" ref="F87:M87" si="20">SUM(F88:F90)</f>
        <v>11845</v>
      </c>
      <c r="G87" s="10">
        <f t="shared" si="20"/>
        <v>11845</v>
      </c>
      <c r="H87" s="10">
        <f t="shared" si="20"/>
        <v>0</v>
      </c>
      <c r="I87" s="10">
        <f t="shared" si="20"/>
        <v>0</v>
      </c>
      <c r="J87" s="10">
        <f t="shared" si="20"/>
        <v>3000</v>
      </c>
      <c r="K87" s="10">
        <f t="shared" si="20"/>
        <v>3000</v>
      </c>
      <c r="L87" s="10">
        <f t="shared" si="20"/>
        <v>0</v>
      </c>
      <c r="M87" s="10">
        <f t="shared" si="20"/>
        <v>1000</v>
      </c>
    </row>
    <row r="88" spans="1:13" ht="14.1" customHeight="1" x14ac:dyDescent="0.25">
      <c r="A88" s="24"/>
      <c r="B88" s="24"/>
      <c r="C88" s="25" t="s">
        <v>135</v>
      </c>
      <c r="D88" s="26"/>
      <c r="E88" s="26"/>
      <c r="F88" s="26">
        <v>0</v>
      </c>
      <c r="G88" s="26">
        <v>0</v>
      </c>
      <c r="H88" s="26">
        <v>0</v>
      </c>
      <c r="I88" s="26">
        <v>0</v>
      </c>
      <c r="J88" s="26"/>
      <c r="K88" s="26"/>
      <c r="L88" s="26"/>
      <c r="M88" s="26"/>
    </row>
    <row r="89" spans="1:13" ht="14.1" customHeight="1" x14ac:dyDescent="0.25">
      <c r="A89" s="24"/>
      <c r="B89" s="24"/>
      <c r="C89" s="25" t="s">
        <v>136</v>
      </c>
      <c r="D89" s="26"/>
      <c r="E89" s="26"/>
      <c r="F89" s="26">
        <v>5345</v>
      </c>
      <c r="G89" s="26">
        <v>5345</v>
      </c>
      <c r="H89" s="26">
        <v>0</v>
      </c>
      <c r="I89" s="26">
        <v>0</v>
      </c>
      <c r="J89" s="26">
        <v>1500</v>
      </c>
      <c r="K89" s="26">
        <v>1500</v>
      </c>
      <c r="L89" s="26">
        <v>0</v>
      </c>
      <c r="M89" s="26">
        <v>1000</v>
      </c>
    </row>
    <row r="90" spans="1:13" ht="14.1" customHeight="1" x14ac:dyDescent="0.25">
      <c r="A90" s="24"/>
      <c r="B90" s="24"/>
      <c r="C90" s="25" t="s">
        <v>137</v>
      </c>
      <c r="D90" s="26"/>
      <c r="E90" s="26"/>
      <c r="F90" s="26">
        <v>6500</v>
      </c>
      <c r="G90" s="26">
        <v>6500</v>
      </c>
      <c r="H90" s="26">
        <v>0</v>
      </c>
      <c r="I90" s="26">
        <v>0</v>
      </c>
      <c r="J90" s="26">
        <v>1500</v>
      </c>
      <c r="K90" s="26">
        <v>1500</v>
      </c>
      <c r="L90" s="26">
        <v>0</v>
      </c>
      <c r="M90" s="26">
        <v>0</v>
      </c>
    </row>
    <row r="91" spans="1:13" s="3" customFormat="1" ht="14.1" customHeight="1" x14ac:dyDescent="0.25">
      <c r="A91" s="7" t="s">
        <v>138</v>
      </c>
      <c r="B91" s="7" t="s">
        <v>139</v>
      </c>
      <c r="C91" s="8" t="s">
        <v>140</v>
      </c>
      <c r="D91" s="9">
        <f>F91+H91+J91</f>
        <v>11608</v>
      </c>
      <c r="E91" s="9">
        <f>G91+I91+K91+M91</f>
        <v>15965</v>
      </c>
      <c r="F91" s="10">
        <f t="shared" ref="F91:M91" si="21">SUM(F92:F95)</f>
        <v>140</v>
      </c>
      <c r="G91" s="10">
        <f t="shared" si="21"/>
        <v>100</v>
      </c>
      <c r="H91" s="10">
        <f t="shared" si="21"/>
        <v>11468</v>
      </c>
      <c r="I91" s="10">
        <f t="shared" si="21"/>
        <v>11865</v>
      </c>
      <c r="J91" s="10">
        <f t="shared" si="21"/>
        <v>0</v>
      </c>
      <c r="K91" s="10">
        <f t="shared" si="21"/>
        <v>0</v>
      </c>
      <c r="L91" s="10">
        <f t="shared" si="21"/>
        <v>0</v>
      </c>
      <c r="M91" s="10">
        <f t="shared" si="21"/>
        <v>4000</v>
      </c>
    </row>
    <row r="92" spans="1:13" ht="14.1" customHeight="1" x14ac:dyDescent="0.25">
      <c r="A92" s="24"/>
      <c r="B92" s="24"/>
      <c r="C92" s="25" t="s">
        <v>141</v>
      </c>
      <c r="D92" s="26"/>
      <c r="E92" s="26"/>
      <c r="F92" s="26">
        <v>0</v>
      </c>
      <c r="G92" s="26">
        <v>0</v>
      </c>
      <c r="H92" s="26">
        <v>0</v>
      </c>
      <c r="I92" s="26">
        <v>0</v>
      </c>
      <c r="J92" s="26">
        <v>0</v>
      </c>
      <c r="K92" s="26">
        <v>0</v>
      </c>
      <c r="L92" s="26">
        <v>0</v>
      </c>
      <c r="M92" s="26">
        <v>0</v>
      </c>
    </row>
    <row r="93" spans="1:13" ht="14.1" customHeight="1" x14ac:dyDescent="0.25">
      <c r="A93" s="24"/>
      <c r="B93" s="24"/>
      <c r="C93" s="25" t="s">
        <v>142</v>
      </c>
      <c r="D93" s="26"/>
      <c r="E93" s="26"/>
      <c r="F93" s="26">
        <v>0</v>
      </c>
      <c r="G93" s="26">
        <v>0</v>
      </c>
      <c r="H93" s="26">
        <v>300</v>
      </c>
      <c r="I93" s="26">
        <v>300</v>
      </c>
      <c r="J93" s="26">
        <v>0</v>
      </c>
      <c r="K93" s="26">
        <v>0</v>
      </c>
      <c r="L93" s="26">
        <v>0</v>
      </c>
      <c r="M93" s="26">
        <v>0</v>
      </c>
    </row>
    <row r="94" spans="1:13" ht="14.1" customHeight="1" x14ac:dyDescent="0.25">
      <c r="A94" s="24"/>
      <c r="B94" s="24"/>
      <c r="C94" s="25" t="s">
        <v>143</v>
      </c>
      <c r="D94" s="26"/>
      <c r="E94" s="26"/>
      <c r="F94" s="26">
        <v>140</v>
      </c>
      <c r="G94" s="26">
        <v>100</v>
      </c>
      <c r="H94" s="26">
        <v>30</v>
      </c>
      <c r="I94" s="26">
        <v>0</v>
      </c>
      <c r="J94" s="26">
        <v>0</v>
      </c>
      <c r="K94" s="26">
        <v>0</v>
      </c>
      <c r="L94" s="26">
        <v>0</v>
      </c>
      <c r="M94" s="26">
        <v>0</v>
      </c>
    </row>
    <row r="95" spans="1:13" ht="14.1" customHeight="1" x14ac:dyDescent="0.25">
      <c r="A95" s="24"/>
      <c r="B95" s="24"/>
      <c r="C95" s="25" t="s">
        <v>144</v>
      </c>
      <c r="D95" s="26"/>
      <c r="E95" s="26"/>
      <c r="F95" s="26">
        <v>0</v>
      </c>
      <c r="G95" s="26">
        <v>0</v>
      </c>
      <c r="H95" s="26">
        <v>11138</v>
      </c>
      <c r="I95" s="26">
        <v>11565</v>
      </c>
      <c r="J95" s="26">
        <v>0</v>
      </c>
      <c r="K95" s="26">
        <v>0</v>
      </c>
      <c r="L95" s="26">
        <v>0</v>
      </c>
      <c r="M95" s="26">
        <v>4000</v>
      </c>
    </row>
    <row r="96" spans="1:13" s="3" customFormat="1" ht="14.1" customHeight="1" x14ac:dyDescent="0.25">
      <c r="A96" s="16" t="s">
        <v>145</v>
      </c>
      <c r="B96" s="16" t="s">
        <v>146</v>
      </c>
      <c r="C96" s="17" t="s">
        <v>147</v>
      </c>
      <c r="D96" s="19">
        <f>D74+D78+D80+D83+D84+D87+D91</f>
        <v>57425</v>
      </c>
      <c r="E96" s="19">
        <f t="shared" ref="E96:K96" si="22">E74+E78+E80+E83+E84+E87+E91</f>
        <v>63950</v>
      </c>
      <c r="F96" s="19">
        <f t="shared" si="22"/>
        <v>11985</v>
      </c>
      <c r="G96" s="19">
        <f t="shared" si="22"/>
        <v>12145</v>
      </c>
      <c r="H96" s="19">
        <f t="shared" si="22"/>
        <v>42440</v>
      </c>
      <c r="I96" s="19">
        <f t="shared" si="22"/>
        <v>43805</v>
      </c>
      <c r="J96" s="19">
        <f t="shared" si="22"/>
        <v>3000</v>
      </c>
      <c r="K96" s="19">
        <f t="shared" si="22"/>
        <v>3000</v>
      </c>
      <c r="L96" s="19">
        <f>L74+L78+L80+L83+L84+L87+L91</f>
        <v>0</v>
      </c>
      <c r="M96" s="19">
        <f>M74+M78+M80+M83+M84+M87+M91</f>
        <v>5000</v>
      </c>
    </row>
    <row r="97" spans="1:13" s="3" customFormat="1" ht="14.1" customHeight="1" x14ac:dyDescent="0.25">
      <c r="A97" s="7" t="s">
        <v>148</v>
      </c>
      <c r="B97" s="7" t="s">
        <v>149</v>
      </c>
      <c r="C97" s="8" t="s">
        <v>150</v>
      </c>
      <c r="D97" s="9">
        <f>F97+H97+J97</f>
        <v>55</v>
      </c>
      <c r="E97" s="9">
        <f>G97+I97+K97</f>
        <v>60</v>
      </c>
      <c r="F97" s="10">
        <f t="shared" ref="F97:M97" si="23">SUM(F98:F99)</f>
        <v>15</v>
      </c>
      <c r="G97" s="10">
        <f t="shared" si="23"/>
        <v>0</v>
      </c>
      <c r="H97" s="10">
        <f t="shared" si="23"/>
        <v>40</v>
      </c>
      <c r="I97" s="10">
        <f t="shared" si="23"/>
        <v>60</v>
      </c>
      <c r="J97" s="10">
        <f t="shared" si="23"/>
        <v>0</v>
      </c>
      <c r="K97" s="10">
        <f t="shared" si="23"/>
        <v>0</v>
      </c>
      <c r="L97" s="10">
        <f t="shared" si="23"/>
        <v>0</v>
      </c>
      <c r="M97" s="10">
        <f t="shared" si="23"/>
        <v>0</v>
      </c>
    </row>
    <row r="98" spans="1:13" ht="14.1" customHeight="1" x14ac:dyDescent="0.25">
      <c r="A98" s="24"/>
      <c r="B98" s="24"/>
      <c r="C98" s="25" t="s">
        <v>151</v>
      </c>
      <c r="D98" s="26"/>
      <c r="E98" s="26"/>
      <c r="F98" s="26">
        <v>15</v>
      </c>
      <c r="G98" s="26"/>
      <c r="H98" s="26">
        <v>40</v>
      </c>
      <c r="I98" s="26">
        <v>60</v>
      </c>
      <c r="J98" s="26"/>
      <c r="K98" s="26"/>
      <c r="L98" s="26"/>
      <c r="M98" s="26"/>
    </row>
    <row r="99" spans="1:13" ht="14.1" customHeight="1" x14ac:dyDescent="0.25">
      <c r="A99" s="24"/>
      <c r="B99" s="24"/>
      <c r="C99" s="25" t="s">
        <v>152</v>
      </c>
      <c r="D99" s="26"/>
      <c r="E99" s="26"/>
      <c r="F99" s="26"/>
      <c r="G99" s="26"/>
      <c r="H99" s="26"/>
      <c r="I99" s="26"/>
      <c r="J99" s="26"/>
      <c r="K99" s="26"/>
      <c r="L99" s="26"/>
      <c r="M99" s="26"/>
    </row>
    <row r="100" spans="1:13" s="3" customFormat="1" ht="14.1" customHeight="1" x14ac:dyDescent="0.25">
      <c r="A100" s="7" t="s">
        <v>153</v>
      </c>
      <c r="B100" s="7" t="s">
        <v>154</v>
      </c>
      <c r="C100" s="8" t="s">
        <v>155</v>
      </c>
      <c r="D100" s="9">
        <f>F100+H100+J100</f>
        <v>1500</v>
      </c>
      <c r="E100" s="9">
        <f>G100+I100+K100+M100</f>
        <v>2748</v>
      </c>
      <c r="F100" s="10">
        <v>1500</v>
      </c>
      <c r="G100" s="10">
        <v>2548</v>
      </c>
      <c r="H100" s="10">
        <v>0</v>
      </c>
      <c r="I100" s="10">
        <v>0</v>
      </c>
      <c r="J100" s="10">
        <v>0</v>
      </c>
      <c r="K100" s="10">
        <v>100</v>
      </c>
      <c r="L100" s="10">
        <v>0</v>
      </c>
      <c r="M100" s="10">
        <v>100</v>
      </c>
    </row>
    <row r="101" spans="1:13" s="3" customFormat="1" ht="14.1" customHeight="1" x14ac:dyDescent="0.25">
      <c r="A101" s="16" t="s">
        <v>156</v>
      </c>
      <c r="B101" s="16" t="s">
        <v>157</v>
      </c>
      <c r="C101" s="17" t="s">
        <v>158</v>
      </c>
      <c r="D101" s="19">
        <f>D97+D100</f>
        <v>1555</v>
      </c>
      <c r="E101" s="19">
        <f t="shared" ref="E101:K101" si="24">E97+E100</f>
        <v>2808</v>
      </c>
      <c r="F101" s="19">
        <f t="shared" si="24"/>
        <v>1515</v>
      </c>
      <c r="G101" s="19">
        <f t="shared" si="24"/>
        <v>2548</v>
      </c>
      <c r="H101" s="19">
        <f t="shared" si="24"/>
        <v>40</v>
      </c>
      <c r="I101" s="19">
        <f t="shared" si="24"/>
        <v>60</v>
      </c>
      <c r="J101" s="19">
        <f t="shared" si="24"/>
        <v>0</v>
      </c>
      <c r="K101" s="19">
        <f t="shared" si="24"/>
        <v>100</v>
      </c>
      <c r="L101" s="19">
        <f>L97+L100</f>
        <v>0</v>
      </c>
      <c r="M101" s="19">
        <f>M97+M100</f>
        <v>100</v>
      </c>
    </row>
    <row r="102" spans="1:13" s="3" customFormat="1" ht="14.1" customHeight="1" x14ac:dyDescent="0.25">
      <c r="A102" s="7" t="s">
        <v>159</v>
      </c>
      <c r="B102" s="7" t="s">
        <v>160</v>
      </c>
      <c r="C102" s="8" t="s">
        <v>161</v>
      </c>
      <c r="D102" s="9">
        <f>F102+H102+J102</f>
        <v>14856</v>
      </c>
      <c r="E102" s="9">
        <f>G102+I102+K102+M102</f>
        <v>16924</v>
      </c>
      <c r="F102" s="10">
        <f t="shared" ref="F102:M102" si="25">SUM(F103:F104)</f>
        <v>1878</v>
      </c>
      <c r="G102" s="10">
        <f t="shared" si="25"/>
        <v>2236</v>
      </c>
      <c r="H102" s="10">
        <f t="shared" si="25"/>
        <v>12141</v>
      </c>
      <c r="I102" s="10">
        <f t="shared" si="25"/>
        <v>12487</v>
      </c>
      <c r="J102" s="10">
        <f t="shared" si="25"/>
        <v>837</v>
      </c>
      <c r="K102" s="10">
        <f t="shared" si="25"/>
        <v>851</v>
      </c>
      <c r="L102" s="10">
        <f t="shared" si="25"/>
        <v>0</v>
      </c>
      <c r="M102" s="10">
        <f t="shared" si="25"/>
        <v>1350</v>
      </c>
    </row>
    <row r="103" spans="1:13" ht="14.1" customHeight="1" x14ac:dyDescent="0.25">
      <c r="A103" s="24"/>
      <c r="B103" s="24"/>
      <c r="C103" s="25" t="s">
        <v>162</v>
      </c>
      <c r="D103" s="26"/>
      <c r="E103" s="26"/>
      <c r="F103" s="26">
        <v>1239</v>
      </c>
      <c r="G103" s="26">
        <v>1252</v>
      </c>
      <c r="H103" s="26">
        <v>701</v>
      </c>
      <c r="I103" s="26">
        <v>691</v>
      </c>
      <c r="J103" s="26">
        <v>810</v>
      </c>
      <c r="K103" s="26">
        <v>810</v>
      </c>
      <c r="L103" s="26">
        <v>0</v>
      </c>
      <c r="M103" s="26"/>
    </row>
    <row r="104" spans="1:13" ht="14.1" customHeight="1" x14ac:dyDescent="0.25">
      <c r="A104" s="24"/>
      <c r="B104" s="24"/>
      <c r="C104" s="25" t="s">
        <v>163</v>
      </c>
      <c r="D104" s="26"/>
      <c r="E104" s="26"/>
      <c r="F104" s="26">
        <v>639</v>
      </c>
      <c r="G104" s="26">
        <v>984</v>
      </c>
      <c r="H104" s="26">
        <v>11440</v>
      </c>
      <c r="I104" s="26">
        <v>11796</v>
      </c>
      <c r="J104" s="26">
        <v>27</v>
      </c>
      <c r="K104" s="26">
        <v>41</v>
      </c>
      <c r="L104" s="26">
        <v>0</v>
      </c>
      <c r="M104" s="26">
        <f>ROUND(M96*0.27,0)</f>
        <v>1350</v>
      </c>
    </row>
    <row r="105" spans="1:13" s="3" customFormat="1" ht="14.1" customHeight="1" x14ac:dyDescent="0.25">
      <c r="A105" s="7" t="s">
        <v>164</v>
      </c>
      <c r="B105" s="7" t="s">
        <v>165</v>
      </c>
      <c r="C105" s="8" t="s">
        <v>166</v>
      </c>
      <c r="D105" s="9">
        <f>F105+H105+J105</f>
        <v>4000</v>
      </c>
      <c r="E105" s="9">
        <f>G105+I105+K105</f>
        <v>4500</v>
      </c>
      <c r="F105" s="10">
        <f t="shared" ref="F105:M105" si="26">SUM(F106:F108)</f>
        <v>2000</v>
      </c>
      <c r="G105" s="10">
        <f t="shared" si="26"/>
        <v>0</v>
      </c>
      <c r="H105" s="10">
        <f t="shared" si="26"/>
        <v>2000</v>
      </c>
      <c r="I105" s="10">
        <f t="shared" si="26"/>
        <v>4500</v>
      </c>
      <c r="J105" s="10">
        <f t="shared" si="26"/>
        <v>0</v>
      </c>
      <c r="K105" s="10">
        <f t="shared" si="26"/>
        <v>0</v>
      </c>
      <c r="L105" s="10">
        <f t="shared" si="26"/>
        <v>0</v>
      </c>
      <c r="M105" s="10">
        <f t="shared" si="26"/>
        <v>0</v>
      </c>
    </row>
    <row r="106" spans="1:13" ht="14.1" customHeight="1" x14ac:dyDescent="0.25">
      <c r="A106" s="24"/>
      <c r="B106" s="24"/>
      <c r="C106" s="25" t="s">
        <v>167</v>
      </c>
      <c r="D106" s="26"/>
      <c r="E106" s="26"/>
      <c r="F106" s="26">
        <v>2000</v>
      </c>
      <c r="G106" s="26"/>
      <c r="H106" s="26">
        <v>2000</v>
      </c>
      <c r="I106" s="26">
        <v>4500</v>
      </c>
      <c r="J106" s="26"/>
      <c r="K106" s="26"/>
      <c r="L106" s="26"/>
      <c r="M106" s="26"/>
    </row>
    <row r="107" spans="1:13" ht="14.1" customHeight="1" x14ac:dyDescent="0.25">
      <c r="A107" s="24"/>
      <c r="B107" s="24"/>
      <c r="C107" s="25" t="s">
        <v>168</v>
      </c>
      <c r="D107" s="26"/>
      <c r="E107" s="26"/>
      <c r="F107" s="26"/>
      <c r="G107" s="26"/>
      <c r="H107" s="26"/>
      <c r="I107" s="26"/>
      <c r="J107" s="26"/>
      <c r="K107" s="26"/>
      <c r="L107" s="26"/>
      <c r="M107" s="26"/>
    </row>
    <row r="108" spans="1:13" ht="14.1" customHeight="1" x14ac:dyDescent="0.25">
      <c r="A108" s="24"/>
      <c r="B108" s="24"/>
      <c r="C108" s="25" t="s">
        <v>169</v>
      </c>
      <c r="D108" s="26"/>
      <c r="E108" s="26"/>
      <c r="F108" s="26"/>
      <c r="G108" s="26"/>
      <c r="H108" s="26"/>
      <c r="I108" s="26"/>
      <c r="J108" s="26"/>
      <c r="K108" s="26"/>
      <c r="L108" s="26"/>
      <c r="M108" s="26"/>
    </row>
    <row r="109" spans="1:13" s="3" customFormat="1" ht="14.1" customHeight="1" x14ac:dyDescent="0.25">
      <c r="A109" s="7" t="s">
        <v>170</v>
      </c>
      <c r="B109" s="7" t="s">
        <v>171</v>
      </c>
      <c r="C109" s="8" t="s">
        <v>172</v>
      </c>
      <c r="D109" s="9">
        <f>F109+H109+J109</f>
        <v>0</v>
      </c>
      <c r="E109" s="9">
        <f>G109+I109+K109</f>
        <v>0</v>
      </c>
      <c r="F109" s="10">
        <f t="shared" ref="F109:M109" si="27">SUM(F110:F113)</f>
        <v>0</v>
      </c>
      <c r="G109" s="10">
        <f t="shared" si="27"/>
        <v>0</v>
      </c>
      <c r="H109" s="10">
        <f t="shared" si="27"/>
        <v>0</v>
      </c>
      <c r="I109" s="10">
        <f t="shared" si="27"/>
        <v>0</v>
      </c>
      <c r="J109" s="10">
        <f t="shared" si="27"/>
        <v>0</v>
      </c>
      <c r="K109" s="10">
        <f t="shared" si="27"/>
        <v>0</v>
      </c>
      <c r="L109" s="10">
        <f t="shared" si="27"/>
        <v>0</v>
      </c>
      <c r="M109" s="10">
        <f t="shared" si="27"/>
        <v>0</v>
      </c>
    </row>
    <row r="110" spans="1:13" ht="14.1" customHeight="1" x14ac:dyDescent="0.25">
      <c r="A110" s="24"/>
      <c r="B110" s="24"/>
      <c r="C110" s="25" t="s">
        <v>173</v>
      </c>
      <c r="D110" s="26"/>
      <c r="E110" s="26"/>
      <c r="F110" s="26"/>
      <c r="G110" s="26"/>
      <c r="H110" s="26"/>
      <c r="I110" s="26"/>
      <c r="J110" s="26"/>
      <c r="K110" s="26"/>
      <c r="L110" s="26"/>
      <c r="M110" s="26"/>
    </row>
    <row r="111" spans="1:13" ht="14.1" customHeight="1" x14ac:dyDescent="0.25">
      <c r="A111" s="24"/>
      <c r="B111" s="24"/>
      <c r="C111" s="25" t="s">
        <v>174</v>
      </c>
      <c r="D111" s="26"/>
      <c r="E111" s="26"/>
      <c r="F111" s="26"/>
      <c r="G111" s="26"/>
      <c r="H111" s="26"/>
      <c r="I111" s="26"/>
      <c r="J111" s="26"/>
      <c r="K111" s="26"/>
      <c r="L111" s="26"/>
      <c r="M111" s="26"/>
    </row>
    <row r="112" spans="1:13" ht="14.1" customHeight="1" x14ac:dyDescent="0.25">
      <c r="A112" s="24"/>
      <c r="B112" s="24"/>
      <c r="C112" s="25" t="s">
        <v>175</v>
      </c>
      <c r="D112" s="26"/>
      <c r="E112" s="26"/>
      <c r="F112" s="26"/>
      <c r="G112" s="26"/>
      <c r="H112" s="26"/>
      <c r="I112" s="26"/>
      <c r="J112" s="26"/>
      <c r="K112" s="26"/>
      <c r="L112" s="26"/>
      <c r="M112" s="26"/>
    </row>
    <row r="113" spans="1:254" ht="14.1" customHeight="1" x14ac:dyDescent="0.25">
      <c r="A113" s="24"/>
      <c r="B113" s="24"/>
      <c r="C113" s="25" t="s">
        <v>176</v>
      </c>
      <c r="D113" s="26"/>
      <c r="E113" s="26"/>
      <c r="F113" s="26"/>
      <c r="G113" s="26"/>
      <c r="H113" s="26"/>
      <c r="I113" s="26"/>
      <c r="J113" s="26"/>
      <c r="K113" s="26"/>
      <c r="L113" s="26"/>
      <c r="M113" s="26"/>
    </row>
    <row r="114" spans="1:254" s="3" customFormat="1" ht="14.1" customHeight="1" x14ac:dyDescent="0.25">
      <c r="A114" s="7" t="s">
        <v>177</v>
      </c>
      <c r="B114" s="7" t="s">
        <v>178</v>
      </c>
      <c r="C114" s="8" t="s">
        <v>179</v>
      </c>
      <c r="D114" s="9">
        <f>F114+H114+J114</f>
        <v>0</v>
      </c>
      <c r="E114" s="9">
        <f>G114+I114+K114</f>
        <v>0</v>
      </c>
      <c r="F114" s="10">
        <f t="shared" ref="F114:M114" si="28">SUM(F115:F116)</f>
        <v>0</v>
      </c>
      <c r="G114" s="10">
        <f t="shared" si="28"/>
        <v>0</v>
      </c>
      <c r="H114" s="10">
        <f t="shared" si="28"/>
        <v>0</v>
      </c>
      <c r="I114" s="10">
        <f t="shared" si="28"/>
        <v>0</v>
      </c>
      <c r="J114" s="10">
        <f t="shared" si="28"/>
        <v>0</v>
      </c>
      <c r="K114" s="10">
        <f t="shared" si="28"/>
        <v>0</v>
      </c>
      <c r="L114" s="10">
        <f t="shared" si="28"/>
        <v>0</v>
      </c>
      <c r="M114" s="10">
        <f t="shared" si="28"/>
        <v>0</v>
      </c>
    </row>
    <row r="115" spans="1:254" ht="14.1" customHeight="1" x14ac:dyDescent="0.25">
      <c r="A115" s="24"/>
      <c r="B115" s="24"/>
      <c r="C115" s="25" t="s">
        <v>180</v>
      </c>
      <c r="D115" s="26"/>
      <c r="E115" s="26"/>
      <c r="F115" s="26"/>
      <c r="G115" s="26"/>
      <c r="H115" s="26"/>
      <c r="I115" s="26"/>
      <c r="J115" s="26"/>
      <c r="K115" s="26"/>
      <c r="L115" s="26"/>
      <c r="M115" s="26"/>
    </row>
    <row r="116" spans="1:254" ht="14.1" customHeight="1" x14ac:dyDescent="0.25">
      <c r="A116" s="24"/>
      <c r="B116" s="24"/>
      <c r="C116" s="25" t="s">
        <v>181</v>
      </c>
      <c r="D116" s="26"/>
      <c r="E116" s="26"/>
      <c r="F116" s="26"/>
      <c r="G116" s="26"/>
      <c r="H116" s="26"/>
      <c r="I116" s="26"/>
      <c r="J116" s="26"/>
      <c r="K116" s="26"/>
      <c r="L116" s="26"/>
      <c r="M116" s="26"/>
    </row>
    <row r="117" spans="1:254" s="3" customFormat="1" ht="14.1" customHeight="1" x14ac:dyDescent="0.25">
      <c r="A117" s="7" t="s">
        <v>182</v>
      </c>
      <c r="B117" s="7" t="s">
        <v>183</v>
      </c>
      <c r="C117" s="8" t="s">
        <v>184</v>
      </c>
      <c r="D117" s="9">
        <f>F117+H117+J117</f>
        <v>300</v>
      </c>
      <c r="E117" s="9">
        <f>G117+I117+K117+M117</f>
        <v>239</v>
      </c>
      <c r="F117" s="10">
        <f t="shared" ref="F117:M117" si="29">SUM(F118:F121)</f>
        <v>200</v>
      </c>
      <c r="G117" s="10">
        <f t="shared" si="29"/>
        <v>200</v>
      </c>
      <c r="H117" s="10">
        <f t="shared" si="29"/>
        <v>50</v>
      </c>
      <c r="I117" s="10">
        <f t="shared" si="29"/>
        <v>0</v>
      </c>
      <c r="J117" s="10">
        <f t="shared" si="29"/>
        <v>50</v>
      </c>
      <c r="K117" s="10">
        <f t="shared" si="29"/>
        <v>0</v>
      </c>
      <c r="L117" s="10">
        <f t="shared" si="29"/>
        <v>0</v>
      </c>
      <c r="M117" s="10">
        <f t="shared" si="29"/>
        <v>39</v>
      </c>
    </row>
    <row r="118" spans="1:254" ht="14.1" customHeight="1" x14ac:dyDescent="0.25">
      <c r="A118" s="24"/>
      <c r="B118" s="24"/>
      <c r="C118" s="25" t="s">
        <v>185</v>
      </c>
      <c r="D118" s="26"/>
      <c r="E118" s="26"/>
      <c r="F118" s="26"/>
      <c r="G118" s="26"/>
      <c r="H118" s="26"/>
      <c r="I118" s="26"/>
      <c r="J118" s="26"/>
      <c r="K118" s="26"/>
      <c r="L118" s="26"/>
      <c r="M118" s="26"/>
    </row>
    <row r="119" spans="1:254" ht="14.1" customHeight="1" x14ac:dyDescent="0.25">
      <c r="A119" s="24"/>
      <c r="B119" s="24"/>
      <c r="C119" s="25" t="s">
        <v>186</v>
      </c>
      <c r="D119" s="26"/>
      <c r="E119" s="26"/>
      <c r="F119" s="26">
        <v>200</v>
      </c>
      <c r="G119" s="26">
        <v>200</v>
      </c>
      <c r="H119" s="26">
        <v>50</v>
      </c>
      <c r="I119" s="26"/>
      <c r="J119" s="26">
        <v>50</v>
      </c>
      <c r="K119" s="26"/>
      <c r="L119" s="26">
        <v>0</v>
      </c>
      <c r="M119" s="26"/>
    </row>
    <row r="120" spans="1:254" ht="14.1" customHeight="1" x14ac:dyDescent="0.25">
      <c r="A120" s="24"/>
      <c r="B120" s="24"/>
      <c r="C120" s="25" t="s">
        <v>187</v>
      </c>
      <c r="D120" s="26"/>
      <c r="E120" s="26"/>
      <c r="F120" s="26"/>
      <c r="G120" s="26"/>
      <c r="H120" s="26"/>
      <c r="I120" s="26"/>
      <c r="J120" s="26"/>
      <c r="K120" s="26"/>
      <c r="L120" s="26"/>
      <c r="M120" s="26"/>
    </row>
    <row r="121" spans="1:254" ht="14.1" customHeight="1" x14ac:dyDescent="0.25">
      <c r="A121" s="24"/>
      <c r="B121" s="24"/>
      <c r="C121" s="25" t="s">
        <v>188</v>
      </c>
      <c r="D121" s="26"/>
      <c r="E121" s="26"/>
      <c r="F121" s="26"/>
      <c r="G121" s="26"/>
      <c r="H121" s="26"/>
      <c r="I121" s="26"/>
      <c r="J121" s="26"/>
      <c r="K121" s="26"/>
      <c r="L121" s="26"/>
      <c r="M121" s="26">
        <v>39</v>
      </c>
    </row>
    <row r="122" spans="1:254" s="3" customFormat="1" ht="14.1" customHeight="1" x14ac:dyDescent="0.25">
      <c r="A122" s="16" t="s">
        <v>189</v>
      </c>
      <c r="B122" s="16" t="s">
        <v>190</v>
      </c>
      <c r="C122" s="17" t="s">
        <v>191</v>
      </c>
      <c r="D122" s="19">
        <f>D102+D105+D109+D114+D117</f>
        <v>19156</v>
      </c>
      <c r="E122" s="19">
        <f t="shared" ref="E122:K122" si="30">E102+E105+E109+E114+E117</f>
        <v>21663</v>
      </c>
      <c r="F122" s="19">
        <f t="shared" si="30"/>
        <v>4078</v>
      </c>
      <c r="G122" s="19">
        <f t="shared" si="30"/>
        <v>2436</v>
      </c>
      <c r="H122" s="19">
        <f t="shared" si="30"/>
        <v>14191</v>
      </c>
      <c r="I122" s="19">
        <f t="shared" si="30"/>
        <v>16987</v>
      </c>
      <c r="J122" s="19">
        <f t="shared" si="30"/>
        <v>887</v>
      </c>
      <c r="K122" s="19">
        <f t="shared" si="30"/>
        <v>851</v>
      </c>
      <c r="L122" s="19">
        <f>L102+L105+L109+L114+L117</f>
        <v>0</v>
      </c>
      <c r="M122" s="19">
        <f>M102+M105+M109+M114+M117</f>
        <v>1389</v>
      </c>
    </row>
    <row r="123" spans="1:254" s="3" customFormat="1" ht="14.1" customHeight="1" x14ac:dyDescent="0.25">
      <c r="A123" s="20" t="s">
        <v>192</v>
      </c>
      <c r="B123" s="20" t="s">
        <v>193</v>
      </c>
      <c r="C123" s="21" t="s">
        <v>292</v>
      </c>
      <c r="D123" s="23">
        <f>D62+D73+D96+D101+D122</f>
        <v>81371</v>
      </c>
      <c r="E123" s="23">
        <f t="shared" ref="E123:K123" si="31">E62+E73+E96+E101+E122</f>
        <v>91951</v>
      </c>
      <c r="F123" s="23">
        <f t="shared" si="31"/>
        <v>18240</v>
      </c>
      <c r="G123" s="23">
        <f t="shared" si="31"/>
        <v>17924</v>
      </c>
      <c r="H123" s="23">
        <f t="shared" si="31"/>
        <v>59194</v>
      </c>
      <c r="I123" s="23">
        <f t="shared" si="31"/>
        <v>63537</v>
      </c>
      <c r="J123" s="23">
        <f t="shared" si="31"/>
        <v>3937</v>
      </c>
      <c r="K123" s="23">
        <f t="shared" si="31"/>
        <v>4001</v>
      </c>
      <c r="L123" s="23">
        <f>L62+L73+L96+L101+L122</f>
        <v>0</v>
      </c>
      <c r="M123" s="23">
        <f>M62+M73+M96+M101+M122</f>
        <v>6489</v>
      </c>
    </row>
    <row r="124" spans="1:254" ht="14.1" customHeight="1" x14ac:dyDescent="0.2">
      <c r="A124" s="977" t="s">
        <v>291</v>
      </c>
      <c r="B124" s="978"/>
      <c r="C124" s="979"/>
      <c r="D124" s="28">
        <f>D39+D123</f>
        <v>124939</v>
      </c>
      <c r="E124" s="28">
        <f t="shared" ref="E124:K124" si="32">E39+E123</f>
        <v>141945</v>
      </c>
      <c r="F124" s="28">
        <f t="shared" si="32"/>
        <v>18437</v>
      </c>
      <c r="G124" s="28">
        <f t="shared" si="32"/>
        <v>18121</v>
      </c>
      <c r="H124" s="28">
        <f t="shared" si="32"/>
        <v>102444</v>
      </c>
      <c r="I124" s="28">
        <f t="shared" si="32"/>
        <v>111702</v>
      </c>
      <c r="J124" s="28">
        <f t="shared" si="32"/>
        <v>4058</v>
      </c>
      <c r="K124" s="28">
        <f t="shared" si="32"/>
        <v>4122</v>
      </c>
      <c r="L124" s="28">
        <f>L39+L123</f>
        <v>0</v>
      </c>
      <c r="M124" s="28">
        <f>M39+M123</f>
        <v>8000</v>
      </c>
      <c r="N124" s="27"/>
      <c r="O124" s="27"/>
      <c r="P124" s="27"/>
      <c r="Q124" s="27"/>
      <c r="R124" s="27"/>
      <c r="S124" s="27"/>
      <c r="T124" s="27"/>
      <c r="U124" s="27"/>
      <c r="V124" s="27"/>
      <c r="W124" s="27"/>
      <c r="X124" s="27"/>
      <c r="Y124" s="27"/>
      <c r="Z124" s="27"/>
      <c r="AA124" s="27"/>
      <c r="AB124" s="27"/>
      <c r="AC124" s="27"/>
      <c r="AD124" s="27"/>
      <c r="AE124" s="27"/>
      <c r="AF124" s="27"/>
      <c r="AG124" s="27"/>
      <c r="AH124" s="27"/>
      <c r="AI124" s="27"/>
      <c r="AJ124" s="27"/>
      <c r="AK124" s="27"/>
      <c r="AL124" s="27"/>
      <c r="AM124" s="27"/>
      <c r="AN124" s="27"/>
      <c r="AO124" s="27"/>
      <c r="AP124" s="27"/>
      <c r="AQ124" s="27"/>
      <c r="AR124" s="27"/>
      <c r="AS124" s="27"/>
      <c r="AT124" s="27"/>
      <c r="AU124" s="27"/>
      <c r="AV124" s="27"/>
      <c r="AW124" s="27"/>
      <c r="AX124" s="27"/>
      <c r="AY124" s="27"/>
      <c r="AZ124" s="27"/>
      <c r="BA124" s="27"/>
      <c r="BB124" s="27"/>
      <c r="BC124" s="27"/>
      <c r="BD124" s="27"/>
      <c r="BE124" s="27"/>
      <c r="BF124" s="27"/>
      <c r="BG124" s="27"/>
      <c r="BH124" s="27"/>
      <c r="BI124" s="27"/>
      <c r="BJ124" s="27"/>
      <c r="BK124" s="27"/>
      <c r="BL124" s="27"/>
      <c r="BM124" s="27"/>
      <c r="BN124" s="27"/>
      <c r="BO124" s="27"/>
      <c r="BP124" s="27"/>
      <c r="BQ124" s="27"/>
      <c r="BR124" s="27"/>
      <c r="BS124" s="27"/>
      <c r="BT124" s="27"/>
      <c r="BU124" s="27"/>
      <c r="BV124" s="27"/>
      <c r="BW124" s="27"/>
      <c r="BX124" s="27"/>
      <c r="BY124" s="27"/>
      <c r="BZ124" s="27"/>
      <c r="CA124" s="27"/>
      <c r="CB124" s="27"/>
      <c r="CC124" s="27"/>
      <c r="CD124" s="27"/>
      <c r="CE124" s="27"/>
      <c r="CF124" s="27"/>
      <c r="CG124" s="27"/>
      <c r="CH124" s="27"/>
      <c r="CI124" s="27"/>
      <c r="CJ124" s="27"/>
      <c r="CK124" s="27"/>
      <c r="CL124" s="27"/>
      <c r="CM124" s="27"/>
      <c r="CN124" s="27"/>
      <c r="CO124" s="27"/>
      <c r="CP124" s="27"/>
      <c r="CQ124" s="27"/>
      <c r="CR124" s="27"/>
      <c r="CS124" s="27"/>
      <c r="CT124" s="27"/>
      <c r="CU124" s="27"/>
      <c r="CV124" s="27"/>
      <c r="CW124" s="27"/>
      <c r="CX124" s="27"/>
      <c r="CY124" s="27"/>
      <c r="CZ124" s="27"/>
      <c r="DA124" s="27"/>
      <c r="DB124" s="27"/>
      <c r="DC124" s="27"/>
      <c r="DD124" s="27"/>
      <c r="DE124" s="27"/>
      <c r="DF124" s="27"/>
      <c r="DG124" s="27"/>
      <c r="DH124" s="27"/>
      <c r="DI124" s="27"/>
      <c r="DJ124" s="27"/>
      <c r="DK124" s="27"/>
      <c r="DL124" s="27"/>
      <c r="DM124" s="27"/>
      <c r="DN124" s="27"/>
      <c r="DO124" s="27"/>
      <c r="DP124" s="27"/>
      <c r="DQ124" s="27"/>
      <c r="DR124" s="27"/>
      <c r="DS124" s="27"/>
      <c r="DT124" s="27"/>
      <c r="DU124" s="27"/>
      <c r="DV124" s="27"/>
      <c r="DW124" s="27"/>
      <c r="DX124" s="27"/>
      <c r="DY124" s="27"/>
      <c r="DZ124" s="27"/>
      <c r="EA124" s="27"/>
      <c r="EB124" s="27"/>
      <c r="EC124" s="27"/>
      <c r="ED124" s="27"/>
      <c r="EE124" s="27"/>
      <c r="EF124" s="27"/>
      <c r="EG124" s="27"/>
      <c r="EH124" s="27"/>
      <c r="EI124" s="27"/>
      <c r="EJ124" s="27"/>
      <c r="EK124" s="27"/>
      <c r="EL124" s="27"/>
      <c r="EM124" s="27"/>
      <c r="EN124" s="27"/>
      <c r="EO124" s="27"/>
      <c r="EP124" s="27"/>
      <c r="EQ124" s="27"/>
      <c r="ER124" s="27"/>
      <c r="ES124" s="27"/>
      <c r="ET124" s="27"/>
      <c r="EU124" s="27"/>
      <c r="EV124" s="27"/>
      <c r="EW124" s="27"/>
      <c r="EX124" s="27"/>
      <c r="EY124" s="27"/>
      <c r="EZ124" s="27"/>
      <c r="FA124" s="27"/>
      <c r="FB124" s="27"/>
      <c r="FC124" s="27"/>
      <c r="FD124" s="27"/>
      <c r="FE124" s="27"/>
      <c r="FF124" s="27"/>
      <c r="FG124" s="27"/>
      <c r="FH124" s="27"/>
      <c r="FI124" s="27"/>
      <c r="FJ124" s="27"/>
      <c r="FK124" s="27"/>
      <c r="FL124" s="27"/>
      <c r="FM124" s="27"/>
      <c r="FN124" s="27"/>
      <c r="FO124" s="27"/>
      <c r="FP124" s="27"/>
      <c r="FQ124" s="27"/>
      <c r="FR124" s="27"/>
      <c r="FS124" s="27"/>
      <c r="FT124" s="27"/>
      <c r="FU124" s="27"/>
      <c r="FV124" s="27"/>
      <c r="FW124" s="27"/>
      <c r="FX124" s="27"/>
      <c r="FY124" s="27"/>
      <c r="FZ124" s="27"/>
      <c r="GA124" s="27"/>
      <c r="GB124" s="27"/>
      <c r="GC124" s="27"/>
      <c r="GD124" s="27"/>
      <c r="GE124" s="27"/>
      <c r="GF124" s="27"/>
      <c r="GG124" s="27"/>
      <c r="GH124" s="27"/>
      <c r="GI124" s="27"/>
      <c r="GJ124" s="27"/>
      <c r="GK124" s="27"/>
      <c r="GL124" s="27"/>
      <c r="GM124" s="27"/>
      <c r="GN124" s="27"/>
      <c r="GO124" s="27"/>
      <c r="GP124" s="27"/>
      <c r="GQ124" s="27"/>
      <c r="GR124" s="27"/>
      <c r="GS124" s="27"/>
      <c r="GT124" s="27"/>
      <c r="GU124" s="27"/>
      <c r="GV124" s="27"/>
      <c r="GW124" s="27"/>
      <c r="GX124" s="27"/>
      <c r="GY124" s="27"/>
      <c r="GZ124" s="27"/>
      <c r="HA124" s="27"/>
      <c r="HB124" s="27"/>
      <c r="HC124" s="27"/>
      <c r="HD124" s="27"/>
      <c r="HE124" s="27"/>
      <c r="HF124" s="27"/>
      <c r="HG124" s="27"/>
      <c r="HH124" s="27"/>
      <c r="HI124" s="27"/>
      <c r="HJ124" s="27"/>
      <c r="HK124" s="27"/>
      <c r="HL124" s="27"/>
      <c r="HM124" s="27"/>
      <c r="HN124" s="27"/>
      <c r="HO124" s="27"/>
      <c r="HP124" s="27"/>
      <c r="HQ124" s="27"/>
      <c r="HR124" s="27"/>
      <c r="HS124" s="27"/>
      <c r="HT124" s="27"/>
      <c r="HU124" s="27"/>
      <c r="HV124" s="27"/>
      <c r="HW124" s="27"/>
      <c r="HX124" s="27"/>
      <c r="HY124" s="27"/>
      <c r="HZ124" s="27"/>
      <c r="IA124" s="27"/>
      <c r="IB124" s="27"/>
      <c r="IC124" s="27"/>
      <c r="ID124" s="27"/>
      <c r="IE124" s="27"/>
      <c r="IF124" s="27"/>
      <c r="IG124" s="27"/>
      <c r="IH124" s="27"/>
      <c r="II124" s="27"/>
      <c r="IJ124" s="27"/>
      <c r="IK124" s="27"/>
      <c r="IL124" s="27"/>
      <c r="IM124" s="27"/>
      <c r="IN124" s="27"/>
      <c r="IO124" s="27"/>
      <c r="IP124" s="27"/>
      <c r="IQ124" s="27"/>
      <c r="IR124" s="27"/>
      <c r="IS124" s="27"/>
      <c r="IT124" s="27"/>
    </row>
    <row r="125" spans="1:254" ht="12.75" customHeight="1" x14ac:dyDescent="0.2">
      <c r="A125" s="27"/>
      <c r="B125" s="27"/>
      <c r="C125" s="27"/>
      <c r="D125" s="27"/>
      <c r="E125" s="27"/>
      <c r="F125" s="27"/>
      <c r="G125" s="27"/>
      <c r="H125" s="27"/>
      <c r="I125" s="27"/>
      <c r="J125" s="27"/>
      <c r="K125" s="27"/>
      <c r="L125" s="27"/>
      <c r="M125" s="27"/>
      <c r="N125" s="27"/>
      <c r="O125" s="27"/>
      <c r="P125" s="27"/>
      <c r="Q125" s="27"/>
      <c r="R125" s="27"/>
      <c r="S125" s="27"/>
      <c r="T125" s="27"/>
      <c r="U125" s="27"/>
      <c r="V125" s="27"/>
      <c r="W125" s="27"/>
      <c r="X125" s="27"/>
      <c r="Y125" s="27"/>
      <c r="Z125" s="27"/>
      <c r="AA125" s="27"/>
      <c r="AB125" s="27"/>
      <c r="AC125" s="27"/>
      <c r="AD125" s="27"/>
      <c r="AE125" s="27"/>
      <c r="AF125" s="27"/>
      <c r="AG125" s="27"/>
      <c r="AH125" s="27"/>
      <c r="AI125" s="27"/>
      <c r="AJ125" s="27"/>
      <c r="AK125" s="27"/>
      <c r="AL125" s="27"/>
      <c r="AM125" s="27"/>
      <c r="AN125" s="27"/>
      <c r="AO125" s="27"/>
      <c r="AP125" s="27"/>
      <c r="AQ125" s="27"/>
      <c r="AR125" s="27"/>
      <c r="AS125" s="27"/>
      <c r="AT125" s="27"/>
      <c r="AU125" s="27"/>
      <c r="AV125" s="27"/>
      <c r="AW125" s="27"/>
      <c r="AX125" s="27"/>
      <c r="AY125" s="27"/>
      <c r="AZ125" s="27"/>
      <c r="BA125" s="27"/>
      <c r="BB125" s="27"/>
      <c r="BC125" s="27"/>
      <c r="BD125" s="27"/>
      <c r="BE125" s="27"/>
      <c r="BF125" s="27"/>
      <c r="BG125" s="27"/>
      <c r="BH125" s="27"/>
      <c r="BI125" s="27"/>
      <c r="BJ125" s="27"/>
      <c r="BK125" s="27"/>
      <c r="BL125" s="27"/>
      <c r="BM125" s="27"/>
      <c r="BN125" s="27"/>
      <c r="BO125" s="27"/>
      <c r="BP125" s="27"/>
      <c r="BQ125" s="27"/>
      <c r="BR125" s="27"/>
      <c r="BS125" s="27"/>
      <c r="BT125" s="27"/>
      <c r="BU125" s="27"/>
      <c r="BV125" s="27"/>
      <c r="BW125" s="27"/>
      <c r="BX125" s="27"/>
      <c r="BY125" s="27"/>
      <c r="BZ125" s="27"/>
      <c r="CA125" s="27"/>
      <c r="CB125" s="27"/>
      <c r="CC125" s="27"/>
      <c r="CD125" s="27"/>
      <c r="CE125" s="27"/>
      <c r="CF125" s="27"/>
      <c r="CG125" s="27"/>
      <c r="CH125" s="27"/>
      <c r="CI125" s="27"/>
      <c r="CJ125" s="27"/>
      <c r="CK125" s="27"/>
      <c r="CL125" s="27"/>
      <c r="CM125" s="27"/>
      <c r="CN125" s="27"/>
      <c r="CO125" s="27"/>
      <c r="CP125" s="27"/>
      <c r="CQ125" s="27"/>
      <c r="CR125" s="27"/>
      <c r="CS125" s="27"/>
      <c r="CT125" s="27"/>
      <c r="CU125" s="27"/>
      <c r="CV125" s="27"/>
      <c r="CW125" s="27"/>
      <c r="CX125" s="27"/>
      <c r="CY125" s="27"/>
      <c r="CZ125" s="27"/>
      <c r="DA125" s="27"/>
      <c r="DB125" s="27"/>
      <c r="DC125" s="27"/>
      <c r="DD125" s="27"/>
      <c r="DE125" s="27"/>
      <c r="DF125" s="27"/>
      <c r="DG125" s="27"/>
      <c r="DH125" s="27"/>
      <c r="DI125" s="27"/>
      <c r="DJ125" s="27"/>
      <c r="DK125" s="27"/>
      <c r="DL125" s="27"/>
      <c r="DM125" s="27"/>
      <c r="DN125" s="27"/>
      <c r="DO125" s="27"/>
      <c r="DP125" s="27"/>
      <c r="DQ125" s="27"/>
      <c r="DR125" s="27"/>
      <c r="DS125" s="27"/>
      <c r="DT125" s="27"/>
      <c r="DU125" s="27"/>
      <c r="DV125" s="27"/>
      <c r="DW125" s="27"/>
      <c r="DX125" s="27"/>
      <c r="DY125" s="27"/>
      <c r="DZ125" s="27"/>
      <c r="EA125" s="27"/>
      <c r="EB125" s="27"/>
      <c r="EC125" s="27"/>
      <c r="ED125" s="27"/>
      <c r="EE125" s="27"/>
      <c r="EF125" s="27"/>
      <c r="EG125" s="27"/>
      <c r="EH125" s="27"/>
      <c r="EI125" s="27"/>
      <c r="EJ125" s="27"/>
      <c r="EK125" s="27"/>
      <c r="EL125" s="27"/>
      <c r="EM125" s="27"/>
      <c r="EN125" s="27"/>
      <c r="EO125" s="27"/>
      <c r="EP125" s="27"/>
      <c r="EQ125" s="27"/>
      <c r="ER125" s="27"/>
      <c r="ES125" s="27"/>
      <c r="ET125" s="27"/>
      <c r="EU125" s="27"/>
      <c r="EV125" s="27"/>
      <c r="EW125" s="27"/>
      <c r="EX125" s="27"/>
      <c r="EY125" s="27"/>
      <c r="EZ125" s="27"/>
      <c r="FA125" s="27"/>
      <c r="FB125" s="27"/>
      <c r="FC125" s="27"/>
      <c r="FD125" s="27"/>
      <c r="FE125" s="27"/>
      <c r="FF125" s="27"/>
      <c r="FG125" s="27"/>
      <c r="FH125" s="27"/>
      <c r="FI125" s="27"/>
      <c r="FJ125" s="27"/>
      <c r="FK125" s="27"/>
      <c r="FL125" s="27"/>
      <c r="FM125" s="27"/>
      <c r="FN125" s="27"/>
      <c r="FO125" s="27"/>
      <c r="FP125" s="27"/>
      <c r="FQ125" s="27"/>
      <c r="FR125" s="27"/>
      <c r="FS125" s="27"/>
      <c r="FT125" s="27"/>
      <c r="FU125" s="27"/>
      <c r="FV125" s="27"/>
      <c r="FW125" s="27"/>
      <c r="FX125" s="27"/>
      <c r="FY125" s="27"/>
      <c r="FZ125" s="27"/>
      <c r="GA125" s="27"/>
      <c r="GB125" s="27"/>
      <c r="GC125" s="27"/>
      <c r="GD125" s="27"/>
      <c r="GE125" s="27"/>
      <c r="GF125" s="27"/>
      <c r="GG125" s="27"/>
      <c r="GH125" s="27"/>
      <c r="GI125" s="27"/>
      <c r="GJ125" s="27"/>
      <c r="GK125" s="27"/>
      <c r="GL125" s="27"/>
      <c r="GM125" s="27"/>
      <c r="GN125" s="27"/>
      <c r="GO125" s="27"/>
      <c r="GP125" s="27"/>
      <c r="GQ125" s="27"/>
      <c r="GR125" s="27"/>
      <c r="GS125" s="27"/>
      <c r="GT125" s="27"/>
      <c r="GU125" s="27"/>
      <c r="GV125" s="27"/>
      <c r="GW125" s="27"/>
      <c r="GX125" s="27"/>
      <c r="GY125" s="27"/>
      <c r="GZ125" s="27"/>
      <c r="HA125" s="27"/>
      <c r="HB125" s="27"/>
      <c r="HC125" s="27"/>
      <c r="HD125" s="27"/>
      <c r="HE125" s="27"/>
      <c r="HF125" s="27"/>
      <c r="HG125" s="27"/>
      <c r="HH125" s="27"/>
      <c r="HI125" s="27"/>
      <c r="HJ125" s="27"/>
      <c r="HK125" s="27"/>
      <c r="HL125" s="27"/>
      <c r="HM125" s="27"/>
      <c r="HN125" s="27"/>
      <c r="HO125" s="27"/>
      <c r="HP125" s="27"/>
      <c r="HQ125" s="27"/>
      <c r="HR125" s="27"/>
      <c r="HS125" s="27"/>
      <c r="HT125" s="27"/>
      <c r="HU125" s="27"/>
      <c r="HV125" s="27"/>
      <c r="HW125" s="27"/>
      <c r="HX125" s="27"/>
      <c r="HY125" s="27"/>
      <c r="HZ125" s="27"/>
      <c r="IA125" s="27"/>
      <c r="IB125" s="27"/>
      <c r="IC125" s="27"/>
      <c r="ID125" s="27"/>
      <c r="IE125" s="27"/>
      <c r="IF125" s="27"/>
      <c r="IG125" s="27"/>
      <c r="IH125" s="27"/>
      <c r="II125" s="27"/>
      <c r="IJ125" s="27"/>
      <c r="IK125" s="27"/>
      <c r="IL125" s="27"/>
      <c r="IM125" s="27"/>
      <c r="IN125" s="27"/>
      <c r="IO125" s="27"/>
      <c r="IP125" s="27"/>
      <c r="IQ125" s="27"/>
      <c r="IR125" s="27"/>
      <c r="IS125" s="27"/>
      <c r="IT125" s="27"/>
    </row>
    <row r="126" spans="1:254" ht="14.1" customHeight="1" x14ac:dyDescent="0.2">
      <c r="A126" s="27"/>
      <c r="B126" s="27"/>
      <c r="C126" s="27"/>
      <c r="D126" s="27"/>
      <c r="E126" s="27"/>
      <c r="F126" s="27"/>
      <c r="G126" s="27"/>
      <c r="H126" s="27"/>
      <c r="I126" s="27"/>
      <c r="J126" s="27"/>
      <c r="K126" s="27"/>
      <c r="L126" s="27"/>
      <c r="M126" s="27"/>
      <c r="N126" s="27"/>
      <c r="O126" s="27"/>
      <c r="P126" s="27"/>
      <c r="Q126" s="27"/>
      <c r="R126" s="27"/>
      <c r="S126" s="27"/>
      <c r="T126" s="27"/>
      <c r="U126" s="27"/>
      <c r="V126" s="27"/>
      <c r="W126" s="27"/>
      <c r="X126" s="27"/>
      <c r="Y126" s="27"/>
      <c r="Z126" s="27"/>
      <c r="AA126" s="27"/>
      <c r="AB126" s="27"/>
      <c r="AC126" s="27"/>
      <c r="AD126" s="27"/>
      <c r="AE126" s="27"/>
      <c r="AF126" s="27"/>
      <c r="AG126" s="27"/>
      <c r="AH126" s="27"/>
      <c r="AI126" s="27"/>
      <c r="AJ126" s="27"/>
      <c r="AK126" s="27"/>
      <c r="AL126" s="27"/>
      <c r="AM126" s="27"/>
      <c r="AN126" s="27"/>
      <c r="AO126" s="27"/>
      <c r="AP126" s="27"/>
      <c r="AQ126" s="27"/>
      <c r="AR126" s="27"/>
      <c r="AS126" s="27"/>
      <c r="AT126" s="27"/>
      <c r="AU126" s="27"/>
      <c r="AV126" s="27"/>
      <c r="AW126" s="27"/>
      <c r="AX126" s="27"/>
      <c r="AY126" s="27"/>
      <c r="AZ126" s="27"/>
      <c r="BA126" s="27"/>
      <c r="BB126" s="27"/>
      <c r="BC126" s="27"/>
      <c r="BD126" s="27"/>
      <c r="BE126" s="27"/>
      <c r="BF126" s="27"/>
      <c r="BG126" s="27"/>
      <c r="BH126" s="27"/>
      <c r="BI126" s="27"/>
      <c r="BJ126" s="27"/>
      <c r="BK126" s="27"/>
      <c r="BL126" s="27"/>
      <c r="BM126" s="27"/>
      <c r="BN126" s="27"/>
      <c r="BO126" s="27"/>
      <c r="BP126" s="27"/>
      <c r="BQ126" s="27"/>
      <c r="BR126" s="27"/>
      <c r="BS126" s="27"/>
      <c r="BT126" s="27"/>
      <c r="BU126" s="27"/>
      <c r="BV126" s="27"/>
      <c r="BW126" s="27"/>
      <c r="BX126" s="27"/>
      <c r="BY126" s="27"/>
      <c r="BZ126" s="27"/>
      <c r="CA126" s="27"/>
      <c r="CB126" s="27"/>
      <c r="CC126" s="27"/>
      <c r="CD126" s="27"/>
      <c r="CE126" s="27"/>
      <c r="CF126" s="27"/>
      <c r="CG126" s="27"/>
      <c r="CH126" s="27"/>
      <c r="CI126" s="27"/>
      <c r="CJ126" s="27"/>
      <c r="CK126" s="27"/>
      <c r="CL126" s="27"/>
      <c r="CM126" s="27"/>
      <c r="CN126" s="27"/>
      <c r="CO126" s="27"/>
      <c r="CP126" s="27"/>
      <c r="CQ126" s="27"/>
      <c r="CR126" s="27"/>
      <c r="CS126" s="27"/>
      <c r="CT126" s="27"/>
      <c r="CU126" s="27"/>
      <c r="CV126" s="27"/>
      <c r="CW126" s="27"/>
      <c r="CX126" s="27"/>
      <c r="CY126" s="27"/>
      <c r="CZ126" s="27"/>
      <c r="DA126" s="27"/>
      <c r="DB126" s="27"/>
      <c r="DC126" s="27"/>
      <c r="DD126" s="27"/>
      <c r="DE126" s="27"/>
      <c r="DF126" s="27"/>
      <c r="DG126" s="27"/>
      <c r="DH126" s="27"/>
      <c r="DI126" s="27"/>
      <c r="DJ126" s="27"/>
      <c r="DK126" s="27"/>
      <c r="DL126" s="27"/>
      <c r="DM126" s="27"/>
      <c r="DN126" s="27"/>
      <c r="DO126" s="27"/>
      <c r="DP126" s="27"/>
      <c r="DQ126" s="27"/>
      <c r="DR126" s="27"/>
      <c r="DS126" s="27"/>
      <c r="DT126" s="27"/>
      <c r="DU126" s="27"/>
      <c r="DV126" s="27"/>
      <c r="DW126" s="27"/>
      <c r="DX126" s="27"/>
      <c r="DY126" s="27"/>
      <c r="DZ126" s="27"/>
      <c r="EA126" s="27"/>
      <c r="EB126" s="27"/>
      <c r="EC126" s="27"/>
      <c r="ED126" s="27"/>
      <c r="EE126" s="27"/>
      <c r="EF126" s="27"/>
      <c r="EG126" s="27"/>
      <c r="EH126" s="27"/>
      <c r="EI126" s="27"/>
      <c r="EJ126" s="27"/>
      <c r="EK126" s="27"/>
      <c r="EL126" s="27"/>
      <c r="EM126" s="27"/>
      <c r="EN126" s="27"/>
      <c r="EO126" s="27"/>
      <c r="EP126" s="27"/>
      <c r="EQ126" s="27"/>
      <c r="ER126" s="27"/>
      <c r="ES126" s="27"/>
      <c r="ET126" s="27"/>
      <c r="EU126" s="27"/>
      <c r="EV126" s="27"/>
      <c r="EW126" s="27"/>
      <c r="EX126" s="27"/>
      <c r="EY126" s="27"/>
      <c r="EZ126" s="27"/>
      <c r="FA126" s="27"/>
      <c r="FB126" s="27"/>
      <c r="FC126" s="27"/>
      <c r="FD126" s="27"/>
      <c r="FE126" s="27"/>
      <c r="FF126" s="27"/>
      <c r="FG126" s="27"/>
      <c r="FH126" s="27"/>
      <c r="FI126" s="27"/>
      <c r="FJ126" s="27"/>
      <c r="FK126" s="27"/>
      <c r="FL126" s="27"/>
      <c r="FM126" s="27"/>
      <c r="FN126" s="27"/>
      <c r="FO126" s="27"/>
      <c r="FP126" s="27"/>
      <c r="FQ126" s="27"/>
      <c r="FR126" s="27"/>
      <c r="FS126" s="27"/>
      <c r="FT126" s="27"/>
      <c r="FU126" s="27"/>
      <c r="FV126" s="27"/>
      <c r="FW126" s="27"/>
      <c r="FX126" s="27"/>
      <c r="FY126" s="27"/>
      <c r="FZ126" s="27"/>
      <c r="GA126" s="27"/>
      <c r="GB126" s="27"/>
      <c r="GC126" s="27"/>
      <c r="GD126" s="27"/>
      <c r="GE126" s="27"/>
      <c r="GF126" s="27"/>
      <c r="GG126" s="27"/>
      <c r="GH126" s="27"/>
      <c r="GI126" s="27"/>
      <c r="GJ126" s="27"/>
      <c r="GK126" s="27"/>
      <c r="GL126" s="27"/>
      <c r="GM126" s="27"/>
      <c r="GN126" s="27"/>
      <c r="GO126" s="27"/>
      <c r="GP126" s="27"/>
      <c r="GQ126" s="27"/>
      <c r="GR126" s="27"/>
      <c r="GS126" s="27"/>
      <c r="GT126" s="27"/>
      <c r="GU126" s="27"/>
      <c r="GV126" s="27"/>
      <c r="GW126" s="27"/>
      <c r="GX126" s="27"/>
      <c r="GY126" s="27"/>
      <c r="GZ126" s="27"/>
      <c r="HA126" s="27"/>
      <c r="HB126" s="27"/>
      <c r="HC126" s="27"/>
      <c r="HD126" s="27"/>
      <c r="HE126" s="27"/>
      <c r="HF126" s="27"/>
      <c r="HG126" s="27"/>
      <c r="HH126" s="27"/>
      <c r="HI126" s="27"/>
      <c r="HJ126" s="27"/>
      <c r="HK126" s="27"/>
      <c r="HL126" s="27"/>
      <c r="HM126" s="27"/>
      <c r="HN126" s="27"/>
      <c r="HO126" s="27"/>
      <c r="HP126" s="27"/>
      <c r="HQ126" s="27"/>
      <c r="HR126" s="27"/>
      <c r="HS126" s="27"/>
      <c r="HT126" s="27"/>
      <c r="HU126" s="27"/>
      <c r="HV126" s="27"/>
      <c r="HW126" s="27"/>
      <c r="HX126" s="27"/>
      <c r="HY126" s="27"/>
      <c r="HZ126" s="27"/>
      <c r="IA126" s="27"/>
      <c r="IB126" s="27"/>
      <c r="IC126" s="27"/>
      <c r="ID126" s="27"/>
      <c r="IE126" s="27"/>
      <c r="IF126" s="27"/>
      <c r="IG126" s="27"/>
      <c r="IH126" s="27"/>
      <c r="II126" s="27"/>
      <c r="IJ126" s="27"/>
      <c r="IK126" s="27"/>
      <c r="IL126" s="27"/>
      <c r="IM126" s="27"/>
      <c r="IN126" s="27"/>
      <c r="IO126" s="27"/>
      <c r="IP126" s="27"/>
      <c r="IQ126" s="27"/>
      <c r="IR126" s="27"/>
      <c r="IS126" s="27"/>
      <c r="IT126" s="27"/>
    </row>
    <row r="128" spans="1:254" s="1" customFormat="1" ht="12.75" customHeight="1" x14ac:dyDescent="0.25">
      <c r="A128" s="1021" t="s">
        <v>605</v>
      </c>
      <c r="B128" s="1022"/>
      <c r="C128" s="1022"/>
      <c r="D128" s="1022"/>
      <c r="E128" s="1022"/>
      <c r="F128" s="1022"/>
      <c r="G128" s="1022"/>
      <c r="H128" s="1022"/>
      <c r="I128" s="1022"/>
      <c r="J128" s="1022"/>
      <c r="K128" s="1022"/>
      <c r="L128" s="1022"/>
      <c r="M128" s="1022"/>
    </row>
    <row r="129" spans="1:13" s="1" customFormat="1" ht="14.1" customHeight="1" x14ac:dyDescent="0.25">
      <c r="A129" s="974" t="s">
        <v>0</v>
      </c>
      <c r="B129" s="975" t="s">
        <v>1</v>
      </c>
      <c r="C129" s="974" t="s">
        <v>2</v>
      </c>
      <c r="D129" s="976" t="s">
        <v>260</v>
      </c>
      <c r="E129" s="969" t="s">
        <v>259</v>
      </c>
      <c r="F129" s="971" t="s">
        <v>600</v>
      </c>
      <c r="G129" s="972"/>
      <c r="H129" s="971" t="s">
        <v>601</v>
      </c>
      <c r="I129" s="972"/>
      <c r="J129" s="971" t="s">
        <v>602</v>
      </c>
      <c r="K129" s="972"/>
      <c r="L129" s="1019" t="s">
        <v>1265</v>
      </c>
      <c r="M129" s="1020"/>
    </row>
    <row r="130" spans="1:13" s="3" customFormat="1" ht="27" customHeight="1" x14ac:dyDescent="0.25">
      <c r="A130" s="974"/>
      <c r="B130" s="975"/>
      <c r="C130" s="974"/>
      <c r="D130" s="976"/>
      <c r="E130" s="970"/>
      <c r="F130" s="2" t="s">
        <v>263</v>
      </c>
      <c r="G130" s="2" t="s">
        <v>259</v>
      </c>
      <c r="H130" s="2" t="s">
        <v>260</v>
      </c>
      <c r="I130" s="2" t="s">
        <v>259</v>
      </c>
      <c r="J130" s="2" t="s">
        <v>260</v>
      </c>
      <c r="K130" s="2" t="s">
        <v>259</v>
      </c>
      <c r="L130" s="284" t="s">
        <v>260</v>
      </c>
      <c r="M130" s="284" t="s">
        <v>259</v>
      </c>
    </row>
    <row r="131" spans="1:13" ht="5.65" customHeight="1" x14ac:dyDescent="0.25"/>
    <row r="132" spans="1:13" ht="14.1" customHeight="1" x14ac:dyDescent="0.25">
      <c r="A132" s="973" t="s">
        <v>194</v>
      </c>
      <c r="B132" s="973"/>
      <c r="C132" s="973"/>
      <c r="D132" s="973"/>
      <c r="E132" s="973"/>
      <c r="F132" s="973"/>
      <c r="G132" s="973"/>
      <c r="H132" s="973"/>
      <c r="I132" s="973"/>
      <c r="J132" s="98"/>
      <c r="K132" s="98"/>
      <c r="L132" s="98"/>
      <c r="M132" s="98"/>
    </row>
    <row r="133" spans="1:13" ht="14.1" customHeight="1" x14ac:dyDescent="0.25">
      <c r="A133" s="24" t="s">
        <v>195</v>
      </c>
      <c r="B133" s="24" t="s">
        <v>196</v>
      </c>
      <c r="C133" s="25" t="s">
        <v>197</v>
      </c>
      <c r="D133" s="26">
        <f>F133+H133+J133</f>
        <v>0</v>
      </c>
      <c r="E133" s="26">
        <f>G133+I133+K133</f>
        <v>380</v>
      </c>
      <c r="F133" s="26"/>
      <c r="G133" s="26"/>
      <c r="H133" s="26"/>
      <c r="I133" s="26">
        <v>380</v>
      </c>
      <c r="J133" s="26"/>
      <c r="K133" s="26"/>
      <c r="L133" s="26"/>
      <c r="M133" s="26"/>
    </row>
    <row r="134" spans="1:13" ht="14.1" customHeight="1" x14ac:dyDescent="0.25">
      <c r="A134" s="24" t="s">
        <v>198</v>
      </c>
      <c r="B134" s="24" t="s">
        <v>199</v>
      </c>
      <c r="C134" s="25" t="s">
        <v>200</v>
      </c>
      <c r="D134" s="26">
        <f t="shared" ref="D134:D146" si="33">F134+H134+J134</f>
        <v>0</v>
      </c>
      <c r="E134" s="26">
        <f t="shared" ref="E134:E145" si="34">G134+I134+K134</f>
        <v>0</v>
      </c>
      <c r="F134" s="26"/>
      <c r="G134" s="26"/>
      <c r="H134" s="26"/>
      <c r="I134" s="26"/>
      <c r="J134" s="26"/>
      <c r="K134" s="26"/>
      <c r="L134" s="26"/>
      <c r="M134" s="26"/>
    </row>
    <row r="135" spans="1:13" ht="14.1" customHeight="1" x14ac:dyDescent="0.25">
      <c r="A135" s="24" t="s">
        <v>201</v>
      </c>
      <c r="B135" s="24" t="s">
        <v>202</v>
      </c>
      <c r="C135" s="25" t="s">
        <v>203</v>
      </c>
      <c r="D135" s="26">
        <f t="shared" si="33"/>
        <v>0</v>
      </c>
      <c r="E135" s="26">
        <f t="shared" si="34"/>
        <v>0</v>
      </c>
      <c r="F135" s="26"/>
      <c r="G135" s="26"/>
      <c r="H135" s="26"/>
      <c r="I135" s="26"/>
      <c r="J135" s="26"/>
      <c r="K135" s="26"/>
      <c r="L135" s="26"/>
      <c r="M135" s="26"/>
    </row>
    <row r="136" spans="1:13" ht="14.1" customHeight="1" x14ac:dyDescent="0.25">
      <c r="A136" s="24" t="s">
        <v>204</v>
      </c>
      <c r="B136" s="24" t="s">
        <v>205</v>
      </c>
      <c r="C136" s="25" t="s">
        <v>206</v>
      </c>
      <c r="D136" s="26">
        <f t="shared" si="33"/>
        <v>1100</v>
      </c>
      <c r="E136" s="26">
        <f t="shared" si="34"/>
        <v>670</v>
      </c>
      <c r="F136" s="26">
        <v>1100</v>
      </c>
      <c r="G136" s="26"/>
      <c r="H136" s="26"/>
      <c r="I136" s="26">
        <v>670</v>
      </c>
      <c r="J136" s="26"/>
      <c r="K136" s="26"/>
      <c r="L136" s="26"/>
      <c r="M136" s="26"/>
    </row>
    <row r="137" spans="1:13" ht="14.1" customHeight="1" x14ac:dyDescent="0.25">
      <c r="A137" s="24"/>
      <c r="B137" s="24" t="s">
        <v>207</v>
      </c>
      <c r="C137" s="25" t="s">
        <v>208</v>
      </c>
      <c r="D137" s="26">
        <f t="shared" si="33"/>
        <v>0</v>
      </c>
      <c r="E137" s="26">
        <f t="shared" si="34"/>
        <v>0</v>
      </c>
      <c r="F137" s="26"/>
      <c r="G137" s="26"/>
      <c r="H137" s="26"/>
      <c r="I137" s="26"/>
      <c r="J137" s="26"/>
      <c r="K137" s="26"/>
      <c r="L137" s="26"/>
      <c r="M137" s="26"/>
    </row>
    <row r="138" spans="1:13" ht="14.1" customHeight="1" x14ac:dyDescent="0.25">
      <c r="A138" s="24" t="s">
        <v>209</v>
      </c>
      <c r="B138" s="24" t="s">
        <v>210</v>
      </c>
      <c r="C138" s="25" t="s">
        <v>211</v>
      </c>
      <c r="D138" s="26">
        <f t="shared" si="33"/>
        <v>0</v>
      </c>
      <c r="E138" s="26">
        <f t="shared" si="34"/>
        <v>0</v>
      </c>
      <c r="F138" s="26"/>
      <c r="G138" s="26"/>
      <c r="H138" s="26"/>
      <c r="I138" s="26"/>
      <c r="J138" s="26"/>
      <c r="K138" s="26"/>
      <c r="L138" s="26"/>
      <c r="M138" s="26"/>
    </row>
    <row r="139" spans="1:13" ht="14.1" customHeight="1" x14ac:dyDescent="0.25">
      <c r="A139" s="24" t="s">
        <v>212</v>
      </c>
      <c r="B139" s="24" t="s">
        <v>213</v>
      </c>
      <c r="C139" s="25" t="s">
        <v>214</v>
      </c>
      <c r="D139" s="26">
        <f t="shared" si="33"/>
        <v>0</v>
      </c>
      <c r="E139" s="26">
        <f t="shared" si="34"/>
        <v>0</v>
      </c>
      <c r="F139" s="26"/>
      <c r="G139" s="26"/>
      <c r="H139" s="26"/>
      <c r="I139" s="26"/>
      <c r="J139" s="26"/>
      <c r="K139" s="26"/>
      <c r="L139" s="26"/>
      <c r="M139" s="26"/>
    </row>
    <row r="140" spans="1:13" ht="14.1" customHeight="1" x14ac:dyDescent="0.25">
      <c r="A140" s="24" t="s">
        <v>215</v>
      </c>
      <c r="B140" s="24" t="s">
        <v>216</v>
      </c>
      <c r="C140" s="25" t="s">
        <v>217</v>
      </c>
      <c r="D140" s="26">
        <f t="shared" si="33"/>
        <v>297</v>
      </c>
      <c r="E140" s="26">
        <f t="shared" si="34"/>
        <v>284</v>
      </c>
      <c r="F140" s="26">
        <v>297</v>
      </c>
      <c r="G140" s="26">
        <f>ROUND((G133+G134+G135+G136+G137)*0.27,0)</f>
        <v>0</v>
      </c>
      <c r="H140" s="26">
        <v>0</v>
      </c>
      <c r="I140" s="26">
        <f>ROUND((I133+I134+I135+I136+I137)*0.27,0)</f>
        <v>284</v>
      </c>
      <c r="J140" s="26"/>
      <c r="K140" s="26"/>
      <c r="L140" s="26"/>
      <c r="M140" s="26"/>
    </row>
    <row r="141" spans="1:13" s="3" customFormat="1" ht="14.1" customHeight="1" x14ac:dyDescent="0.25">
      <c r="A141" s="20" t="s">
        <v>218</v>
      </c>
      <c r="B141" s="21" t="s">
        <v>219</v>
      </c>
      <c r="C141" s="23" t="s">
        <v>220</v>
      </c>
      <c r="D141" s="23">
        <f>SUM(D133:D140)</f>
        <v>1397</v>
      </c>
      <c r="E141" s="23">
        <f t="shared" ref="E141:K141" si="35">SUM(E133:E140)</f>
        <v>1334</v>
      </c>
      <c r="F141" s="23">
        <f t="shared" si="35"/>
        <v>1397</v>
      </c>
      <c r="G141" s="23">
        <f t="shared" si="35"/>
        <v>0</v>
      </c>
      <c r="H141" s="23">
        <f t="shared" si="35"/>
        <v>0</v>
      </c>
      <c r="I141" s="23">
        <f t="shared" si="35"/>
        <v>1334</v>
      </c>
      <c r="J141" s="23">
        <f t="shared" si="35"/>
        <v>0</v>
      </c>
      <c r="K141" s="23">
        <f t="shared" si="35"/>
        <v>0</v>
      </c>
      <c r="L141" s="23">
        <f>SUM(L133:L140)</f>
        <v>0</v>
      </c>
      <c r="M141" s="23">
        <f>SUM(M133:M140)</f>
        <v>0</v>
      </c>
    </row>
    <row r="142" spans="1:13" ht="14.1" customHeight="1" x14ac:dyDescent="0.25">
      <c r="A142" s="24" t="s">
        <v>221</v>
      </c>
      <c r="B142" s="24" t="s">
        <v>222</v>
      </c>
      <c r="C142" s="25" t="s">
        <v>223</v>
      </c>
      <c r="D142" s="26">
        <f t="shared" si="33"/>
        <v>0</v>
      </c>
      <c r="E142" s="26">
        <f t="shared" si="34"/>
        <v>0</v>
      </c>
      <c r="F142" s="26"/>
      <c r="G142" s="26"/>
      <c r="H142" s="26"/>
      <c r="I142" s="26"/>
      <c r="J142" s="26"/>
      <c r="K142" s="26"/>
      <c r="L142" s="26"/>
      <c r="M142" s="26"/>
    </row>
    <row r="143" spans="1:13" ht="14.1" customHeight="1" x14ac:dyDescent="0.25">
      <c r="A143" s="24" t="s">
        <v>224</v>
      </c>
      <c r="B143" s="24" t="s">
        <v>225</v>
      </c>
      <c r="C143" s="25" t="s">
        <v>226</v>
      </c>
      <c r="D143" s="26">
        <f t="shared" si="33"/>
        <v>0</v>
      </c>
      <c r="E143" s="26">
        <f t="shared" si="34"/>
        <v>0</v>
      </c>
      <c r="F143" s="26"/>
      <c r="G143" s="26"/>
      <c r="H143" s="26"/>
      <c r="I143" s="26"/>
      <c r="J143" s="26"/>
      <c r="K143" s="26"/>
      <c r="L143" s="26"/>
      <c r="M143" s="26"/>
    </row>
    <row r="144" spans="1:13" ht="14.1" customHeight="1" x14ac:dyDescent="0.25">
      <c r="A144" s="24" t="s">
        <v>227</v>
      </c>
      <c r="B144" s="24" t="s">
        <v>228</v>
      </c>
      <c r="C144" s="25" t="s">
        <v>229</v>
      </c>
      <c r="D144" s="26">
        <f t="shared" si="33"/>
        <v>0</v>
      </c>
      <c r="E144" s="26">
        <f t="shared" si="34"/>
        <v>0</v>
      </c>
      <c r="F144" s="26"/>
      <c r="G144" s="26"/>
      <c r="H144" s="26"/>
      <c r="I144" s="26"/>
      <c r="J144" s="26"/>
      <c r="K144" s="26"/>
      <c r="L144" s="26"/>
      <c r="M144" s="26"/>
    </row>
    <row r="145" spans="1:13" ht="14.1" customHeight="1" x14ac:dyDescent="0.25">
      <c r="A145" s="24"/>
      <c r="B145" s="24" t="s">
        <v>230</v>
      </c>
      <c r="C145" s="25" t="s">
        <v>231</v>
      </c>
      <c r="D145" s="26">
        <f t="shared" si="33"/>
        <v>0</v>
      </c>
      <c r="E145" s="26">
        <f t="shared" si="34"/>
        <v>0</v>
      </c>
      <c r="F145" s="26"/>
      <c r="G145" s="26"/>
      <c r="H145" s="26"/>
      <c r="I145" s="26"/>
      <c r="J145" s="26"/>
      <c r="K145" s="26"/>
      <c r="L145" s="26"/>
      <c r="M145" s="26"/>
    </row>
    <row r="146" spans="1:13" ht="14.1" customHeight="1" x14ac:dyDescent="0.25">
      <c r="A146" s="24" t="s">
        <v>232</v>
      </c>
      <c r="B146" s="24" t="s">
        <v>233</v>
      </c>
      <c r="C146" s="25" t="s">
        <v>234</v>
      </c>
      <c r="D146" s="26">
        <f t="shared" si="33"/>
        <v>0</v>
      </c>
      <c r="E146" s="26">
        <f>G146+I146</f>
        <v>0</v>
      </c>
      <c r="F146" s="26">
        <v>0</v>
      </c>
      <c r="G146" s="26">
        <f>ROUND((G142+G143+G144+G145)*0.27,0)</f>
        <v>0</v>
      </c>
      <c r="H146" s="26">
        <v>0</v>
      </c>
      <c r="I146" s="26">
        <f>ROUND((I142+I143+I144+I145)*0.27,0)</f>
        <v>0</v>
      </c>
      <c r="J146" s="26"/>
      <c r="K146" s="26"/>
      <c r="L146" s="26"/>
      <c r="M146" s="26"/>
    </row>
    <row r="147" spans="1:13" s="3" customFormat="1" ht="14.1" customHeight="1" x14ac:dyDescent="0.25">
      <c r="A147" s="20" t="s">
        <v>235</v>
      </c>
      <c r="B147" s="21" t="s">
        <v>236</v>
      </c>
      <c r="C147" s="23" t="s">
        <v>237</v>
      </c>
      <c r="D147" s="23">
        <f>SUM(D142:D146)</f>
        <v>0</v>
      </c>
      <c r="E147" s="23">
        <f t="shared" ref="E147:K147" si="36">SUM(E142:E146)</f>
        <v>0</v>
      </c>
      <c r="F147" s="23">
        <f t="shared" si="36"/>
        <v>0</v>
      </c>
      <c r="G147" s="23">
        <f t="shared" si="36"/>
        <v>0</v>
      </c>
      <c r="H147" s="23">
        <f t="shared" si="36"/>
        <v>0</v>
      </c>
      <c r="I147" s="23">
        <f t="shared" si="36"/>
        <v>0</v>
      </c>
      <c r="J147" s="23">
        <f t="shared" si="36"/>
        <v>0</v>
      </c>
      <c r="K147" s="23">
        <f t="shared" si="36"/>
        <v>0</v>
      </c>
      <c r="L147" s="23">
        <f>SUM(L142:L146)</f>
        <v>0</v>
      </c>
      <c r="M147" s="23">
        <f>SUM(M142:M146)</f>
        <v>0</v>
      </c>
    </row>
    <row r="148" spans="1:13" s="3" customFormat="1" ht="14.1" customHeight="1" x14ac:dyDescent="0.25">
      <c r="A148" s="977" t="s">
        <v>293</v>
      </c>
      <c r="B148" s="978"/>
      <c r="C148" s="979" t="s">
        <v>238</v>
      </c>
      <c r="D148" s="28">
        <f>D141+D147</f>
        <v>1397</v>
      </c>
      <c r="E148" s="28">
        <f t="shared" ref="E148:K148" si="37">E141+E147</f>
        <v>1334</v>
      </c>
      <c r="F148" s="28">
        <f t="shared" si="37"/>
        <v>1397</v>
      </c>
      <c r="G148" s="28">
        <f t="shared" si="37"/>
        <v>0</v>
      </c>
      <c r="H148" s="28">
        <f t="shared" si="37"/>
        <v>0</v>
      </c>
      <c r="I148" s="28">
        <f t="shared" si="37"/>
        <v>1334</v>
      </c>
      <c r="J148" s="28">
        <f t="shared" si="37"/>
        <v>0</v>
      </c>
      <c r="K148" s="28">
        <f t="shared" si="37"/>
        <v>0</v>
      </c>
      <c r="L148" s="28">
        <f>L141+L147</f>
        <v>0</v>
      </c>
      <c r="M148" s="28">
        <f>M141+M147</f>
        <v>0</v>
      </c>
    </row>
    <row r="149" spans="1:13" ht="6.75" customHeight="1" x14ac:dyDescent="0.25"/>
    <row r="150" spans="1:13" ht="14.1" customHeight="1" x14ac:dyDescent="0.25">
      <c r="A150" s="966" t="s">
        <v>294</v>
      </c>
      <c r="B150" s="967"/>
      <c r="C150" s="968"/>
      <c r="D150" s="29">
        <f>D148+D124</f>
        <v>126336</v>
      </c>
      <c r="E150" s="29">
        <f t="shared" ref="E150:K150" si="38">E148+E124</f>
        <v>143279</v>
      </c>
      <c r="F150" s="29">
        <f t="shared" si="38"/>
        <v>19834</v>
      </c>
      <c r="G150" s="29">
        <f t="shared" si="38"/>
        <v>18121</v>
      </c>
      <c r="H150" s="29">
        <f t="shared" si="38"/>
        <v>102444</v>
      </c>
      <c r="I150" s="29">
        <f t="shared" si="38"/>
        <v>113036</v>
      </c>
      <c r="J150" s="29">
        <f t="shared" si="38"/>
        <v>4058</v>
      </c>
      <c r="K150" s="29">
        <f t="shared" si="38"/>
        <v>4122</v>
      </c>
      <c r="L150" s="29">
        <f>L148+L124</f>
        <v>0</v>
      </c>
      <c r="M150" s="29">
        <f>M148+M124</f>
        <v>8000</v>
      </c>
    </row>
    <row r="155" spans="1:13" s="1" customFormat="1" ht="12.75" customHeight="1" x14ac:dyDescent="0.25">
      <c r="A155" s="1021" t="s">
        <v>604</v>
      </c>
      <c r="B155" s="1022"/>
      <c r="C155" s="1022"/>
      <c r="D155" s="1022"/>
      <c r="E155" s="1022"/>
      <c r="F155" s="1022"/>
      <c r="G155" s="1022"/>
      <c r="H155" s="1022"/>
      <c r="I155" s="1022"/>
      <c r="J155" s="1022"/>
      <c r="K155" s="1022"/>
      <c r="L155" s="1022"/>
      <c r="M155" s="1022"/>
    </row>
    <row r="156" spans="1:13" s="1" customFormat="1" ht="14.1" customHeight="1" x14ac:dyDescent="0.25">
      <c r="A156" s="974" t="s">
        <v>0</v>
      </c>
      <c r="B156" s="975" t="s">
        <v>1</v>
      </c>
      <c r="C156" s="974" t="s">
        <v>2</v>
      </c>
      <c r="D156" s="976" t="s">
        <v>260</v>
      </c>
      <c r="E156" s="969" t="s">
        <v>259</v>
      </c>
      <c r="F156" s="971" t="s">
        <v>600</v>
      </c>
      <c r="G156" s="972"/>
      <c r="H156" s="971" t="s">
        <v>601</v>
      </c>
      <c r="I156" s="972"/>
      <c r="J156" s="971" t="s">
        <v>602</v>
      </c>
      <c r="K156" s="972"/>
      <c r="L156" s="1019" t="s">
        <v>1265</v>
      </c>
      <c r="M156" s="1020"/>
    </row>
    <row r="157" spans="1:13" s="3" customFormat="1" ht="23.25" customHeight="1" x14ac:dyDescent="0.25">
      <c r="A157" s="974"/>
      <c r="B157" s="975"/>
      <c r="C157" s="974"/>
      <c r="D157" s="976"/>
      <c r="E157" s="970"/>
      <c r="F157" s="2" t="s">
        <v>263</v>
      </c>
      <c r="G157" s="2" t="s">
        <v>259</v>
      </c>
      <c r="H157" s="2" t="s">
        <v>260</v>
      </c>
      <c r="I157" s="2" t="s">
        <v>259</v>
      </c>
      <c r="J157" s="2" t="s">
        <v>260</v>
      </c>
      <c r="K157" s="2" t="s">
        <v>259</v>
      </c>
      <c r="L157" s="284" t="s">
        <v>260</v>
      </c>
      <c r="M157" s="284" t="s">
        <v>259</v>
      </c>
    </row>
    <row r="158" spans="1:13" ht="5.65" customHeight="1" x14ac:dyDescent="0.25"/>
    <row r="159" spans="1:13" ht="14.1" customHeight="1" x14ac:dyDescent="0.25">
      <c r="A159" s="973" t="s">
        <v>239</v>
      </c>
      <c r="B159" s="973"/>
      <c r="C159" s="973"/>
      <c r="D159" s="973"/>
      <c r="E159" s="973"/>
      <c r="F159" s="973"/>
      <c r="G159" s="973"/>
      <c r="H159" s="973"/>
      <c r="I159" s="973"/>
      <c r="J159" s="98"/>
      <c r="K159" s="98"/>
      <c r="L159" s="98"/>
      <c r="M159" s="98"/>
    </row>
    <row r="160" spans="1:13" s="3" customFormat="1" ht="14.1" customHeight="1" x14ac:dyDescent="0.25">
      <c r="A160" s="20" t="s">
        <v>240</v>
      </c>
      <c r="B160" s="20"/>
      <c r="C160" s="21" t="s">
        <v>241</v>
      </c>
      <c r="D160" s="23">
        <f>SUM(D161:D170)</f>
        <v>34002</v>
      </c>
      <c r="E160" s="23">
        <f t="shared" ref="E160:K160" si="39">SUM(E161:E170)</f>
        <v>34002</v>
      </c>
      <c r="F160" s="23">
        <f t="shared" si="39"/>
        <v>14991</v>
      </c>
      <c r="G160" s="23">
        <f t="shared" si="39"/>
        <v>14991</v>
      </c>
      <c r="H160" s="23">
        <f t="shared" si="39"/>
        <v>19011</v>
      </c>
      <c r="I160" s="23">
        <f t="shared" si="39"/>
        <v>19011</v>
      </c>
      <c r="J160" s="23">
        <f t="shared" si="39"/>
        <v>0</v>
      </c>
      <c r="K160" s="23">
        <f t="shared" si="39"/>
        <v>0</v>
      </c>
      <c r="L160" s="23">
        <f>SUM(L161:L170)</f>
        <v>0</v>
      </c>
      <c r="M160" s="23">
        <f>SUM(M161:M170)</f>
        <v>0</v>
      </c>
    </row>
    <row r="161" spans="1:13" ht="14.1" customHeight="1" x14ac:dyDescent="0.25">
      <c r="A161" s="24" t="s">
        <v>242</v>
      </c>
      <c r="B161" s="24"/>
      <c r="C161" s="25" t="s">
        <v>243</v>
      </c>
      <c r="D161" s="26">
        <f t="shared" ref="D161:D170" si="40">F161+H161+J161</f>
        <v>0</v>
      </c>
      <c r="E161" s="26">
        <f>G161+I161+K161</f>
        <v>0</v>
      </c>
      <c r="F161" s="26"/>
      <c r="G161" s="26"/>
      <c r="H161" s="26"/>
      <c r="I161" s="26"/>
      <c r="J161" s="26"/>
      <c r="K161" s="26"/>
      <c r="L161" s="26"/>
      <c r="M161" s="26"/>
    </row>
    <row r="162" spans="1:13" ht="14.1" customHeight="1" x14ac:dyDescent="0.25">
      <c r="A162" s="24" t="s">
        <v>244</v>
      </c>
      <c r="B162" s="24"/>
      <c r="C162" s="25" t="s">
        <v>245</v>
      </c>
      <c r="D162" s="26">
        <f t="shared" si="40"/>
        <v>22340</v>
      </c>
      <c r="E162" s="26">
        <f t="shared" ref="E162:E170" si="41">G162+I162+K162</f>
        <v>22340</v>
      </c>
      <c r="F162" s="26">
        <v>11410</v>
      </c>
      <c r="G162" s="26">
        <v>11410</v>
      </c>
      <c r="H162" s="26">
        <v>10930</v>
      </c>
      <c r="I162" s="26">
        <v>10930</v>
      </c>
      <c r="J162" s="26"/>
      <c r="K162" s="26"/>
      <c r="L162" s="26"/>
      <c r="M162" s="26"/>
    </row>
    <row r="163" spans="1:13" ht="14.1" customHeight="1" x14ac:dyDescent="0.25">
      <c r="A163" s="24" t="s">
        <v>246</v>
      </c>
      <c r="B163" s="24"/>
      <c r="C163" s="25" t="s">
        <v>247</v>
      </c>
      <c r="D163" s="26">
        <f t="shared" si="40"/>
        <v>4000</v>
      </c>
      <c r="E163" s="26">
        <f t="shared" si="41"/>
        <v>4000</v>
      </c>
      <c r="F163" s="26"/>
      <c r="G163" s="26"/>
      <c r="H163" s="26">
        <v>4000</v>
      </c>
      <c r="I163" s="26">
        <v>4000</v>
      </c>
      <c r="J163" s="26"/>
      <c r="K163" s="26"/>
      <c r="L163" s="26"/>
      <c r="M163" s="26"/>
    </row>
    <row r="164" spans="1:13" ht="14.1" customHeight="1" x14ac:dyDescent="0.25">
      <c r="A164" s="24" t="s">
        <v>248</v>
      </c>
      <c r="B164" s="24"/>
      <c r="C164" s="25" t="s">
        <v>249</v>
      </c>
      <c r="D164" s="26">
        <f t="shared" si="40"/>
        <v>0</v>
      </c>
      <c r="E164" s="26">
        <f t="shared" si="41"/>
        <v>0</v>
      </c>
      <c r="F164" s="26"/>
      <c r="G164" s="26"/>
      <c r="H164" s="26"/>
      <c r="I164" s="26"/>
      <c r="J164" s="26"/>
      <c r="K164" s="26"/>
      <c r="L164" s="26"/>
      <c r="M164" s="26"/>
    </row>
    <row r="165" spans="1:13" ht="14.1" customHeight="1" x14ac:dyDescent="0.25">
      <c r="A165" s="24" t="s">
        <v>296</v>
      </c>
      <c r="B165" s="24"/>
      <c r="C165" s="25" t="s">
        <v>297</v>
      </c>
      <c r="D165" s="26">
        <f t="shared" si="40"/>
        <v>0</v>
      </c>
      <c r="E165" s="26">
        <f t="shared" si="41"/>
        <v>0</v>
      </c>
      <c r="F165" s="26"/>
      <c r="G165" s="26"/>
      <c r="H165" s="26"/>
      <c r="I165" s="26"/>
      <c r="J165" s="26"/>
      <c r="K165" s="26"/>
      <c r="L165" s="26"/>
      <c r="M165" s="26"/>
    </row>
    <row r="166" spans="1:13" ht="14.1" customHeight="1" x14ac:dyDescent="0.25">
      <c r="A166" s="24" t="s">
        <v>250</v>
      </c>
      <c r="B166" s="24"/>
      <c r="C166" s="25" t="s">
        <v>251</v>
      </c>
      <c r="D166" s="26">
        <f t="shared" si="40"/>
        <v>7112</v>
      </c>
      <c r="E166" s="26">
        <f t="shared" si="41"/>
        <v>7112</v>
      </c>
      <c r="F166" s="26">
        <v>3081</v>
      </c>
      <c r="G166" s="26">
        <f>ROUND((G161+G162+G163+G164+G165)*0.27,0)</f>
        <v>3081</v>
      </c>
      <c r="H166" s="26">
        <v>4031</v>
      </c>
      <c r="I166" s="26">
        <f>ROUND((I161+I162+I163+I164+I165)*0.27,0)</f>
        <v>4031</v>
      </c>
      <c r="J166" s="26"/>
      <c r="K166" s="26"/>
      <c r="L166" s="26"/>
      <c r="M166" s="26"/>
    </row>
    <row r="167" spans="1:13" ht="14.1" customHeight="1" x14ac:dyDescent="0.25">
      <c r="A167" s="24" t="s">
        <v>298</v>
      </c>
      <c r="B167" s="24"/>
      <c r="C167" s="25" t="s">
        <v>299</v>
      </c>
      <c r="D167" s="26">
        <f t="shared" si="40"/>
        <v>0</v>
      </c>
      <c r="E167" s="26">
        <f t="shared" si="41"/>
        <v>0</v>
      </c>
      <c r="F167" s="26"/>
      <c r="G167" s="26"/>
      <c r="H167" s="26"/>
      <c r="I167" s="26"/>
      <c r="J167" s="26"/>
      <c r="K167" s="26"/>
      <c r="L167" s="26"/>
      <c r="M167" s="26"/>
    </row>
    <row r="168" spans="1:13" ht="14.1" customHeight="1" x14ac:dyDescent="0.25">
      <c r="A168" s="24" t="s">
        <v>252</v>
      </c>
      <c r="B168" s="24"/>
      <c r="C168" s="25" t="s">
        <v>253</v>
      </c>
      <c r="D168" s="26">
        <f t="shared" si="40"/>
        <v>50</v>
      </c>
      <c r="E168" s="26">
        <f t="shared" si="41"/>
        <v>50</v>
      </c>
      <c r="F168" s="26"/>
      <c r="G168" s="26"/>
      <c r="H168" s="26">
        <v>50</v>
      </c>
      <c r="I168" s="26">
        <v>50</v>
      </c>
      <c r="J168" s="26"/>
      <c r="K168" s="26"/>
      <c r="L168" s="26"/>
      <c r="M168" s="26"/>
    </row>
    <row r="169" spans="1:13" ht="14.1" customHeight="1" x14ac:dyDescent="0.25">
      <c r="A169" s="24" t="s">
        <v>300</v>
      </c>
      <c r="B169" s="24"/>
      <c r="C169" s="25" t="s">
        <v>301</v>
      </c>
      <c r="D169" s="26">
        <f t="shared" si="40"/>
        <v>0</v>
      </c>
      <c r="E169" s="26">
        <f t="shared" si="41"/>
        <v>0</v>
      </c>
      <c r="F169" s="26"/>
      <c r="G169" s="26"/>
      <c r="H169" s="26"/>
      <c r="I169" s="26"/>
      <c r="J169" s="26"/>
      <c r="K169" s="26"/>
      <c r="L169" s="26"/>
      <c r="M169" s="26"/>
    </row>
    <row r="170" spans="1:13" ht="14.1" customHeight="1" x14ac:dyDescent="0.25">
      <c r="A170" s="24" t="s">
        <v>254</v>
      </c>
      <c r="B170" s="24"/>
      <c r="C170" s="25" t="s">
        <v>255</v>
      </c>
      <c r="D170" s="26">
        <f t="shared" si="40"/>
        <v>500</v>
      </c>
      <c r="E170" s="26">
        <f t="shared" si="41"/>
        <v>500</v>
      </c>
      <c r="F170" s="26">
        <v>500</v>
      </c>
      <c r="G170" s="26">
        <v>500</v>
      </c>
      <c r="H170" s="26"/>
      <c r="I170" s="26"/>
      <c r="J170" s="26"/>
      <c r="K170" s="26"/>
      <c r="L170" s="26"/>
      <c r="M170" s="26"/>
    </row>
    <row r="171" spans="1:13" s="3" customFormat="1" ht="14.1" customHeight="1" x14ac:dyDescent="0.25">
      <c r="A171" s="20" t="s">
        <v>256</v>
      </c>
      <c r="B171" s="20"/>
      <c r="C171" s="21" t="s">
        <v>257</v>
      </c>
      <c r="D171" s="23">
        <f>F171+H171</f>
        <v>0</v>
      </c>
      <c r="E171" s="23">
        <f>G171+I171</f>
        <v>0</v>
      </c>
      <c r="F171" s="23">
        <v>0</v>
      </c>
      <c r="G171" s="23">
        <v>0</v>
      </c>
      <c r="H171" s="23">
        <v>0</v>
      </c>
      <c r="I171" s="23">
        <v>0</v>
      </c>
      <c r="J171" s="23">
        <v>0</v>
      </c>
      <c r="K171" s="23">
        <v>0</v>
      </c>
      <c r="L171" s="23">
        <v>0</v>
      </c>
      <c r="M171" s="23">
        <v>0</v>
      </c>
    </row>
    <row r="172" spans="1:13" s="3" customFormat="1" ht="14.1" customHeight="1" x14ac:dyDescent="0.25">
      <c r="A172" s="966" t="s">
        <v>295</v>
      </c>
      <c r="B172" s="967"/>
      <c r="C172" s="968"/>
      <c r="D172" s="29">
        <f>D160+D171</f>
        <v>34002</v>
      </c>
      <c r="E172" s="29">
        <f t="shared" ref="E172:K172" si="42">E160+E171</f>
        <v>34002</v>
      </c>
      <c r="F172" s="29">
        <f t="shared" si="42"/>
        <v>14991</v>
      </c>
      <c r="G172" s="29">
        <f t="shared" si="42"/>
        <v>14991</v>
      </c>
      <c r="H172" s="29">
        <f t="shared" si="42"/>
        <v>19011</v>
      </c>
      <c r="I172" s="29">
        <f t="shared" si="42"/>
        <v>19011</v>
      </c>
      <c r="J172" s="29">
        <f t="shared" si="42"/>
        <v>0</v>
      </c>
      <c r="K172" s="29">
        <f t="shared" si="42"/>
        <v>0</v>
      </c>
      <c r="L172" s="29">
        <f>L160+L171</f>
        <v>0</v>
      </c>
      <c r="M172" s="29">
        <f>M160+M171</f>
        <v>0</v>
      </c>
    </row>
  </sheetData>
  <sheetProtection selectLockedCells="1" selectUnlockedCells="1"/>
  <mergeCells count="49">
    <mergeCell ref="A172:C172"/>
    <mergeCell ref="A156:A157"/>
    <mergeCell ref="B156:B157"/>
    <mergeCell ref="C156:C157"/>
    <mergeCell ref="D156:D157"/>
    <mergeCell ref="A124:C124"/>
    <mergeCell ref="A129:A130"/>
    <mergeCell ref="B129:B130"/>
    <mergeCell ref="A159:I159"/>
    <mergeCell ref="E156:E157"/>
    <mergeCell ref="F156:G156"/>
    <mergeCell ref="A132:I132"/>
    <mergeCell ref="A148:C148"/>
    <mergeCell ref="A150:C150"/>
    <mergeCell ref="H156:I156"/>
    <mergeCell ref="D129:D130"/>
    <mergeCell ref="E129:E130"/>
    <mergeCell ref="F129:G129"/>
    <mergeCell ref="H129:I129"/>
    <mergeCell ref="C129:C130"/>
    <mergeCell ref="A1:M1"/>
    <mergeCell ref="A40:M40"/>
    <mergeCell ref="A128:M128"/>
    <mergeCell ref="A155:M155"/>
    <mergeCell ref="A2:A3"/>
    <mergeCell ref="B2:B3"/>
    <mergeCell ref="A5:I5"/>
    <mergeCell ref="A39:C39"/>
    <mergeCell ref="A41:A42"/>
    <mergeCell ref="B41:B42"/>
    <mergeCell ref="C41:C42"/>
    <mergeCell ref="D41:D42"/>
    <mergeCell ref="E41:E42"/>
    <mergeCell ref="F41:G41"/>
    <mergeCell ref="H41:I41"/>
    <mergeCell ref="A44:I44"/>
    <mergeCell ref="J2:K2"/>
    <mergeCell ref="L2:M2"/>
    <mergeCell ref="L41:M41"/>
    <mergeCell ref="L129:M129"/>
    <mergeCell ref="L156:M156"/>
    <mergeCell ref="J41:K41"/>
    <mergeCell ref="J156:K156"/>
    <mergeCell ref="J129:K129"/>
    <mergeCell ref="C2:C3"/>
    <mergeCell ref="D2:D3"/>
    <mergeCell ref="E2:E3"/>
    <mergeCell ref="F2:G2"/>
    <mergeCell ref="H2:I2"/>
  </mergeCells>
  <printOptions horizontalCentered="1"/>
  <pageMargins left="0.15748031496062992" right="0.15748031496062992" top="0.19685039370078741" bottom="0.15748031496062992" header="0.31496062992125984" footer="0.31496062992125984"/>
  <pageSetup paperSize="8" fitToHeight="0" orientation="portrait" useFirstPageNumber="1" copies="2" r:id="rId1"/>
  <headerFooter alignWithMargins="0"/>
  <rowBreaks count="1" manualBreakCount="1">
    <brk id="154" max="16383" man="1"/>
  </rowBreaks>
  <legacy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pageSetUpPr fitToPage="1"/>
  </sheetPr>
  <dimension ref="A1:IR211"/>
  <sheetViews>
    <sheetView view="pageBreakPreview" topLeftCell="B1" zoomScale="150" zoomScaleNormal="100" zoomScaleSheetLayoutView="150" workbookViewId="0">
      <pane ySplit="4" topLeftCell="A26" activePane="bottomLeft" state="frozen"/>
      <selection pane="bottomLeft" activeCell="G70" sqref="G70"/>
    </sheetView>
  </sheetViews>
  <sheetFormatPr defaultColWidth="11.7109375" defaultRowHeight="14.1" customHeight="1" x14ac:dyDescent="0.25"/>
  <cols>
    <col min="1" max="1" width="5.7109375" style="4" customWidth="1"/>
    <col min="2" max="2" width="7.7109375" style="4" customWidth="1"/>
    <col min="3" max="3" width="31.7109375" style="5" customWidth="1"/>
    <col min="4" max="5" width="10.85546875" style="6" customWidth="1"/>
    <col min="6" max="6" width="9.85546875" style="6" bestFit="1" customWidth="1"/>
    <col min="7" max="7" width="9.85546875" style="6" customWidth="1"/>
    <col min="8" max="8" width="10.7109375" style="6" customWidth="1"/>
    <col min="9" max="9" width="12" style="6" customWidth="1"/>
    <col min="10" max="16384" width="11.7109375" style="5"/>
  </cols>
  <sheetData>
    <row r="1" spans="1:9" s="1" customFormat="1" ht="12.75" customHeight="1" x14ac:dyDescent="0.25">
      <c r="A1" s="974" t="s">
        <v>369</v>
      </c>
      <c r="B1" s="974"/>
      <c r="C1" s="974"/>
      <c r="D1" s="974"/>
      <c r="E1" s="974"/>
      <c r="F1" s="974"/>
      <c r="G1" s="974"/>
      <c r="H1" s="974"/>
      <c r="I1" s="974"/>
    </row>
    <row r="2" spans="1:9" s="1" customFormat="1" ht="14.1" customHeight="1" x14ac:dyDescent="0.25">
      <c r="A2" s="974" t="s">
        <v>0</v>
      </c>
      <c r="B2" s="975" t="s">
        <v>1</v>
      </c>
      <c r="C2" s="974" t="s">
        <v>2</v>
      </c>
      <c r="D2" s="976" t="s">
        <v>260</v>
      </c>
      <c r="E2" s="969" t="s">
        <v>259</v>
      </c>
      <c r="F2" s="971" t="s">
        <v>261</v>
      </c>
      <c r="G2" s="972"/>
      <c r="H2" s="971" t="s">
        <v>262</v>
      </c>
      <c r="I2" s="972"/>
    </row>
    <row r="3" spans="1:9" s="3" customFormat="1" ht="25.5" customHeight="1" x14ac:dyDescent="0.25">
      <c r="A3" s="974"/>
      <c r="B3" s="975"/>
      <c r="C3" s="974"/>
      <c r="D3" s="976"/>
      <c r="E3" s="970"/>
      <c r="F3" s="2" t="s">
        <v>263</v>
      </c>
      <c r="G3" s="2" t="s">
        <v>259</v>
      </c>
      <c r="H3" s="2" t="s">
        <v>260</v>
      </c>
      <c r="I3" s="2" t="s">
        <v>259</v>
      </c>
    </row>
    <row r="4" spans="1:9" ht="5.65" customHeight="1" x14ac:dyDescent="0.25"/>
    <row r="5" spans="1:9" ht="14.1" customHeight="1" x14ac:dyDescent="0.25">
      <c r="A5" s="973" t="s">
        <v>3</v>
      </c>
      <c r="B5" s="973"/>
      <c r="C5" s="973"/>
      <c r="D5" s="973"/>
      <c r="E5" s="973"/>
      <c r="F5" s="973"/>
      <c r="G5" s="973"/>
      <c r="H5" s="973"/>
      <c r="I5" s="973"/>
    </row>
    <row r="6" spans="1:9" s="3" customFormat="1" ht="12.75" customHeight="1" x14ac:dyDescent="0.25">
      <c r="A6" s="7" t="s">
        <v>4</v>
      </c>
      <c r="B6" s="7" t="s">
        <v>5</v>
      </c>
      <c r="C6" s="8" t="s">
        <v>6</v>
      </c>
      <c r="D6" s="9">
        <f>F6+H6</f>
        <v>84832</v>
      </c>
      <c r="E6" s="9">
        <f>G6+I6</f>
        <v>83501</v>
      </c>
      <c r="F6" s="10">
        <v>84832</v>
      </c>
      <c r="G6" s="10">
        <f>SUM(G7:G39)</f>
        <v>83501</v>
      </c>
      <c r="H6" s="10">
        <v>0</v>
      </c>
      <c r="I6" s="10">
        <f>SUM(I7:I19)</f>
        <v>0</v>
      </c>
    </row>
    <row r="7" spans="1:9" s="15" customFormat="1" ht="11.45" customHeight="1" x14ac:dyDescent="0.25">
      <c r="A7" s="11"/>
      <c r="B7" s="11"/>
      <c r="C7" s="12" t="s">
        <v>372</v>
      </c>
      <c r="D7" s="13"/>
      <c r="E7" s="13"/>
      <c r="F7" s="14"/>
      <c r="G7" s="14">
        <v>3996</v>
      </c>
      <c r="H7" s="14"/>
      <c r="I7" s="14"/>
    </row>
    <row r="8" spans="1:9" s="15" customFormat="1" ht="11.45" customHeight="1" x14ac:dyDescent="0.25">
      <c r="A8" s="11"/>
      <c r="B8" s="11"/>
      <c r="C8" s="12" t="s">
        <v>373</v>
      </c>
      <c r="D8" s="13"/>
      <c r="E8" s="13"/>
      <c r="F8" s="14"/>
      <c r="G8" s="14">
        <v>4012</v>
      </c>
      <c r="H8" s="14"/>
      <c r="I8" s="14"/>
    </row>
    <row r="9" spans="1:9" s="15" customFormat="1" ht="11.45" customHeight="1" x14ac:dyDescent="0.25">
      <c r="A9" s="11"/>
      <c r="B9" s="11"/>
      <c r="C9" s="12" t="s">
        <v>374</v>
      </c>
      <c r="D9" s="13"/>
      <c r="E9" s="13"/>
      <c r="F9" s="14"/>
      <c r="G9" s="14">
        <v>3180</v>
      </c>
      <c r="H9" s="14"/>
      <c r="I9" s="14"/>
    </row>
    <row r="10" spans="1:9" s="15" customFormat="1" ht="11.45" customHeight="1" x14ac:dyDescent="0.25">
      <c r="A10" s="11"/>
      <c r="B10" s="11"/>
      <c r="C10" s="12" t="s">
        <v>375</v>
      </c>
      <c r="D10" s="13"/>
      <c r="E10" s="13"/>
      <c r="F10" s="14"/>
      <c r="G10" s="14">
        <v>1541</v>
      </c>
      <c r="H10" s="14"/>
      <c r="I10" s="14"/>
    </row>
    <row r="11" spans="1:9" s="15" customFormat="1" ht="11.45" customHeight="1" x14ac:dyDescent="0.25">
      <c r="A11" s="11"/>
      <c r="B11" s="11"/>
      <c r="C11" s="12" t="s">
        <v>376</v>
      </c>
      <c r="D11" s="13"/>
      <c r="E11" s="13"/>
      <c r="F11" s="14"/>
      <c r="G11" s="14">
        <v>2865</v>
      </c>
      <c r="H11" s="14"/>
      <c r="I11" s="14"/>
    </row>
    <row r="12" spans="1:9" s="15" customFormat="1" ht="11.45" customHeight="1" x14ac:dyDescent="0.25">
      <c r="A12" s="11"/>
      <c r="B12" s="11"/>
      <c r="C12" s="12" t="s">
        <v>377</v>
      </c>
      <c r="D12" s="13"/>
      <c r="E12" s="13"/>
      <c r="F12" s="14"/>
      <c r="G12" s="14">
        <v>4937</v>
      </c>
      <c r="H12" s="14"/>
      <c r="I12" s="14"/>
    </row>
    <row r="13" spans="1:9" s="15" customFormat="1" ht="11.45" customHeight="1" x14ac:dyDescent="0.25">
      <c r="A13" s="11"/>
      <c r="B13" s="11"/>
      <c r="C13" s="12" t="s">
        <v>378</v>
      </c>
      <c r="D13" s="13"/>
      <c r="E13" s="13"/>
      <c r="F13" s="14"/>
      <c r="G13" s="14">
        <f>1615+7*12</f>
        <v>1699</v>
      </c>
      <c r="H13" s="14"/>
      <c r="I13" s="14"/>
    </row>
    <row r="14" spans="1:9" s="15" customFormat="1" ht="11.45" customHeight="1" x14ac:dyDescent="0.25">
      <c r="A14" s="11"/>
      <c r="B14" s="11"/>
      <c r="C14" s="12" t="s">
        <v>379</v>
      </c>
      <c r="D14" s="13"/>
      <c r="E14" s="13"/>
      <c r="F14" s="14"/>
      <c r="G14" s="14">
        <v>3188</v>
      </c>
      <c r="H14" s="14"/>
      <c r="I14" s="14"/>
    </row>
    <row r="15" spans="1:9" s="15" customFormat="1" ht="11.45" customHeight="1" x14ac:dyDescent="0.25">
      <c r="A15" s="11"/>
      <c r="B15" s="11"/>
      <c r="C15" s="12" t="s">
        <v>380</v>
      </c>
      <c r="D15" s="13"/>
      <c r="E15" s="13"/>
      <c r="F15" s="14"/>
      <c r="G15" s="14">
        <v>3901</v>
      </c>
      <c r="H15" s="14"/>
      <c r="I15" s="14"/>
    </row>
    <row r="16" spans="1:9" s="15" customFormat="1" ht="11.45" customHeight="1" x14ac:dyDescent="0.25">
      <c r="A16" s="11"/>
      <c r="B16" s="11"/>
      <c r="C16" s="12" t="s">
        <v>381</v>
      </c>
      <c r="D16" s="13"/>
      <c r="E16" s="13"/>
      <c r="F16" s="14"/>
      <c r="G16" s="14">
        <v>4115</v>
      </c>
      <c r="H16" s="14"/>
      <c r="I16" s="14"/>
    </row>
    <row r="17" spans="1:9" s="15" customFormat="1" ht="11.45" customHeight="1" x14ac:dyDescent="0.25">
      <c r="A17" s="11"/>
      <c r="B17" s="11"/>
      <c r="C17" s="12" t="s">
        <v>382</v>
      </c>
      <c r="D17" s="13"/>
      <c r="E17" s="13"/>
      <c r="F17" s="14"/>
      <c r="G17" s="14">
        <v>1541</v>
      </c>
      <c r="H17" s="14"/>
      <c r="I17" s="14"/>
    </row>
    <row r="18" spans="1:9" s="15" customFormat="1" ht="11.45" customHeight="1" x14ac:dyDescent="0.25">
      <c r="A18" s="11"/>
      <c r="B18" s="11"/>
      <c r="C18" s="12" t="s">
        <v>383</v>
      </c>
      <c r="D18" s="13"/>
      <c r="E18" s="13"/>
      <c r="F18" s="14"/>
      <c r="G18" s="14">
        <v>1541</v>
      </c>
      <c r="H18" s="14"/>
      <c r="I18" s="14"/>
    </row>
    <row r="19" spans="1:9" s="15" customFormat="1" ht="11.45" customHeight="1" x14ac:dyDescent="0.25">
      <c r="A19" s="11"/>
      <c r="B19" s="11"/>
      <c r="C19" s="12" t="s">
        <v>384</v>
      </c>
      <c r="D19" s="13"/>
      <c r="E19" s="13"/>
      <c r="F19" s="14"/>
      <c r="G19" s="14">
        <f>1624+7*12</f>
        <v>1708</v>
      </c>
      <c r="H19" s="14"/>
      <c r="I19" s="14"/>
    </row>
    <row r="20" spans="1:9" s="15" customFormat="1" ht="11.45" customHeight="1" x14ac:dyDescent="0.25">
      <c r="A20" s="11"/>
      <c r="B20" s="11"/>
      <c r="C20" s="12" t="s">
        <v>385</v>
      </c>
      <c r="D20" s="13"/>
      <c r="E20" s="13"/>
      <c r="F20" s="14"/>
      <c r="G20" s="14">
        <v>3900</v>
      </c>
      <c r="H20" s="14"/>
      <c r="I20" s="14"/>
    </row>
    <row r="21" spans="1:9" s="15" customFormat="1" ht="11.45" customHeight="1" x14ac:dyDescent="0.25">
      <c r="A21" s="11"/>
      <c r="B21" s="11"/>
      <c r="C21" s="12" t="s">
        <v>386</v>
      </c>
      <c r="D21" s="13"/>
      <c r="E21" s="13"/>
      <c r="F21" s="14"/>
      <c r="G21" s="14">
        <v>1541</v>
      </c>
      <c r="H21" s="14"/>
      <c r="I21" s="14"/>
    </row>
    <row r="22" spans="1:9" s="15" customFormat="1" ht="11.45" customHeight="1" x14ac:dyDescent="0.25">
      <c r="A22" s="11"/>
      <c r="B22" s="11"/>
      <c r="C22" s="12" t="s">
        <v>387</v>
      </c>
      <c r="D22" s="13"/>
      <c r="E22" s="13"/>
      <c r="F22" s="14"/>
      <c r="G22" s="14">
        <v>2769</v>
      </c>
      <c r="H22" s="14"/>
      <c r="I22" s="14"/>
    </row>
    <row r="23" spans="1:9" s="15" customFormat="1" ht="11.45" customHeight="1" x14ac:dyDescent="0.25">
      <c r="A23" s="11"/>
      <c r="B23" s="11"/>
      <c r="C23" s="12" t="s">
        <v>388</v>
      </c>
      <c r="D23" s="13"/>
      <c r="E23" s="13"/>
      <c r="F23" s="14"/>
      <c r="G23" s="14">
        <f>1572+7*12</f>
        <v>1656</v>
      </c>
      <c r="H23" s="14"/>
      <c r="I23" s="14"/>
    </row>
    <row r="24" spans="1:9" s="15" customFormat="1" ht="11.45" customHeight="1" x14ac:dyDescent="0.25">
      <c r="A24" s="11"/>
      <c r="B24" s="11"/>
      <c r="C24" s="12" t="s">
        <v>389</v>
      </c>
      <c r="D24" s="13"/>
      <c r="E24" s="13"/>
      <c r="F24" s="14"/>
      <c r="G24" s="14">
        <f>1592+7*12</f>
        <v>1676</v>
      </c>
      <c r="H24" s="14"/>
      <c r="I24" s="14"/>
    </row>
    <row r="25" spans="1:9" s="15" customFormat="1" ht="11.45" customHeight="1" x14ac:dyDescent="0.25">
      <c r="A25" s="11"/>
      <c r="B25" s="11"/>
      <c r="C25" s="12" t="s">
        <v>390</v>
      </c>
      <c r="D25" s="13"/>
      <c r="E25" s="13"/>
      <c r="F25" s="14"/>
      <c r="G25" s="14">
        <v>3695</v>
      </c>
      <c r="H25" s="14"/>
      <c r="I25" s="14"/>
    </row>
    <row r="26" spans="1:9" s="15" customFormat="1" ht="11.45" customHeight="1" x14ac:dyDescent="0.25">
      <c r="A26" s="11"/>
      <c r="B26" s="11"/>
      <c r="C26" s="12" t="s">
        <v>391</v>
      </c>
      <c r="D26" s="13"/>
      <c r="E26" s="13"/>
      <c r="F26" s="14"/>
      <c r="G26" s="14">
        <f>1572+7*12</f>
        <v>1656</v>
      </c>
      <c r="H26" s="14"/>
      <c r="I26" s="14"/>
    </row>
    <row r="27" spans="1:9" s="15" customFormat="1" ht="11.45" customHeight="1" x14ac:dyDescent="0.25">
      <c r="A27" s="11"/>
      <c r="B27" s="11"/>
      <c r="C27" s="12" t="s">
        <v>392</v>
      </c>
      <c r="D27" s="13"/>
      <c r="E27" s="13"/>
      <c r="F27" s="14"/>
      <c r="G27" s="14">
        <v>2057</v>
      </c>
      <c r="H27" s="14"/>
      <c r="I27" s="14"/>
    </row>
    <row r="28" spans="1:9" s="15" customFormat="1" ht="11.45" customHeight="1" x14ac:dyDescent="0.25">
      <c r="A28" s="11"/>
      <c r="B28" s="11"/>
      <c r="C28" s="12" t="s">
        <v>393</v>
      </c>
      <c r="D28" s="13"/>
      <c r="E28" s="13"/>
      <c r="F28" s="14"/>
      <c r="G28" s="14">
        <v>3292</v>
      </c>
      <c r="H28" s="14"/>
      <c r="I28" s="14"/>
    </row>
    <row r="29" spans="1:9" s="15" customFormat="1" ht="11.45" customHeight="1" x14ac:dyDescent="0.25">
      <c r="A29" s="11"/>
      <c r="B29" s="11"/>
      <c r="C29" s="12" t="s">
        <v>394</v>
      </c>
      <c r="D29" s="13"/>
      <c r="E29" s="13"/>
      <c r="F29" s="14"/>
      <c r="G29" s="14">
        <v>1541</v>
      </c>
      <c r="H29" s="14"/>
      <c r="I29" s="14"/>
    </row>
    <row r="30" spans="1:9" s="15" customFormat="1" ht="11.45" customHeight="1" x14ac:dyDescent="0.25">
      <c r="A30" s="11"/>
      <c r="B30" s="11"/>
      <c r="C30" s="12" t="s">
        <v>395</v>
      </c>
      <c r="D30" s="13"/>
      <c r="E30" s="13"/>
      <c r="F30" s="14"/>
      <c r="G30" s="14">
        <v>771</v>
      </c>
      <c r="H30" s="14"/>
      <c r="I30" s="14"/>
    </row>
    <row r="31" spans="1:9" s="15" customFormat="1" ht="11.45" customHeight="1" x14ac:dyDescent="0.25">
      <c r="A31" s="11"/>
      <c r="B31" s="11"/>
      <c r="C31" s="12" t="s">
        <v>396</v>
      </c>
      <c r="D31" s="13"/>
      <c r="E31" s="13"/>
      <c r="F31" s="14"/>
      <c r="G31" s="14">
        <v>4620</v>
      </c>
      <c r="H31" s="14"/>
      <c r="I31" s="14"/>
    </row>
    <row r="32" spans="1:9" s="15" customFormat="1" ht="11.45" customHeight="1" x14ac:dyDescent="0.25">
      <c r="A32" s="11"/>
      <c r="B32" s="11"/>
      <c r="C32" s="12" t="s">
        <v>397</v>
      </c>
      <c r="D32" s="13"/>
      <c r="E32" s="13"/>
      <c r="F32" s="14"/>
      <c r="G32" s="14">
        <f>1572+7*12</f>
        <v>1656</v>
      </c>
      <c r="H32" s="14"/>
      <c r="I32" s="14"/>
    </row>
    <row r="33" spans="1:9" s="15" customFormat="1" ht="11.45" customHeight="1" x14ac:dyDescent="0.25">
      <c r="A33" s="11"/>
      <c r="B33" s="11"/>
      <c r="C33" s="12" t="s">
        <v>398</v>
      </c>
      <c r="D33" s="13"/>
      <c r="E33" s="13"/>
      <c r="F33" s="14"/>
      <c r="G33" s="14">
        <f>1632+7*12</f>
        <v>1716</v>
      </c>
      <c r="H33" s="14"/>
      <c r="I33" s="14"/>
    </row>
    <row r="34" spans="1:9" s="15" customFormat="1" ht="11.45" customHeight="1" x14ac:dyDescent="0.25">
      <c r="A34" s="11"/>
      <c r="B34" s="11"/>
      <c r="C34" s="12" t="s">
        <v>399</v>
      </c>
      <c r="D34" s="13"/>
      <c r="E34" s="13"/>
      <c r="F34" s="14"/>
      <c r="G34" s="14">
        <v>1541</v>
      </c>
      <c r="H34" s="14"/>
      <c r="I34" s="14"/>
    </row>
    <row r="35" spans="1:9" s="15" customFormat="1" ht="11.45" customHeight="1" x14ac:dyDescent="0.25">
      <c r="A35" s="11"/>
      <c r="B35" s="11"/>
      <c r="C35" s="12" t="s">
        <v>400</v>
      </c>
      <c r="D35" s="13"/>
      <c r="E35" s="13"/>
      <c r="F35" s="14"/>
      <c r="G35" s="14">
        <v>3789</v>
      </c>
      <c r="H35" s="14"/>
      <c r="I35" s="14"/>
    </row>
    <row r="36" spans="1:9" s="15" customFormat="1" ht="11.45" customHeight="1" x14ac:dyDescent="0.25">
      <c r="A36" s="11"/>
      <c r="B36" s="11"/>
      <c r="C36" s="12" t="s">
        <v>401</v>
      </c>
      <c r="D36" s="13"/>
      <c r="E36" s="13"/>
      <c r="F36" s="14"/>
      <c r="G36" s="14">
        <v>1632</v>
      </c>
      <c r="H36" s="14"/>
      <c r="I36" s="14"/>
    </row>
    <row r="37" spans="1:9" s="15" customFormat="1" ht="11.45" customHeight="1" x14ac:dyDescent="0.25">
      <c r="A37" s="11"/>
      <c r="B37" s="11"/>
      <c r="C37" s="12" t="s">
        <v>402</v>
      </c>
      <c r="D37" s="13"/>
      <c r="E37" s="13"/>
      <c r="F37" s="14"/>
      <c r="G37" s="14">
        <v>3511</v>
      </c>
      <c r="H37" s="14"/>
      <c r="I37" s="14"/>
    </row>
    <row r="38" spans="1:9" s="15" customFormat="1" ht="11.45" customHeight="1" x14ac:dyDescent="0.25">
      <c r="A38" s="11"/>
      <c r="B38" s="11"/>
      <c r="C38" s="12" t="s">
        <v>1154</v>
      </c>
      <c r="D38" s="13"/>
      <c r="E38" s="13"/>
      <c r="F38" s="14"/>
      <c r="G38" s="14">
        <v>710</v>
      </c>
      <c r="H38" s="14"/>
      <c r="I38" s="14"/>
    </row>
    <row r="39" spans="1:9" s="15" customFormat="1" ht="11.45" customHeight="1" x14ac:dyDescent="0.25">
      <c r="A39" s="11"/>
      <c r="B39" s="11"/>
      <c r="C39" s="12" t="s">
        <v>1248</v>
      </c>
      <c r="D39" s="13"/>
      <c r="E39" s="13"/>
      <c r="F39" s="14"/>
      <c r="G39" s="14">
        <f>129*12</f>
        <v>1548</v>
      </c>
      <c r="H39" s="14"/>
      <c r="I39" s="14"/>
    </row>
    <row r="40" spans="1:9" s="3" customFormat="1" ht="12.75" customHeight="1" x14ac:dyDescent="0.25">
      <c r="A40" s="7" t="s">
        <v>7</v>
      </c>
      <c r="B40" s="7" t="s">
        <v>8</v>
      </c>
      <c r="C40" s="8" t="s">
        <v>9</v>
      </c>
      <c r="D40" s="9">
        <f t="shared" ref="D40:E42" si="0">F40+H40</f>
        <v>0</v>
      </c>
      <c r="E40" s="9">
        <f t="shared" si="0"/>
        <v>0</v>
      </c>
      <c r="F40" s="10">
        <v>0</v>
      </c>
      <c r="G40" s="10">
        <v>0</v>
      </c>
      <c r="H40" s="10">
        <v>0</v>
      </c>
      <c r="I40" s="10">
        <v>0</v>
      </c>
    </row>
    <row r="41" spans="1:9" s="3" customFormat="1" ht="12.75" customHeight="1" x14ac:dyDescent="0.25">
      <c r="A41" s="7" t="s">
        <v>10</v>
      </c>
      <c r="B41" s="7" t="s">
        <v>11</v>
      </c>
      <c r="C41" s="8" t="s">
        <v>12</v>
      </c>
      <c r="D41" s="9">
        <f t="shared" si="0"/>
        <v>0</v>
      </c>
      <c r="E41" s="9">
        <f t="shared" si="0"/>
        <v>0</v>
      </c>
      <c r="F41" s="10">
        <v>0</v>
      </c>
      <c r="G41" s="10">
        <v>0</v>
      </c>
      <c r="H41" s="10">
        <v>0</v>
      </c>
      <c r="I41" s="10">
        <v>0</v>
      </c>
    </row>
    <row r="42" spans="1:9" s="3" customFormat="1" ht="12.75" customHeight="1" x14ac:dyDescent="0.25">
      <c r="A42" s="7" t="s">
        <v>13</v>
      </c>
      <c r="B42" s="7" t="s">
        <v>14</v>
      </c>
      <c r="C42" s="8" t="s">
        <v>15</v>
      </c>
      <c r="D42" s="9">
        <f t="shared" si="0"/>
        <v>700</v>
      </c>
      <c r="E42" s="9">
        <f t="shared" si="0"/>
        <v>1500</v>
      </c>
      <c r="F42" s="10">
        <f>SUM(F43:F44)</f>
        <v>700</v>
      </c>
      <c r="G42" s="10">
        <f>SUM(G43:G44)</f>
        <v>1500</v>
      </c>
      <c r="H42" s="10">
        <v>0</v>
      </c>
      <c r="I42" s="10">
        <f>SUM(I43:I44)</f>
        <v>0</v>
      </c>
    </row>
    <row r="43" spans="1:9" s="15" customFormat="1" ht="11.45" customHeight="1" x14ac:dyDescent="0.25">
      <c r="A43" s="11"/>
      <c r="B43" s="11"/>
      <c r="C43" s="12" t="s">
        <v>16</v>
      </c>
      <c r="D43" s="13"/>
      <c r="E43" s="13"/>
      <c r="F43" s="14">
        <v>700</v>
      </c>
      <c r="G43" s="14">
        <v>1500</v>
      </c>
      <c r="H43" s="14"/>
      <c r="I43" s="14"/>
    </row>
    <row r="44" spans="1:9" s="15" customFormat="1" ht="11.45" customHeight="1" x14ac:dyDescent="0.25">
      <c r="A44" s="11"/>
      <c r="B44" s="11"/>
      <c r="C44" s="12" t="s">
        <v>17</v>
      </c>
      <c r="D44" s="13"/>
      <c r="E44" s="13"/>
      <c r="F44" s="14"/>
      <c r="G44" s="14"/>
      <c r="H44" s="14"/>
      <c r="I44" s="14"/>
    </row>
    <row r="45" spans="1:9" s="3" customFormat="1" ht="12.75" customHeight="1" x14ac:dyDescent="0.25">
      <c r="A45" s="7" t="s">
        <v>18</v>
      </c>
      <c r="B45" s="7" t="s">
        <v>19</v>
      </c>
      <c r="C45" s="8" t="s">
        <v>20</v>
      </c>
      <c r="D45" s="9">
        <f t="shared" ref="D45:E49" si="1">F45+H45</f>
        <v>0</v>
      </c>
      <c r="E45" s="9">
        <f t="shared" si="1"/>
        <v>0</v>
      </c>
      <c r="F45" s="10">
        <v>0</v>
      </c>
      <c r="G45" s="10">
        <v>0</v>
      </c>
      <c r="H45" s="10">
        <v>0</v>
      </c>
      <c r="I45" s="10">
        <v>0</v>
      </c>
    </row>
    <row r="46" spans="1:9" s="3" customFormat="1" ht="12.75" customHeight="1" x14ac:dyDescent="0.25">
      <c r="A46" s="7" t="s">
        <v>21</v>
      </c>
      <c r="B46" s="7" t="s">
        <v>22</v>
      </c>
      <c r="C46" s="8" t="s">
        <v>23</v>
      </c>
      <c r="D46" s="9">
        <f t="shared" si="1"/>
        <v>4038</v>
      </c>
      <c r="E46" s="9">
        <f t="shared" si="1"/>
        <v>1683</v>
      </c>
      <c r="F46" s="10">
        <v>4038</v>
      </c>
      <c r="G46" s="10">
        <f>SUM(G47:G48)</f>
        <v>1683</v>
      </c>
      <c r="H46" s="10">
        <v>0</v>
      </c>
      <c r="I46" s="10">
        <v>0</v>
      </c>
    </row>
    <row r="47" spans="1:9" s="3" customFormat="1" ht="12.75" customHeight="1" x14ac:dyDescent="0.25">
      <c r="A47" s="11"/>
      <c r="B47" s="11"/>
      <c r="C47" s="12" t="s">
        <v>1250</v>
      </c>
      <c r="D47" s="13"/>
      <c r="E47" s="13"/>
      <c r="F47" s="14"/>
      <c r="G47" s="14">
        <f>ROUND(5*336500/1000,0)</f>
        <v>1683</v>
      </c>
      <c r="H47" s="14"/>
      <c r="I47" s="14"/>
    </row>
    <row r="48" spans="1:9" s="3" customFormat="1" ht="12.75" customHeight="1" x14ac:dyDescent="0.25">
      <c r="A48" s="11"/>
      <c r="B48" s="11"/>
      <c r="C48" s="12"/>
      <c r="D48" s="13"/>
      <c r="E48" s="13"/>
      <c r="F48" s="14"/>
      <c r="G48" s="14"/>
      <c r="H48" s="14"/>
      <c r="I48" s="14"/>
    </row>
    <row r="49" spans="1:9" s="3" customFormat="1" ht="12.75" customHeight="1" x14ac:dyDescent="0.25">
      <c r="A49" s="7" t="s">
        <v>24</v>
      </c>
      <c r="B49" s="7" t="s">
        <v>25</v>
      </c>
      <c r="C49" s="8" t="s">
        <v>26</v>
      </c>
      <c r="D49" s="9">
        <f t="shared" si="1"/>
        <v>2976</v>
      </c>
      <c r="E49" s="9">
        <f t="shared" si="1"/>
        <v>2976</v>
      </c>
      <c r="F49" s="10">
        <v>2976</v>
      </c>
      <c r="G49" s="10">
        <f>G50</f>
        <v>2976</v>
      </c>
      <c r="H49" s="10">
        <v>0</v>
      </c>
      <c r="I49" s="10">
        <f>I50</f>
        <v>0</v>
      </c>
    </row>
    <row r="50" spans="1:9" s="15" customFormat="1" ht="11.45" customHeight="1" x14ac:dyDescent="0.25">
      <c r="A50" s="11"/>
      <c r="B50" s="11"/>
      <c r="C50" s="12" t="s">
        <v>403</v>
      </c>
      <c r="D50" s="13"/>
      <c r="E50" s="13"/>
      <c r="F50" s="14">
        <v>2976</v>
      </c>
      <c r="G50" s="14">
        <v>2976</v>
      </c>
      <c r="H50" s="14"/>
      <c r="I50" s="14"/>
    </row>
    <row r="51" spans="1:9" s="3" customFormat="1" ht="12.75" customHeight="1" x14ac:dyDescent="0.25">
      <c r="A51" s="7" t="s">
        <v>27</v>
      </c>
      <c r="B51" s="7" t="s">
        <v>28</v>
      </c>
      <c r="C51" s="8" t="s">
        <v>29</v>
      </c>
      <c r="D51" s="9">
        <f t="shared" ref="D51:E53" si="2">F51+H51</f>
        <v>0</v>
      </c>
      <c r="E51" s="9">
        <f t="shared" si="2"/>
        <v>0</v>
      </c>
      <c r="F51" s="10">
        <v>0</v>
      </c>
      <c r="G51" s="10">
        <v>0</v>
      </c>
      <c r="H51" s="10">
        <v>0</v>
      </c>
      <c r="I51" s="10">
        <v>0</v>
      </c>
    </row>
    <row r="52" spans="1:9" s="3" customFormat="1" ht="12.75" customHeight="1" x14ac:dyDescent="0.25">
      <c r="A52" s="7" t="s">
        <v>30</v>
      </c>
      <c r="B52" s="7" t="s">
        <v>31</v>
      </c>
      <c r="C52" s="8" t="s">
        <v>32</v>
      </c>
      <c r="D52" s="9">
        <f t="shared" si="2"/>
        <v>400</v>
      </c>
      <c r="E52" s="9">
        <f t="shared" si="2"/>
        <v>440</v>
      </c>
      <c r="F52" s="10">
        <v>400</v>
      </c>
      <c r="G52" s="10">
        <v>440</v>
      </c>
      <c r="H52" s="10">
        <v>0</v>
      </c>
      <c r="I52" s="10">
        <v>0</v>
      </c>
    </row>
    <row r="53" spans="1:9" s="3" customFormat="1" ht="12.75" customHeight="1" x14ac:dyDescent="0.25">
      <c r="A53" s="7" t="s">
        <v>33</v>
      </c>
      <c r="B53" s="7" t="s">
        <v>34</v>
      </c>
      <c r="C53" s="8" t="s">
        <v>35</v>
      </c>
      <c r="D53" s="9">
        <f t="shared" si="2"/>
        <v>0</v>
      </c>
      <c r="E53" s="9">
        <f t="shared" si="2"/>
        <v>492</v>
      </c>
      <c r="F53" s="10">
        <v>0</v>
      </c>
      <c r="G53" s="10">
        <f>G54+G55</f>
        <v>492</v>
      </c>
      <c r="H53" s="10">
        <v>0</v>
      </c>
      <c r="I53" s="10">
        <f>I54</f>
        <v>0</v>
      </c>
    </row>
    <row r="54" spans="1:9" s="3" customFormat="1" ht="12.75" customHeight="1" x14ac:dyDescent="0.25">
      <c r="A54" s="11"/>
      <c r="B54" s="11"/>
      <c r="C54" s="12" t="s">
        <v>279</v>
      </c>
      <c r="D54" s="13"/>
      <c r="E54" s="13"/>
      <c r="F54" s="14"/>
      <c r="G54" s="14">
        <v>120</v>
      </c>
      <c r="H54" s="14"/>
      <c r="I54" s="14"/>
    </row>
    <row r="55" spans="1:9" s="3" customFormat="1" ht="12.75" customHeight="1" x14ac:dyDescent="0.25">
      <c r="A55" s="11"/>
      <c r="B55" s="11"/>
      <c r="C55" s="12" t="s">
        <v>1266</v>
      </c>
      <c r="D55" s="13"/>
      <c r="E55" s="13"/>
      <c r="F55" s="14"/>
      <c r="G55" s="14">
        <v>372</v>
      </c>
      <c r="H55" s="14"/>
      <c r="I55" s="14"/>
    </row>
    <row r="56" spans="1:9" s="3" customFormat="1" ht="12.75" customHeight="1" x14ac:dyDescent="0.25">
      <c r="A56" s="7" t="s">
        <v>36</v>
      </c>
      <c r="B56" s="7" t="s">
        <v>37</v>
      </c>
      <c r="C56" s="8" t="s">
        <v>38</v>
      </c>
      <c r="D56" s="9">
        <f>F56+H56</f>
        <v>0</v>
      </c>
      <c r="E56" s="9">
        <f>G56+I56</f>
        <v>0</v>
      </c>
      <c r="F56" s="10">
        <v>0</v>
      </c>
      <c r="G56" s="10">
        <v>0</v>
      </c>
      <c r="H56" s="10">
        <v>0</v>
      </c>
      <c r="I56" s="10">
        <v>0</v>
      </c>
    </row>
    <row r="57" spans="1:9" s="3" customFormat="1" ht="12.75" customHeight="1" x14ac:dyDescent="0.25">
      <c r="A57" s="7" t="s">
        <v>39</v>
      </c>
      <c r="B57" s="7" t="s">
        <v>40</v>
      </c>
      <c r="C57" s="8" t="s">
        <v>41</v>
      </c>
      <c r="D57" s="9">
        <f>F57+H57</f>
        <v>380</v>
      </c>
      <c r="E57" s="9">
        <f>G57+I57</f>
        <v>334</v>
      </c>
      <c r="F57" s="10">
        <f>F58</f>
        <v>380</v>
      </c>
      <c r="G57" s="10">
        <f>G58</f>
        <v>334</v>
      </c>
      <c r="H57" s="10">
        <f>H58</f>
        <v>0</v>
      </c>
      <c r="I57" s="10">
        <f>I58</f>
        <v>0</v>
      </c>
    </row>
    <row r="58" spans="1:9" s="3" customFormat="1" ht="12.75" customHeight="1" x14ac:dyDescent="0.25">
      <c r="A58" s="11"/>
      <c r="B58" s="11"/>
      <c r="C58" s="12" t="s">
        <v>280</v>
      </c>
      <c r="D58" s="13"/>
      <c r="E58" s="13"/>
      <c r="F58" s="14">
        <v>380</v>
      </c>
      <c r="G58" s="14">
        <f>ROUND(G6*0.004,0)</f>
        <v>334</v>
      </c>
      <c r="H58" s="14"/>
      <c r="I58" s="14"/>
    </row>
    <row r="59" spans="1:9" s="3" customFormat="1" ht="12.75" customHeight="1" x14ac:dyDescent="0.25">
      <c r="A59" s="7" t="s">
        <v>42</v>
      </c>
      <c r="B59" s="7" t="s">
        <v>43</v>
      </c>
      <c r="C59" s="8" t="s">
        <v>44</v>
      </c>
      <c r="D59" s="9">
        <f>F59+H59</f>
        <v>340</v>
      </c>
      <c r="E59" s="9">
        <f>G59+I59</f>
        <v>2707</v>
      </c>
      <c r="F59" s="10">
        <v>340</v>
      </c>
      <c r="G59" s="10">
        <f>G60+G61</f>
        <v>2707</v>
      </c>
      <c r="H59" s="10">
        <v>0</v>
      </c>
      <c r="I59" s="10">
        <f>I60</f>
        <v>0</v>
      </c>
    </row>
    <row r="60" spans="1:9" s="15" customFormat="1" ht="11.45" customHeight="1" x14ac:dyDescent="0.25">
      <c r="A60" s="11"/>
      <c r="B60" s="11"/>
      <c r="C60" s="12" t="s">
        <v>1155</v>
      </c>
      <c r="D60" s="13"/>
      <c r="E60" s="13"/>
      <c r="F60" s="14"/>
      <c r="G60" s="14">
        <v>220</v>
      </c>
      <c r="H60" s="14"/>
      <c r="I60" s="14"/>
    </row>
    <row r="61" spans="1:9" s="15" customFormat="1" ht="11.45" customHeight="1" x14ac:dyDescent="0.25">
      <c r="A61" s="11"/>
      <c r="B61" s="11"/>
      <c r="C61" s="12" t="s">
        <v>1268</v>
      </c>
      <c r="D61" s="13"/>
      <c r="E61" s="13"/>
      <c r="F61" s="14"/>
      <c r="G61" s="14">
        <v>2487</v>
      </c>
      <c r="H61" s="14"/>
      <c r="I61" s="14"/>
    </row>
    <row r="62" spans="1:9" s="3" customFormat="1" ht="12.75" customHeight="1" x14ac:dyDescent="0.25">
      <c r="A62" s="16" t="s">
        <v>45</v>
      </c>
      <c r="B62" s="16" t="s">
        <v>46</v>
      </c>
      <c r="C62" s="17" t="s">
        <v>47</v>
      </c>
      <c r="D62" s="18">
        <f t="shared" ref="D62:I62" si="3">D6+D40+D41+D42+D45+D46+D49+D51+D52+D53+D56+D57+D59</f>
        <v>93666</v>
      </c>
      <c r="E62" s="18">
        <f t="shared" si="3"/>
        <v>93633</v>
      </c>
      <c r="F62" s="18">
        <f t="shared" si="3"/>
        <v>93666</v>
      </c>
      <c r="G62" s="18">
        <f t="shared" si="3"/>
        <v>93633</v>
      </c>
      <c r="H62" s="18">
        <f t="shared" si="3"/>
        <v>0</v>
      </c>
      <c r="I62" s="18">
        <f t="shared" si="3"/>
        <v>0</v>
      </c>
    </row>
    <row r="63" spans="1:9" s="3" customFormat="1" ht="12.75" customHeight="1" x14ac:dyDescent="0.25">
      <c r="A63" s="7" t="s">
        <v>48</v>
      </c>
      <c r="B63" s="7" t="s">
        <v>49</v>
      </c>
      <c r="C63" s="8" t="s">
        <v>50</v>
      </c>
      <c r="D63" s="9">
        <f>F63+H63</f>
        <v>0</v>
      </c>
      <c r="E63" s="9">
        <f>G63+I63</f>
        <v>0</v>
      </c>
      <c r="F63" s="10">
        <v>0</v>
      </c>
      <c r="G63" s="10">
        <v>0</v>
      </c>
      <c r="H63" s="10">
        <v>0</v>
      </c>
      <c r="I63" s="10">
        <v>0</v>
      </c>
    </row>
    <row r="64" spans="1:9" s="3" customFormat="1" ht="12.75" customHeight="1" x14ac:dyDescent="0.25">
      <c r="A64" s="7" t="s">
        <v>51</v>
      </c>
      <c r="B64" s="7" t="s">
        <v>52</v>
      </c>
      <c r="C64" s="8" t="s">
        <v>53</v>
      </c>
      <c r="D64" s="9">
        <f>F64+H64</f>
        <v>0</v>
      </c>
      <c r="E64" s="9">
        <f>G64+I64</f>
        <v>120</v>
      </c>
      <c r="F64" s="10">
        <f>F65</f>
        <v>0</v>
      </c>
      <c r="G64" s="10">
        <f>G65</f>
        <v>120</v>
      </c>
      <c r="H64" s="10">
        <f>H65</f>
        <v>0</v>
      </c>
      <c r="I64" s="10">
        <f>I65</f>
        <v>0</v>
      </c>
    </row>
    <row r="65" spans="1:9" s="15" customFormat="1" ht="11.45" customHeight="1" x14ac:dyDescent="0.25">
      <c r="A65" s="11"/>
      <c r="B65" s="11"/>
      <c r="C65" s="12" t="s">
        <v>282</v>
      </c>
      <c r="D65" s="13"/>
      <c r="E65" s="13"/>
      <c r="F65" s="14">
        <v>0</v>
      </c>
      <c r="G65" s="14">
        <v>120</v>
      </c>
      <c r="H65" s="14"/>
      <c r="I65" s="14"/>
    </row>
    <row r="66" spans="1:9" s="3" customFormat="1" ht="12.75" customHeight="1" x14ac:dyDescent="0.25">
      <c r="A66" s="7" t="s">
        <v>54</v>
      </c>
      <c r="B66" s="7" t="s">
        <v>55</v>
      </c>
      <c r="C66" s="8" t="s">
        <v>285</v>
      </c>
      <c r="D66" s="9">
        <f>F66+H66</f>
        <v>70</v>
      </c>
      <c r="E66" s="9">
        <f>G66+I66</f>
        <v>60</v>
      </c>
      <c r="F66" s="10">
        <f>F67</f>
        <v>70</v>
      </c>
      <c r="G66" s="10">
        <f>G67</f>
        <v>60</v>
      </c>
      <c r="H66" s="10">
        <f>H67</f>
        <v>0</v>
      </c>
      <c r="I66" s="10">
        <f>I67</f>
        <v>0</v>
      </c>
    </row>
    <row r="67" spans="1:9" s="15" customFormat="1" ht="11.45" customHeight="1" x14ac:dyDescent="0.25">
      <c r="A67" s="11"/>
      <c r="B67" s="11"/>
      <c r="C67" s="12" t="s">
        <v>283</v>
      </c>
      <c r="D67" s="13"/>
      <c r="E67" s="13"/>
      <c r="F67" s="14">
        <v>70</v>
      </c>
      <c r="G67" s="14">
        <v>60</v>
      </c>
      <c r="H67" s="14"/>
      <c r="I67" s="14"/>
    </row>
    <row r="68" spans="1:9" s="3" customFormat="1" ht="12.75" customHeight="1" x14ac:dyDescent="0.25">
      <c r="A68" s="16" t="s">
        <v>56</v>
      </c>
      <c r="B68" s="16" t="s">
        <v>57</v>
      </c>
      <c r="C68" s="17" t="s">
        <v>58</v>
      </c>
      <c r="D68" s="18">
        <f t="shared" ref="D68:I68" si="4">D63+D64+D66</f>
        <v>70</v>
      </c>
      <c r="E68" s="18">
        <f t="shared" si="4"/>
        <v>180</v>
      </c>
      <c r="F68" s="18">
        <f t="shared" si="4"/>
        <v>70</v>
      </c>
      <c r="G68" s="18">
        <f t="shared" si="4"/>
        <v>180</v>
      </c>
      <c r="H68" s="18">
        <f t="shared" si="4"/>
        <v>0</v>
      </c>
      <c r="I68" s="18">
        <f t="shared" si="4"/>
        <v>0</v>
      </c>
    </row>
    <row r="69" spans="1:9" s="3" customFormat="1" ht="12.75" customHeight="1" x14ac:dyDescent="0.25">
      <c r="A69" s="20" t="s">
        <v>59</v>
      </c>
      <c r="B69" s="20" t="s">
        <v>60</v>
      </c>
      <c r="C69" s="21" t="s">
        <v>286</v>
      </c>
      <c r="D69" s="22">
        <f t="shared" ref="D69:I69" si="5">D62+D68</f>
        <v>93736</v>
      </c>
      <c r="E69" s="22">
        <f t="shared" si="5"/>
        <v>93813</v>
      </c>
      <c r="F69" s="22">
        <f t="shared" si="5"/>
        <v>93736</v>
      </c>
      <c r="G69" s="22">
        <f t="shared" si="5"/>
        <v>93813</v>
      </c>
      <c r="H69" s="22">
        <f t="shared" si="5"/>
        <v>0</v>
      </c>
      <c r="I69" s="22">
        <f t="shared" si="5"/>
        <v>0</v>
      </c>
    </row>
    <row r="70" spans="1:9" s="15" customFormat="1" ht="11.45" customHeight="1" x14ac:dyDescent="0.25">
      <c r="A70" s="11"/>
      <c r="B70" s="11"/>
      <c r="C70" s="12" t="s">
        <v>284</v>
      </c>
      <c r="D70" s="13">
        <f>H70+F70</f>
        <v>24276</v>
      </c>
      <c r="E70" s="13">
        <f>I70+G70</f>
        <v>23527</v>
      </c>
      <c r="F70" s="13">
        <v>24276</v>
      </c>
      <c r="G70" s="13">
        <f>ROUND((G6+G40+G41+G42+G45+G46+G57+G64)*0.27,0)</f>
        <v>23527</v>
      </c>
      <c r="H70" s="13">
        <f>ROUND((H6+H40+H41+H42+H45+H46+H64)*0.27,0)</f>
        <v>0</v>
      </c>
      <c r="I70" s="13">
        <f>ROUND((I6+I40+I41+I42+I45+I46+I64)*0.27,0)</f>
        <v>0</v>
      </c>
    </row>
    <row r="71" spans="1:9" s="15" customFormat="1" ht="11.45" customHeight="1" x14ac:dyDescent="0.25">
      <c r="A71" s="11"/>
      <c r="B71" s="11"/>
      <c r="C71" s="12" t="s">
        <v>61</v>
      </c>
      <c r="D71" s="13">
        <f t="shared" ref="D71:E73" si="6">H71+F71</f>
        <v>518</v>
      </c>
      <c r="E71" s="13">
        <f t="shared" si="6"/>
        <v>1385</v>
      </c>
      <c r="F71" s="14">
        <v>518</v>
      </c>
      <c r="G71" s="13">
        <f>ROUND(G49*1.19*0.14+(G66+G59)*1.19*0.27,0)</f>
        <v>1385</v>
      </c>
      <c r="H71" s="14"/>
      <c r="I71" s="14"/>
    </row>
    <row r="72" spans="1:9" s="15" customFormat="1" ht="11.45" customHeight="1" x14ac:dyDescent="0.25">
      <c r="A72" s="11"/>
      <c r="B72" s="11"/>
      <c r="C72" s="12" t="s">
        <v>62</v>
      </c>
      <c r="D72" s="13">
        <f t="shared" si="6"/>
        <v>1475</v>
      </c>
      <c r="E72" s="13">
        <f t="shared" si="6"/>
        <v>1475</v>
      </c>
      <c r="F72" s="14">
        <v>1475</v>
      </c>
      <c r="G72" s="14">
        <v>1475</v>
      </c>
      <c r="H72" s="14"/>
      <c r="I72" s="14"/>
    </row>
    <row r="73" spans="1:9" s="15" customFormat="1" ht="11.45" customHeight="1" x14ac:dyDescent="0.25">
      <c r="A73" s="11"/>
      <c r="B73" s="11"/>
      <c r="C73" s="12" t="s">
        <v>63</v>
      </c>
      <c r="D73" s="13">
        <f t="shared" si="6"/>
        <v>580</v>
      </c>
      <c r="E73" s="13">
        <f t="shared" si="6"/>
        <v>620</v>
      </c>
      <c r="F73" s="14">
        <v>580</v>
      </c>
      <c r="G73" s="14">
        <f>ROUND((G67+G60+G50)*1.19*0.16,0)</f>
        <v>620</v>
      </c>
      <c r="H73" s="14"/>
      <c r="I73" s="14"/>
    </row>
    <row r="74" spans="1:9" s="3" customFormat="1" ht="12.75" customHeight="1" x14ac:dyDescent="0.25">
      <c r="A74" s="20" t="s">
        <v>64</v>
      </c>
      <c r="B74" s="20" t="s">
        <v>65</v>
      </c>
      <c r="C74" s="21" t="s">
        <v>287</v>
      </c>
      <c r="D74" s="22">
        <f t="shared" ref="D74:I74" si="7">D70+D71+D72+D73</f>
        <v>26849</v>
      </c>
      <c r="E74" s="22">
        <f t="shared" si="7"/>
        <v>27007</v>
      </c>
      <c r="F74" s="22">
        <f t="shared" si="7"/>
        <v>26849</v>
      </c>
      <c r="G74" s="22">
        <f t="shared" si="7"/>
        <v>27007</v>
      </c>
      <c r="H74" s="22">
        <f t="shared" si="7"/>
        <v>0</v>
      </c>
      <c r="I74" s="22">
        <f t="shared" si="7"/>
        <v>0</v>
      </c>
    </row>
    <row r="75" spans="1:9" s="3" customFormat="1" ht="14.1" customHeight="1" x14ac:dyDescent="0.25">
      <c r="A75" s="966" t="s">
        <v>66</v>
      </c>
      <c r="B75" s="967"/>
      <c r="C75" s="968"/>
      <c r="D75" s="29">
        <f t="shared" ref="D75:I75" si="8">D69+D74</f>
        <v>120585</v>
      </c>
      <c r="E75" s="29">
        <f t="shared" si="8"/>
        <v>120820</v>
      </c>
      <c r="F75" s="29">
        <f t="shared" si="8"/>
        <v>120585</v>
      </c>
      <c r="G75" s="29">
        <f t="shared" si="8"/>
        <v>120820</v>
      </c>
      <c r="H75" s="29">
        <f t="shared" si="8"/>
        <v>0</v>
      </c>
      <c r="I75" s="29">
        <f t="shared" si="8"/>
        <v>0</v>
      </c>
    </row>
    <row r="76" spans="1:9" s="3" customFormat="1" ht="14.1" customHeight="1" x14ac:dyDescent="0.2">
      <c r="A76" s="27"/>
      <c r="B76" s="27"/>
      <c r="C76" s="27"/>
      <c r="D76" s="27"/>
      <c r="E76" s="27"/>
      <c r="F76" s="27"/>
      <c r="G76" s="27"/>
      <c r="H76" s="27"/>
      <c r="I76" s="27"/>
    </row>
    <row r="77" spans="1:9" s="3" customFormat="1" ht="14.1" customHeight="1" x14ac:dyDescent="0.2">
      <c r="A77" s="27"/>
      <c r="B77" s="27"/>
      <c r="C77" s="27"/>
      <c r="D77" s="27"/>
      <c r="E77" s="27"/>
      <c r="F77" s="27"/>
      <c r="G77" s="27"/>
      <c r="H77" s="27"/>
      <c r="I77" s="27"/>
    </row>
    <row r="78" spans="1:9" s="3" customFormat="1" ht="14.1" customHeight="1" x14ac:dyDescent="0.2">
      <c r="A78" s="27"/>
      <c r="B78" s="27"/>
      <c r="C78" s="27"/>
      <c r="D78" s="27"/>
      <c r="E78" s="27"/>
      <c r="F78" s="27"/>
      <c r="G78" s="27"/>
      <c r="H78" s="27"/>
      <c r="I78" s="27"/>
    </row>
    <row r="79" spans="1:9" s="1" customFormat="1" ht="12.75" customHeight="1" x14ac:dyDescent="0.25">
      <c r="A79" s="974" t="s">
        <v>370</v>
      </c>
      <c r="B79" s="974"/>
      <c r="C79" s="974"/>
      <c r="D79" s="974"/>
      <c r="E79" s="974"/>
      <c r="F79" s="974"/>
      <c r="G79" s="974"/>
      <c r="H79" s="974"/>
      <c r="I79" s="974"/>
    </row>
    <row r="80" spans="1:9" s="1" customFormat="1" ht="14.1" customHeight="1" x14ac:dyDescent="0.25">
      <c r="A80" s="974" t="s">
        <v>0</v>
      </c>
      <c r="B80" s="975" t="s">
        <v>1</v>
      </c>
      <c r="C80" s="974" t="s">
        <v>2</v>
      </c>
      <c r="D80" s="976" t="s">
        <v>260</v>
      </c>
      <c r="E80" s="969" t="s">
        <v>259</v>
      </c>
      <c r="F80" s="971" t="s">
        <v>261</v>
      </c>
      <c r="G80" s="972"/>
      <c r="H80" s="971" t="s">
        <v>262</v>
      </c>
      <c r="I80" s="972"/>
    </row>
    <row r="81" spans="1:9" s="3" customFormat="1" ht="33" customHeight="1" x14ac:dyDescent="0.25">
      <c r="A81" s="974"/>
      <c r="B81" s="975"/>
      <c r="C81" s="974"/>
      <c r="D81" s="976"/>
      <c r="E81" s="970"/>
      <c r="F81" s="2" t="s">
        <v>260</v>
      </c>
      <c r="G81" s="2" t="s">
        <v>259</v>
      </c>
      <c r="H81" s="2" t="s">
        <v>260</v>
      </c>
      <c r="I81" s="2" t="s">
        <v>259</v>
      </c>
    </row>
    <row r="82" spans="1:9" ht="5.65" customHeight="1" x14ac:dyDescent="0.25"/>
    <row r="83" spans="1:9" ht="14.1" customHeight="1" x14ac:dyDescent="0.25">
      <c r="A83" s="973" t="s">
        <v>288</v>
      </c>
      <c r="B83" s="973"/>
      <c r="C83" s="973"/>
      <c r="D83" s="973"/>
      <c r="E83" s="973"/>
      <c r="F83" s="973"/>
      <c r="G83" s="973"/>
      <c r="H83" s="973"/>
      <c r="I83" s="973"/>
    </row>
    <row r="84" spans="1:9" s="3" customFormat="1" ht="14.1" customHeight="1" x14ac:dyDescent="0.25">
      <c r="A84" s="7" t="s">
        <v>67</v>
      </c>
      <c r="B84" s="7" t="s">
        <v>68</v>
      </c>
      <c r="C84" s="8" t="s">
        <v>69</v>
      </c>
      <c r="D84" s="9">
        <f>F84+H84</f>
        <v>235</v>
      </c>
      <c r="E84" s="9">
        <f>G84+I84</f>
        <v>320</v>
      </c>
      <c r="F84" s="10">
        <f>SUM(F85:F90)</f>
        <v>235</v>
      </c>
      <c r="G84" s="10">
        <f>SUM(G85:G90)</f>
        <v>320</v>
      </c>
      <c r="H84" s="10">
        <f>SUM(H85:H90)</f>
        <v>0</v>
      </c>
      <c r="I84" s="10">
        <f>SUM(I85:I90)</f>
        <v>0</v>
      </c>
    </row>
    <row r="85" spans="1:9" ht="14.1" customHeight="1" x14ac:dyDescent="0.25">
      <c r="A85" s="24"/>
      <c r="B85" s="24"/>
      <c r="C85" s="25" t="s">
        <v>70</v>
      </c>
      <c r="D85" s="26"/>
      <c r="E85" s="26"/>
      <c r="F85" s="26">
        <v>10</v>
      </c>
      <c r="G85" s="26"/>
      <c r="H85" s="26"/>
      <c r="I85" s="26"/>
    </row>
    <row r="86" spans="1:9" ht="14.1" customHeight="1" x14ac:dyDescent="0.25">
      <c r="A86" s="24"/>
      <c r="B86" s="24"/>
      <c r="C86" s="25" t="s">
        <v>71</v>
      </c>
      <c r="D86" s="26"/>
      <c r="E86" s="26"/>
      <c r="F86" s="26"/>
      <c r="G86" s="26"/>
      <c r="H86" s="26"/>
      <c r="I86" s="26"/>
    </row>
    <row r="87" spans="1:9" ht="14.1" customHeight="1" x14ac:dyDescent="0.25">
      <c r="A87" s="24"/>
      <c r="B87" s="24"/>
      <c r="C87" s="25" t="s">
        <v>72</v>
      </c>
      <c r="D87" s="26"/>
      <c r="E87" s="26"/>
      <c r="F87" s="26">
        <v>100</v>
      </c>
      <c r="G87" s="26">
        <v>180</v>
      </c>
      <c r="H87" s="26"/>
      <c r="I87" s="26"/>
    </row>
    <row r="88" spans="1:9" ht="14.1" customHeight="1" x14ac:dyDescent="0.25">
      <c r="A88" s="24"/>
      <c r="B88" s="24"/>
      <c r="C88" s="25" t="s">
        <v>73</v>
      </c>
      <c r="D88" s="26"/>
      <c r="E88" s="26"/>
      <c r="F88" s="26">
        <v>55</v>
      </c>
      <c r="G88" s="26">
        <v>40</v>
      </c>
      <c r="H88" s="26"/>
      <c r="I88" s="26"/>
    </row>
    <row r="89" spans="1:9" ht="14.1" customHeight="1" x14ac:dyDescent="0.25">
      <c r="A89" s="24"/>
      <c r="B89" s="24"/>
      <c r="C89" s="25" t="s">
        <v>74</v>
      </c>
      <c r="D89" s="26"/>
      <c r="E89" s="26"/>
      <c r="F89" s="26">
        <v>10</v>
      </c>
      <c r="G89" s="26"/>
      <c r="H89" s="26"/>
      <c r="I89" s="26"/>
    </row>
    <row r="90" spans="1:9" ht="14.1" customHeight="1" x14ac:dyDescent="0.25">
      <c r="A90" s="24"/>
      <c r="B90" s="24"/>
      <c r="C90" s="25" t="s">
        <v>75</v>
      </c>
      <c r="D90" s="26"/>
      <c r="E90" s="26"/>
      <c r="F90" s="26">
        <v>60</v>
      </c>
      <c r="G90" s="26">
        <v>100</v>
      </c>
      <c r="H90" s="26"/>
      <c r="I90" s="26"/>
    </row>
    <row r="91" spans="1:9" s="3" customFormat="1" ht="14.1" customHeight="1" x14ac:dyDescent="0.25">
      <c r="A91" s="7" t="s">
        <v>76</v>
      </c>
      <c r="B91" s="7" t="s">
        <v>77</v>
      </c>
      <c r="C91" s="8" t="s">
        <v>78</v>
      </c>
      <c r="D91" s="9">
        <f>F91+H91</f>
        <v>3195</v>
      </c>
      <c r="E91" s="9">
        <f>G91+I91</f>
        <v>3375</v>
      </c>
      <c r="F91" s="10">
        <f>SUM(F92:F97)</f>
        <v>3195</v>
      </c>
      <c r="G91" s="10">
        <f>SUM(G92:G97)</f>
        <v>3375</v>
      </c>
      <c r="H91" s="10">
        <f>SUM(H92:H97)</f>
        <v>0</v>
      </c>
      <c r="I91" s="10">
        <f>SUM(I92:I97)</f>
        <v>0</v>
      </c>
    </row>
    <row r="92" spans="1:9" ht="14.1" customHeight="1" x14ac:dyDescent="0.25">
      <c r="A92" s="24"/>
      <c r="B92" s="24"/>
      <c r="C92" s="25" t="s">
        <v>79</v>
      </c>
      <c r="D92" s="26"/>
      <c r="E92" s="26"/>
      <c r="F92" s="26"/>
      <c r="G92" s="26"/>
      <c r="H92" s="26"/>
      <c r="I92" s="26"/>
    </row>
    <row r="93" spans="1:9" ht="14.1" customHeight="1" x14ac:dyDescent="0.25">
      <c r="A93" s="24"/>
      <c r="B93" s="24"/>
      <c r="C93" s="25" t="s">
        <v>80</v>
      </c>
      <c r="D93" s="26"/>
      <c r="E93" s="26"/>
      <c r="F93" s="26">
        <v>185</v>
      </c>
      <c r="G93" s="26">
        <v>120</v>
      </c>
      <c r="H93" s="26"/>
      <c r="I93" s="26"/>
    </row>
    <row r="94" spans="1:9" ht="14.1" customHeight="1" x14ac:dyDescent="0.25">
      <c r="A94" s="24"/>
      <c r="B94" s="24"/>
      <c r="C94" s="25" t="s">
        <v>81</v>
      </c>
      <c r="D94" s="26"/>
      <c r="E94" s="26"/>
      <c r="F94" s="26"/>
      <c r="G94" s="26"/>
      <c r="H94" s="26"/>
      <c r="I94" s="26"/>
    </row>
    <row r="95" spans="1:9" ht="14.1" customHeight="1" x14ac:dyDescent="0.25">
      <c r="A95" s="24"/>
      <c r="B95" s="24"/>
      <c r="C95" s="25" t="s">
        <v>82</v>
      </c>
      <c r="D95" s="26"/>
      <c r="E95" s="26"/>
      <c r="F95" s="26">
        <v>45</v>
      </c>
      <c r="G95" s="26">
        <v>40</v>
      </c>
      <c r="H95" s="26"/>
      <c r="I95" s="26"/>
    </row>
    <row r="96" spans="1:9" ht="14.1" customHeight="1" x14ac:dyDescent="0.25">
      <c r="A96" s="24"/>
      <c r="B96" s="24"/>
      <c r="C96" s="25" t="s">
        <v>83</v>
      </c>
      <c r="D96" s="26"/>
      <c r="E96" s="26"/>
      <c r="F96" s="26">
        <v>465</v>
      </c>
      <c r="G96" s="26">
        <v>465</v>
      </c>
      <c r="H96" s="26"/>
      <c r="I96" s="26"/>
    </row>
    <row r="97" spans="1:9" ht="14.1" customHeight="1" x14ac:dyDescent="0.25">
      <c r="A97" s="24"/>
      <c r="B97" s="24"/>
      <c r="C97" s="25" t="s">
        <v>84</v>
      </c>
      <c r="D97" s="26"/>
      <c r="E97" s="26"/>
      <c r="F97" s="26">
        <v>2500</v>
      </c>
      <c r="G97" s="26">
        <v>2750</v>
      </c>
      <c r="H97" s="26"/>
      <c r="I97" s="26"/>
    </row>
    <row r="98" spans="1:9" s="3" customFormat="1" ht="14.1" customHeight="1" x14ac:dyDescent="0.25">
      <c r="A98" s="7" t="s">
        <v>85</v>
      </c>
      <c r="B98" s="7" t="s">
        <v>86</v>
      </c>
      <c r="C98" s="8" t="s">
        <v>87</v>
      </c>
      <c r="D98" s="9">
        <f>F98+H98</f>
        <v>0</v>
      </c>
      <c r="E98" s="9">
        <f>G98+I98</f>
        <v>0</v>
      </c>
      <c r="F98" s="10">
        <f>SUM(F99:F100)</f>
        <v>0</v>
      </c>
      <c r="G98" s="10">
        <f>SUM(G99:G100)</f>
        <v>0</v>
      </c>
      <c r="H98" s="10">
        <f>SUM(H99:H100)</f>
        <v>0</v>
      </c>
      <c r="I98" s="10">
        <f>SUM(I99:I100)</f>
        <v>0</v>
      </c>
    </row>
    <row r="99" spans="1:9" ht="14.1" customHeight="1" x14ac:dyDescent="0.25">
      <c r="A99" s="24"/>
      <c r="B99" s="24"/>
      <c r="C99" s="25" t="s">
        <v>88</v>
      </c>
      <c r="D99" s="26"/>
      <c r="E99" s="26"/>
      <c r="F99" s="26"/>
      <c r="G99" s="26"/>
      <c r="H99" s="26"/>
      <c r="I99" s="26"/>
    </row>
    <row r="100" spans="1:9" ht="14.1" customHeight="1" x14ac:dyDescent="0.25">
      <c r="A100" s="24"/>
      <c r="B100" s="24"/>
      <c r="C100" s="25" t="s">
        <v>89</v>
      </c>
      <c r="D100" s="26"/>
      <c r="E100" s="26"/>
      <c r="F100" s="26"/>
      <c r="G100" s="26"/>
      <c r="H100" s="26"/>
      <c r="I100" s="26"/>
    </row>
    <row r="101" spans="1:9" s="3" customFormat="1" ht="14.1" customHeight="1" x14ac:dyDescent="0.25">
      <c r="A101" s="16" t="s">
        <v>90</v>
      </c>
      <c r="B101" s="16" t="s">
        <v>91</v>
      </c>
      <c r="C101" s="17" t="s">
        <v>92</v>
      </c>
      <c r="D101" s="19">
        <f t="shared" ref="D101:I101" si="9">D84+D91</f>
        <v>3430</v>
      </c>
      <c r="E101" s="19">
        <f t="shared" si="9"/>
        <v>3695</v>
      </c>
      <c r="F101" s="19">
        <f t="shared" si="9"/>
        <v>3430</v>
      </c>
      <c r="G101" s="19">
        <f t="shared" si="9"/>
        <v>3695</v>
      </c>
      <c r="H101" s="19">
        <f t="shared" si="9"/>
        <v>0</v>
      </c>
      <c r="I101" s="19">
        <f t="shared" si="9"/>
        <v>0</v>
      </c>
    </row>
    <row r="102" spans="1:9" s="3" customFormat="1" ht="14.1" customHeight="1" x14ac:dyDescent="0.25">
      <c r="A102" s="7" t="s">
        <v>93</v>
      </c>
      <c r="B102" s="7" t="s">
        <v>94</v>
      </c>
      <c r="C102" s="8" t="s">
        <v>95</v>
      </c>
      <c r="D102" s="9">
        <f>F102+H102</f>
        <v>192</v>
      </c>
      <c r="E102" s="9">
        <f>G102+I102</f>
        <v>257</v>
      </c>
      <c r="F102" s="10">
        <f>SUM(F103:F108)</f>
        <v>192</v>
      </c>
      <c r="G102" s="10">
        <f>SUM(G103:G108)</f>
        <v>257</v>
      </c>
      <c r="H102" s="10">
        <f>SUM(H103:H108)</f>
        <v>0</v>
      </c>
      <c r="I102" s="10">
        <f>SUM(I103:I108)</f>
        <v>0</v>
      </c>
    </row>
    <row r="103" spans="1:9" ht="14.1" customHeight="1" x14ac:dyDescent="0.25">
      <c r="A103" s="24"/>
      <c r="B103" s="24"/>
      <c r="C103" s="25" t="s">
        <v>96</v>
      </c>
      <c r="D103" s="26"/>
      <c r="E103" s="26"/>
      <c r="F103" s="26"/>
      <c r="G103" s="26"/>
      <c r="H103" s="26"/>
      <c r="I103" s="26"/>
    </row>
    <row r="104" spans="1:9" ht="14.1" customHeight="1" x14ac:dyDescent="0.25">
      <c r="A104" s="24"/>
      <c r="B104" s="24"/>
      <c r="C104" s="25" t="s">
        <v>97</v>
      </c>
      <c r="D104" s="26"/>
      <c r="E104" s="26"/>
      <c r="F104" s="26">
        <v>192</v>
      </c>
      <c r="G104" s="26">
        <v>192</v>
      </c>
      <c r="H104" s="26"/>
      <c r="I104" s="26"/>
    </row>
    <row r="105" spans="1:9" ht="14.1" customHeight="1" x14ac:dyDescent="0.25">
      <c r="A105" s="24"/>
      <c r="B105" s="24"/>
      <c r="C105" s="25" t="s">
        <v>98</v>
      </c>
      <c r="D105" s="26"/>
      <c r="E105" s="26"/>
      <c r="F105" s="26"/>
      <c r="G105" s="26"/>
      <c r="H105" s="26"/>
      <c r="I105" s="26"/>
    </row>
    <row r="106" spans="1:9" ht="14.1" customHeight="1" x14ac:dyDescent="0.25">
      <c r="A106" s="24"/>
      <c r="B106" s="24"/>
      <c r="C106" s="25" t="s">
        <v>99</v>
      </c>
      <c r="D106" s="26"/>
      <c r="E106" s="26"/>
      <c r="F106" s="26"/>
      <c r="G106" s="26">
        <v>65</v>
      </c>
      <c r="H106" s="26"/>
      <c r="I106" s="26"/>
    </row>
    <row r="107" spans="1:9" ht="14.1" customHeight="1" x14ac:dyDescent="0.25">
      <c r="A107" s="24"/>
      <c r="B107" s="24"/>
      <c r="C107" s="25" t="s">
        <v>100</v>
      </c>
      <c r="D107" s="26"/>
      <c r="E107" s="26"/>
      <c r="F107" s="26"/>
      <c r="G107" s="26"/>
      <c r="H107" s="26"/>
      <c r="I107" s="26"/>
    </row>
    <row r="108" spans="1:9" ht="14.1" customHeight="1" x14ac:dyDescent="0.25">
      <c r="A108" s="24"/>
      <c r="B108" s="24"/>
      <c r="C108" s="25" t="s">
        <v>101</v>
      </c>
      <c r="D108" s="26"/>
      <c r="E108" s="26"/>
      <c r="F108" s="26"/>
      <c r="G108" s="26"/>
      <c r="H108" s="26"/>
      <c r="I108" s="26"/>
    </row>
    <row r="109" spans="1:9" s="3" customFormat="1" ht="14.1" customHeight="1" x14ac:dyDescent="0.25">
      <c r="A109" s="7" t="s">
        <v>102</v>
      </c>
      <c r="B109" s="7" t="s">
        <v>103</v>
      </c>
      <c r="C109" s="8" t="s">
        <v>104</v>
      </c>
      <c r="D109" s="9">
        <f>F109+H109</f>
        <v>230</v>
      </c>
      <c r="E109" s="9">
        <f>G109+I109</f>
        <v>275</v>
      </c>
      <c r="F109" s="10">
        <f>SUM(F110:F111)</f>
        <v>230</v>
      </c>
      <c r="G109" s="10">
        <f>SUM(G110:G111)</f>
        <v>275</v>
      </c>
      <c r="H109" s="10">
        <f>SUM(H110:H111)</f>
        <v>0</v>
      </c>
      <c r="I109" s="10">
        <f>SUM(I110:I111)</f>
        <v>0</v>
      </c>
    </row>
    <row r="110" spans="1:9" ht="14.1" customHeight="1" x14ac:dyDescent="0.25">
      <c r="A110" s="24"/>
      <c r="B110" s="24"/>
      <c r="C110" s="25" t="s">
        <v>105</v>
      </c>
      <c r="D110" s="26"/>
      <c r="E110" s="26"/>
      <c r="F110" s="26">
        <v>200</v>
      </c>
      <c r="G110" s="26">
        <v>275</v>
      </c>
      <c r="H110" s="26"/>
      <c r="I110" s="26"/>
    </row>
    <row r="111" spans="1:9" ht="14.1" customHeight="1" x14ac:dyDescent="0.25">
      <c r="A111" s="24"/>
      <c r="B111" s="24"/>
      <c r="C111" s="25" t="s">
        <v>106</v>
      </c>
      <c r="D111" s="26"/>
      <c r="E111" s="26"/>
      <c r="F111" s="26">
        <v>30</v>
      </c>
      <c r="G111" s="26"/>
      <c r="H111" s="26"/>
      <c r="I111" s="26"/>
    </row>
    <row r="112" spans="1:9" s="3" customFormat="1" ht="14.1" customHeight="1" x14ac:dyDescent="0.25">
      <c r="A112" s="16" t="s">
        <v>107</v>
      </c>
      <c r="B112" s="16" t="s">
        <v>108</v>
      </c>
      <c r="C112" s="17" t="s">
        <v>109</v>
      </c>
      <c r="D112" s="19">
        <f t="shared" ref="D112:I112" si="10">D102+D109</f>
        <v>422</v>
      </c>
      <c r="E112" s="19">
        <f t="shared" si="10"/>
        <v>532</v>
      </c>
      <c r="F112" s="19">
        <f t="shared" si="10"/>
        <v>422</v>
      </c>
      <c r="G112" s="19">
        <f t="shared" si="10"/>
        <v>532</v>
      </c>
      <c r="H112" s="19">
        <f t="shared" si="10"/>
        <v>0</v>
      </c>
      <c r="I112" s="19">
        <f t="shared" si="10"/>
        <v>0</v>
      </c>
    </row>
    <row r="113" spans="1:9" s="3" customFormat="1" ht="14.1" customHeight="1" x14ac:dyDescent="0.25">
      <c r="A113" s="7" t="s">
        <v>110</v>
      </c>
      <c r="B113" s="7" t="s">
        <v>111</v>
      </c>
      <c r="C113" s="8" t="s">
        <v>112</v>
      </c>
      <c r="D113" s="9">
        <f>F113+H113</f>
        <v>4700</v>
      </c>
      <c r="E113" s="9">
        <f>G113+I113</f>
        <v>5450</v>
      </c>
      <c r="F113" s="10">
        <f>SUM(F114:F116)</f>
        <v>4700</v>
      </c>
      <c r="G113" s="10">
        <f>SUM(G114:G116)</f>
        <v>5450</v>
      </c>
      <c r="H113" s="10">
        <f>SUM(H114:H116)</f>
        <v>0</v>
      </c>
      <c r="I113" s="10">
        <f>SUM(I114:I116)</f>
        <v>0</v>
      </c>
    </row>
    <row r="114" spans="1:9" ht="14.1" customHeight="1" x14ac:dyDescent="0.25">
      <c r="A114" s="24"/>
      <c r="B114" s="24"/>
      <c r="C114" s="25" t="s">
        <v>113</v>
      </c>
      <c r="D114" s="26"/>
      <c r="E114" s="26"/>
      <c r="F114" s="26">
        <v>900</v>
      </c>
      <c r="G114" s="26">
        <v>900</v>
      </c>
      <c r="H114" s="26"/>
      <c r="I114" s="26"/>
    </row>
    <row r="115" spans="1:9" ht="14.1" customHeight="1" x14ac:dyDescent="0.25">
      <c r="A115" s="24"/>
      <c r="B115" s="24"/>
      <c r="C115" s="25" t="s">
        <v>114</v>
      </c>
      <c r="D115" s="26"/>
      <c r="E115" s="26"/>
      <c r="F115" s="26">
        <v>3100</v>
      </c>
      <c r="G115" s="26">
        <v>3600</v>
      </c>
      <c r="H115" s="26"/>
      <c r="I115" s="26"/>
    </row>
    <row r="116" spans="1:9" ht="14.1" customHeight="1" x14ac:dyDescent="0.25">
      <c r="A116" s="24"/>
      <c r="B116" s="24"/>
      <c r="C116" s="25" t="s">
        <v>115</v>
      </c>
      <c r="D116" s="26"/>
      <c r="E116" s="26"/>
      <c r="F116" s="26">
        <v>700</v>
      </c>
      <c r="G116" s="26">
        <v>950</v>
      </c>
      <c r="H116" s="26"/>
      <c r="I116" s="26"/>
    </row>
    <row r="117" spans="1:9" s="3" customFormat="1" ht="14.1" customHeight="1" x14ac:dyDescent="0.25">
      <c r="A117" s="7" t="s">
        <v>116</v>
      </c>
      <c r="B117" s="7" t="s">
        <v>117</v>
      </c>
      <c r="C117" s="8" t="s">
        <v>118</v>
      </c>
      <c r="D117" s="9">
        <f>F117+H117</f>
        <v>12440</v>
      </c>
      <c r="E117" s="9">
        <f>G117+I117</f>
        <v>12440</v>
      </c>
      <c r="F117" s="10">
        <v>0</v>
      </c>
      <c r="G117" s="10">
        <f>G118</f>
        <v>0</v>
      </c>
      <c r="H117" s="10">
        <v>12440</v>
      </c>
      <c r="I117" s="10">
        <f>I118</f>
        <v>12440</v>
      </c>
    </row>
    <row r="118" spans="1:9" s="3" customFormat="1" ht="14.1" customHeight="1" x14ac:dyDescent="0.25">
      <c r="A118" s="24"/>
      <c r="B118" s="24"/>
      <c r="C118" s="25" t="s">
        <v>289</v>
      </c>
      <c r="D118" s="26"/>
      <c r="E118" s="26"/>
      <c r="F118" s="26"/>
      <c r="G118" s="26"/>
      <c r="H118" s="26"/>
      <c r="I118" s="26">
        <v>12440</v>
      </c>
    </row>
    <row r="119" spans="1:9" s="3" customFormat="1" ht="14.1" customHeight="1" x14ac:dyDescent="0.25">
      <c r="A119" s="7" t="s">
        <v>119</v>
      </c>
      <c r="B119" s="7" t="s">
        <v>120</v>
      </c>
      <c r="C119" s="8" t="s">
        <v>121</v>
      </c>
      <c r="D119" s="9">
        <f>F119+H119</f>
        <v>0</v>
      </c>
      <c r="E119" s="9">
        <f>G119+I119</f>
        <v>0</v>
      </c>
      <c r="F119" s="10">
        <f>SUM(F120:F121)</f>
        <v>0</v>
      </c>
      <c r="G119" s="10">
        <f>SUM(G120:G121)</f>
        <v>0</v>
      </c>
      <c r="H119" s="10">
        <f>SUM(H120:H121)</f>
        <v>0</v>
      </c>
      <c r="I119" s="10">
        <f>SUM(I120:I121)</f>
        <v>0</v>
      </c>
    </row>
    <row r="120" spans="1:9" ht="14.1" customHeight="1" x14ac:dyDescent="0.25">
      <c r="A120" s="24"/>
      <c r="B120" s="24"/>
      <c r="C120" s="25" t="s">
        <v>122</v>
      </c>
      <c r="D120" s="26"/>
      <c r="E120" s="26"/>
      <c r="F120" s="26"/>
      <c r="G120" s="26"/>
      <c r="H120" s="26"/>
      <c r="I120" s="26"/>
    </row>
    <row r="121" spans="1:9" ht="14.1" customHeight="1" x14ac:dyDescent="0.25">
      <c r="A121" s="24"/>
      <c r="B121" s="24"/>
      <c r="C121" s="25" t="s">
        <v>123</v>
      </c>
      <c r="D121" s="26"/>
      <c r="E121" s="26"/>
      <c r="F121" s="26"/>
      <c r="G121" s="26"/>
      <c r="H121" s="26"/>
      <c r="I121" s="26"/>
    </row>
    <row r="122" spans="1:9" s="3" customFormat="1" ht="14.1" customHeight="1" x14ac:dyDescent="0.25">
      <c r="A122" s="7" t="s">
        <v>124</v>
      </c>
      <c r="B122" s="7" t="s">
        <v>125</v>
      </c>
      <c r="C122" s="8" t="s">
        <v>126</v>
      </c>
      <c r="D122" s="9">
        <f>F122+H122</f>
        <v>4340</v>
      </c>
      <c r="E122" s="9">
        <f>G122+I122</f>
        <v>1500</v>
      </c>
      <c r="F122" s="10">
        <v>4340</v>
      </c>
      <c r="G122" s="10">
        <v>1500</v>
      </c>
      <c r="H122" s="10">
        <v>0</v>
      </c>
      <c r="I122" s="10">
        <v>0</v>
      </c>
    </row>
    <row r="123" spans="1:9" s="3" customFormat="1" ht="14.1" customHeight="1" x14ac:dyDescent="0.25">
      <c r="A123" s="7" t="s">
        <v>127</v>
      </c>
      <c r="B123" s="7" t="s">
        <v>128</v>
      </c>
      <c r="C123" s="8" t="s">
        <v>129</v>
      </c>
      <c r="D123" s="9">
        <f>F123+H123</f>
        <v>0</v>
      </c>
      <c r="E123" s="9">
        <f>G123+I123</f>
        <v>0</v>
      </c>
      <c r="F123" s="10">
        <v>0</v>
      </c>
      <c r="G123" s="10">
        <f>SUM(G124:G125)</f>
        <v>0</v>
      </c>
      <c r="H123" s="10">
        <v>0</v>
      </c>
      <c r="I123" s="10">
        <f>SUM(I124:I125)</f>
        <v>0</v>
      </c>
    </row>
    <row r="124" spans="1:9" ht="14.1" customHeight="1" x14ac:dyDescent="0.25">
      <c r="A124" s="24"/>
      <c r="B124" s="24"/>
      <c r="C124" s="25" t="s">
        <v>130</v>
      </c>
      <c r="D124" s="26"/>
      <c r="E124" s="26"/>
      <c r="F124" s="26"/>
      <c r="G124" s="26"/>
      <c r="H124" s="26"/>
      <c r="I124" s="26"/>
    </row>
    <row r="125" spans="1:9" ht="14.1" customHeight="1" x14ac:dyDescent="0.25">
      <c r="A125" s="24"/>
      <c r="B125" s="24"/>
      <c r="C125" s="25" t="s">
        <v>131</v>
      </c>
      <c r="D125" s="26"/>
      <c r="E125" s="26"/>
      <c r="F125" s="26"/>
      <c r="G125" s="26"/>
      <c r="H125" s="26"/>
      <c r="I125" s="26"/>
    </row>
    <row r="126" spans="1:9" s="3" customFormat="1" ht="14.1" customHeight="1" x14ac:dyDescent="0.25">
      <c r="A126" s="7" t="s">
        <v>132</v>
      </c>
      <c r="B126" s="7" t="s">
        <v>133</v>
      </c>
      <c r="C126" s="8" t="s">
        <v>134</v>
      </c>
      <c r="D126" s="9">
        <f>F126+H126</f>
        <v>250</v>
      </c>
      <c r="E126" s="9">
        <f>G126+I126</f>
        <v>50</v>
      </c>
      <c r="F126" s="10">
        <f>SUM(F127:F129)</f>
        <v>250</v>
      </c>
      <c r="G126" s="10">
        <f>SUM(G127:G129)</f>
        <v>50</v>
      </c>
      <c r="H126" s="10">
        <f>SUM(H127:H129)</f>
        <v>0</v>
      </c>
      <c r="I126" s="10">
        <f>SUM(I127:I129)</f>
        <v>0</v>
      </c>
    </row>
    <row r="127" spans="1:9" ht="14.1" customHeight="1" x14ac:dyDescent="0.25">
      <c r="A127" s="24"/>
      <c r="B127" s="24"/>
      <c r="C127" s="25" t="s">
        <v>135</v>
      </c>
      <c r="D127" s="26"/>
      <c r="E127" s="26"/>
      <c r="F127" s="26">
        <v>0</v>
      </c>
      <c r="G127" s="26">
        <v>0</v>
      </c>
      <c r="H127" s="26">
        <v>0</v>
      </c>
      <c r="I127" s="26">
        <v>0</v>
      </c>
    </row>
    <row r="128" spans="1:9" ht="14.1" customHeight="1" x14ac:dyDescent="0.25">
      <c r="A128" s="24"/>
      <c r="B128" s="24"/>
      <c r="C128" s="25" t="s">
        <v>136</v>
      </c>
      <c r="D128" s="26"/>
      <c r="E128" s="26"/>
      <c r="F128" s="26">
        <v>50</v>
      </c>
      <c r="G128" s="26">
        <v>0</v>
      </c>
      <c r="H128" s="26">
        <v>0</v>
      </c>
      <c r="I128" s="26">
        <v>0</v>
      </c>
    </row>
    <row r="129" spans="1:9" ht="14.1" customHeight="1" x14ac:dyDescent="0.25">
      <c r="A129" s="24"/>
      <c r="B129" s="24"/>
      <c r="C129" s="25" t="s">
        <v>137</v>
      </c>
      <c r="D129" s="26"/>
      <c r="E129" s="26"/>
      <c r="F129" s="26">
        <v>200</v>
      </c>
      <c r="G129" s="26">
        <v>50</v>
      </c>
      <c r="H129" s="26">
        <v>0</v>
      </c>
      <c r="I129" s="26">
        <v>0</v>
      </c>
    </row>
    <row r="130" spans="1:9" s="3" customFormat="1" ht="14.1" customHeight="1" x14ac:dyDescent="0.25">
      <c r="A130" s="7" t="s">
        <v>138</v>
      </c>
      <c r="B130" s="7" t="s">
        <v>139</v>
      </c>
      <c r="C130" s="8" t="s">
        <v>140</v>
      </c>
      <c r="D130" s="9">
        <f>F130+H130</f>
        <v>1200</v>
      </c>
      <c r="E130" s="9">
        <f>G130+I130</f>
        <v>1400</v>
      </c>
      <c r="F130" s="10">
        <f>SUM(F131:F134)</f>
        <v>1200</v>
      </c>
      <c r="G130" s="10">
        <f>SUM(G131:G134)</f>
        <v>1400</v>
      </c>
      <c r="H130" s="10">
        <f>SUM(H131:H134)</f>
        <v>0</v>
      </c>
      <c r="I130" s="10">
        <f>SUM(I131:I134)</f>
        <v>0</v>
      </c>
    </row>
    <row r="131" spans="1:9" ht="14.1" customHeight="1" x14ac:dyDescent="0.25">
      <c r="A131" s="24"/>
      <c r="B131" s="24"/>
      <c r="C131" s="25" t="s">
        <v>141</v>
      </c>
      <c r="D131" s="26"/>
      <c r="E131" s="26"/>
      <c r="F131" s="26">
        <v>0</v>
      </c>
      <c r="G131" s="26"/>
      <c r="H131" s="26"/>
      <c r="I131" s="26"/>
    </row>
    <row r="132" spans="1:9" ht="14.1" customHeight="1" x14ac:dyDescent="0.25">
      <c r="A132" s="24"/>
      <c r="B132" s="24"/>
      <c r="C132" s="25" t="s">
        <v>142</v>
      </c>
      <c r="D132" s="26"/>
      <c r="E132" s="26"/>
      <c r="F132" s="26">
        <v>150</v>
      </c>
      <c r="G132" s="26">
        <v>200</v>
      </c>
      <c r="H132" s="26"/>
      <c r="I132" s="26"/>
    </row>
    <row r="133" spans="1:9" ht="14.1" customHeight="1" x14ac:dyDescent="0.25">
      <c r="A133" s="24"/>
      <c r="B133" s="24"/>
      <c r="C133" s="25" t="s">
        <v>143</v>
      </c>
      <c r="D133" s="26"/>
      <c r="E133" s="26"/>
      <c r="F133" s="26">
        <v>50</v>
      </c>
      <c r="G133" s="26"/>
      <c r="H133" s="26"/>
      <c r="I133" s="26"/>
    </row>
    <row r="134" spans="1:9" ht="14.1" customHeight="1" x14ac:dyDescent="0.25">
      <c r="A134" s="24"/>
      <c r="B134" s="24"/>
      <c r="C134" s="25" t="s">
        <v>144</v>
      </c>
      <c r="D134" s="26"/>
      <c r="E134" s="26"/>
      <c r="F134" s="26">
        <v>1000</v>
      </c>
      <c r="G134" s="26">
        <v>1200</v>
      </c>
      <c r="H134" s="26"/>
      <c r="I134" s="26"/>
    </row>
    <row r="135" spans="1:9" s="3" customFormat="1" ht="14.1" customHeight="1" x14ac:dyDescent="0.25">
      <c r="A135" s="16" t="s">
        <v>145</v>
      </c>
      <c r="B135" s="16" t="s">
        <v>146</v>
      </c>
      <c r="C135" s="17" t="s">
        <v>147</v>
      </c>
      <c r="D135" s="19">
        <f t="shared" ref="D135:I135" si="11">D113+D117+D119+D122+D123+D126+D130</f>
        <v>22930</v>
      </c>
      <c r="E135" s="19">
        <f t="shared" si="11"/>
        <v>20840</v>
      </c>
      <c r="F135" s="19">
        <f t="shared" si="11"/>
        <v>10490</v>
      </c>
      <c r="G135" s="19">
        <f t="shared" si="11"/>
        <v>8400</v>
      </c>
      <c r="H135" s="19">
        <f t="shared" si="11"/>
        <v>12440</v>
      </c>
      <c r="I135" s="19">
        <f t="shared" si="11"/>
        <v>12440</v>
      </c>
    </row>
    <row r="136" spans="1:9" s="3" customFormat="1" ht="14.1" customHeight="1" x14ac:dyDescent="0.25">
      <c r="A136" s="7" t="s">
        <v>148</v>
      </c>
      <c r="B136" s="7" t="s">
        <v>149</v>
      </c>
      <c r="C136" s="8" t="s">
        <v>150</v>
      </c>
      <c r="D136" s="9">
        <f>F136+H136</f>
        <v>50</v>
      </c>
      <c r="E136" s="9">
        <f>G136+I136</f>
        <v>50</v>
      </c>
      <c r="F136" s="10">
        <f>SUM(F137:F138)</f>
        <v>50</v>
      </c>
      <c r="G136" s="10">
        <f>SUM(G137:G138)</f>
        <v>50</v>
      </c>
      <c r="H136" s="10">
        <f>SUM(H137:H138)</f>
        <v>0</v>
      </c>
      <c r="I136" s="10">
        <f>SUM(I137:I138)</f>
        <v>0</v>
      </c>
    </row>
    <row r="137" spans="1:9" ht="14.1" customHeight="1" x14ac:dyDescent="0.25">
      <c r="A137" s="24"/>
      <c r="B137" s="24"/>
      <c r="C137" s="25" t="s">
        <v>151</v>
      </c>
      <c r="D137" s="26"/>
      <c r="E137" s="26"/>
      <c r="F137" s="26">
        <v>50</v>
      </c>
      <c r="G137" s="26">
        <v>50</v>
      </c>
      <c r="H137" s="26"/>
      <c r="I137" s="26"/>
    </row>
    <row r="138" spans="1:9" ht="14.1" customHeight="1" x14ac:dyDescent="0.25">
      <c r="A138" s="24"/>
      <c r="B138" s="24"/>
      <c r="C138" s="25" t="s">
        <v>152</v>
      </c>
      <c r="D138" s="26"/>
      <c r="E138" s="26"/>
      <c r="F138" s="26"/>
      <c r="G138" s="26"/>
      <c r="H138" s="26"/>
      <c r="I138" s="26"/>
    </row>
    <row r="139" spans="1:9" s="3" customFormat="1" ht="14.1" customHeight="1" x14ac:dyDescent="0.25">
      <c r="A139" s="7" t="s">
        <v>153</v>
      </c>
      <c r="B139" s="7" t="s">
        <v>154</v>
      </c>
      <c r="C139" s="8" t="s">
        <v>155</v>
      </c>
      <c r="D139" s="9">
        <f>F139+H139</f>
        <v>0</v>
      </c>
      <c r="E139" s="9">
        <f>G139+I139</f>
        <v>0</v>
      </c>
      <c r="F139" s="10">
        <v>0</v>
      </c>
      <c r="G139" s="10">
        <v>0</v>
      </c>
      <c r="H139" s="10">
        <v>0</v>
      </c>
      <c r="I139" s="10">
        <v>0</v>
      </c>
    </row>
    <row r="140" spans="1:9" s="3" customFormat="1" ht="14.1" customHeight="1" x14ac:dyDescent="0.25">
      <c r="A140" s="16" t="s">
        <v>156</v>
      </c>
      <c r="B140" s="16" t="s">
        <v>157</v>
      </c>
      <c r="C140" s="17" t="s">
        <v>158</v>
      </c>
      <c r="D140" s="19">
        <f t="shared" ref="D140:I140" si="12">D136+D139</f>
        <v>50</v>
      </c>
      <c r="E140" s="19">
        <f t="shared" si="12"/>
        <v>50</v>
      </c>
      <c r="F140" s="19">
        <f t="shared" si="12"/>
        <v>50</v>
      </c>
      <c r="G140" s="19">
        <f t="shared" si="12"/>
        <v>50</v>
      </c>
      <c r="H140" s="19">
        <f t="shared" si="12"/>
        <v>0</v>
      </c>
      <c r="I140" s="19">
        <f t="shared" si="12"/>
        <v>0</v>
      </c>
    </row>
    <row r="141" spans="1:9" s="3" customFormat="1" ht="14.1" customHeight="1" x14ac:dyDescent="0.25">
      <c r="A141" s="7" t="s">
        <v>159</v>
      </c>
      <c r="B141" s="7" t="s">
        <v>160</v>
      </c>
      <c r="C141" s="8" t="s">
        <v>161</v>
      </c>
      <c r="D141" s="9">
        <f>F141+H141</f>
        <v>7231</v>
      </c>
      <c r="E141" s="9">
        <f>G141+I141</f>
        <v>6768</v>
      </c>
      <c r="F141" s="10">
        <f>SUM(F142:F143)</f>
        <v>3872</v>
      </c>
      <c r="G141" s="10">
        <f>SUM(G142:G143)</f>
        <v>3409</v>
      </c>
      <c r="H141" s="10">
        <f>SUM(H142:H143)</f>
        <v>3359</v>
      </c>
      <c r="I141" s="10">
        <f>SUM(I142:I143)</f>
        <v>3359</v>
      </c>
    </row>
    <row r="142" spans="1:9" ht="14.1" customHeight="1" x14ac:dyDescent="0.25">
      <c r="A142" s="24"/>
      <c r="B142" s="24"/>
      <c r="C142" s="25" t="s">
        <v>162</v>
      </c>
      <c r="D142" s="26"/>
      <c r="E142" s="26"/>
      <c r="F142" s="26"/>
      <c r="G142" s="26"/>
      <c r="H142" s="26"/>
      <c r="I142" s="26"/>
    </row>
    <row r="143" spans="1:9" ht="14.1" customHeight="1" x14ac:dyDescent="0.25">
      <c r="A143" s="24"/>
      <c r="B143" s="24"/>
      <c r="C143" s="25" t="s">
        <v>163</v>
      </c>
      <c r="D143" s="26"/>
      <c r="E143" s="26"/>
      <c r="F143" s="26">
        <v>3872</v>
      </c>
      <c r="G143" s="26">
        <f>ROUND((G101+G112+G135+G139)*0.27,0)</f>
        <v>3409</v>
      </c>
      <c r="H143" s="26">
        <v>3359</v>
      </c>
      <c r="I143" s="26">
        <f>ROUND((I101+I112+I135+I139)*0.27,0)</f>
        <v>3359</v>
      </c>
    </row>
    <row r="144" spans="1:9" s="3" customFormat="1" ht="14.1" customHeight="1" x14ac:dyDescent="0.25">
      <c r="A144" s="7" t="s">
        <v>164</v>
      </c>
      <c r="B144" s="7" t="s">
        <v>165</v>
      </c>
      <c r="C144" s="8" t="s">
        <v>166</v>
      </c>
      <c r="D144" s="9">
        <f>F144+H144</f>
        <v>0</v>
      </c>
      <c r="E144" s="9">
        <f>G144+I144</f>
        <v>0</v>
      </c>
      <c r="F144" s="10">
        <f>SUM(F145:F147)</f>
        <v>0</v>
      </c>
      <c r="G144" s="10">
        <f>SUM(G145:G147)</f>
        <v>0</v>
      </c>
      <c r="H144" s="10">
        <f>SUM(H145:H147)</f>
        <v>0</v>
      </c>
      <c r="I144" s="10">
        <f>SUM(I145:I147)</f>
        <v>0</v>
      </c>
    </row>
    <row r="145" spans="1:9" ht="14.1" customHeight="1" x14ac:dyDescent="0.25">
      <c r="A145" s="24"/>
      <c r="B145" s="24"/>
      <c r="C145" s="25" t="s">
        <v>167</v>
      </c>
      <c r="D145" s="26"/>
      <c r="E145" s="26"/>
      <c r="F145" s="26"/>
      <c r="G145" s="26"/>
      <c r="H145" s="26"/>
      <c r="I145" s="26"/>
    </row>
    <row r="146" spans="1:9" ht="14.1" customHeight="1" x14ac:dyDescent="0.25">
      <c r="A146" s="24"/>
      <c r="B146" s="24"/>
      <c r="C146" s="25" t="s">
        <v>168</v>
      </c>
      <c r="D146" s="26"/>
      <c r="E146" s="26"/>
      <c r="F146" s="26"/>
      <c r="G146" s="26"/>
      <c r="H146" s="26"/>
      <c r="I146" s="26"/>
    </row>
    <row r="147" spans="1:9" ht="14.1" customHeight="1" x14ac:dyDescent="0.25">
      <c r="A147" s="24"/>
      <c r="B147" s="24"/>
      <c r="C147" s="25" t="s">
        <v>169</v>
      </c>
      <c r="D147" s="26"/>
      <c r="E147" s="26"/>
      <c r="F147" s="26"/>
      <c r="G147" s="26"/>
      <c r="H147" s="26"/>
      <c r="I147" s="26"/>
    </row>
    <row r="148" spans="1:9" s="3" customFormat="1" ht="14.1" customHeight="1" x14ac:dyDescent="0.25">
      <c r="A148" s="7" t="s">
        <v>170</v>
      </c>
      <c r="B148" s="7" t="s">
        <v>171</v>
      </c>
      <c r="C148" s="8" t="s">
        <v>172</v>
      </c>
      <c r="D148" s="9">
        <f>F148+H148</f>
        <v>0</v>
      </c>
      <c r="E148" s="9">
        <f>G148+I148</f>
        <v>0</v>
      </c>
      <c r="F148" s="10">
        <f>SUM(F149:F152)</f>
        <v>0</v>
      </c>
      <c r="G148" s="10">
        <f>SUM(G149:G152)</f>
        <v>0</v>
      </c>
      <c r="H148" s="10">
        <f>SUM(H149:H152)</f>
        <v>0</v>
      </c>
      <c r="I148" s="10">
        <f>SUM(I149:I152)</f>
        <v>0</v>
      </c>
    </row>
    <row r="149" spans="1:9" ht="14.1" customHeight="1" x14ac:dyDescent="0.25">
      <c r="A149" s="24"/>
      <c r="B149" s="24"/>
      <c r="C149" s="25" t="s">
        <v>173</v>
      </c>
      <c r="D149" s="26"/>
      <c r="E149" s="26"/>
      <c r="F149" s="26"/>
      <c r="G149" s="26"/>
      <c r="H149" s="26"/>
      <c r="I149" s="26"/>
    </row>
    <row r="150" spans="1:9" ht="14.1" customHeight="1" x14ac:dyDescent="0.25">
      <c r="A150" s="24"/>
      <c r="B150" s="24"/>
      <c r="C150" s="25" t="s">
        <v>174</v>
      </c>
      <c r="D150" s="26"/>
      <c r="E150" s="26"/>
      <c r="F150" s="26"/>
      <c r="G150" s="26"/>
      <c r="H150" s="26"/>
      <c r="I150" s="26"/>
    </row>
    <row r="151" spans="1:9" ht="14.1" customHeight="1" x14ac:dyDescent="0.25">
      <c r="A151" s="24"/>
      <c r="B151" s="24"/>
      <c r="C151" s="25" t="s">
        <v>175</v>
      </c>
      <c r="D151" s="26"/>
      <c r="E151" s="26"/>
      <c r="F151" s="26"/>
      <c r="G151" s="26"/>
      <c r="H151" s="26"/>
      <c r="I151" s="26"/>
    </row>
    <row r="152" spans="1:9" ht="14.1" customHeight="1" x14ac:dyDescent="0.25">
      <c r="A152" s="24"/>
      <c r="B152" s="24"/>
      <c r="C152" s="25" t="s">
        <v>176</v>
      </c>
      <c r="D152" s="26"/>
      <c r="E152" s="26"/>
      <c r="F152" s="26"/>
      <c r="G152" s="26"/>
      <c r="H152" s="26"/>
      <c r="I152" s="26"/>
    </row>
    <row r="153" spans="1:9" s="3" customFormat="1" ht="14.1" customHeight="1" x14ac:dyDescent="0.25">
      <c r="A153" s="7" t="s">
        <v>177</v>
      </c>
      <c r="B153" s="7" t="s">
        <v>178</v>
      </c>
      <c r="C153" s="8" t="s">
        <v>179</v>
      </c>
      <c r="D153" s="9">
        <f>F153+H153</f>
        <v>0</v>
      </c>
      <c r="E153" s="9">
        <f>G153+I153</f>
        <v>0</v>
      </c>
      <c r="F153" s="10">
        <f>SUM(F154:F155)</f>
        <v>0</v>
      </c>
      <c r="G153" s="10">
        <f>SUM(G154:G155)</f>
        <v>0</v>
      </c>
      <c r="H153" s="10">
        <f>SUM(H154:H155)</f>
        <v>0</v>
      </c>
      <c r="I153" s="10">
        <f>SUM(I154:I155)</f>
        <v>0</v>
      </c>
    </row>
    <row r="154" spans="1:9" ht="14.1" customHeight="1" x14ac:dyDescent="0.25">
      <c r="A154" s="24"/>
      <c r="B154" s="24"/>
      <c r="C154" s="25" t="s">
        <v>180</v>
      </c>
      <c r="D154" s="26"/>
      <c r="E154" s="26"/>
      <c r="F154" s="26"/>
      <c r="G154" s="26"/>
      <c r="H154" s="26"/>
      <c r="I154" s="26"/>
    </row>
    <row r="155" spans="1:9" ht="14.1" customHeight="1" x14ac:dyDescent="0.25">
      <c r="A155" s="24"/>
      <c r="B155" s="24"/>
      <c r="C155" s="25" t="s">
        <v>181</v>
      </c>
      <c r="D155" s="26"/>
      <c r="E155" s="26"/>
      <c r="F155" s="26"/>
      <c r="G155" s="26"/>
      <c r="H155" s="26"/>
      <c r="I155" s="26"/>
    </row>
    <row r="156" spans="1:9" s="3" customFormat="1" ht="14.1" customHeight="1" x14ac:dyDescent="0.25">
      <c r="A156" s="7" t="s">
        <v>182</v>
      </c>
      <c r="B156" s="7" t="s">
        <v>183</v>
      </c>
      <c r="C156" s="8" t="s">
        <v>184</v>
      </c>
      <c r="D156" s="9">
        <f>F156+H156</f>
        <v>10</v>
      </c>
      <c r="E156" s="9">
        <f>G156+I156</f>
        <v>300</v>
      </c>
      <c r="F156" s="10">
        <f>SUM(F157:F160)</f>
        <v>10</v>
      </c>
      <c r="G156" s="10">
        <f>SUM(G157:G160)</f>
        <v>300</v>
      </c>
      <c r="H156" s="10">
        <f>SUM(H157:H160)</f>
        <v>0</v>
      </c>
      <c r="I156" s="10">
        <f>SUM(I157:I160)</f>
        <v>0</v>
      </c>
    </row>
    <row r="157" spans="1:9" ht="14.1" customHeight="1" x14ac:dyDescent="0.25">
      <c r="A157" s="24"/>
      <c r="B157" s="24"/>
      <c r="C157" s="25" t="s">
        <v>185</v>
      </c>
      <c r="D157" s="26"/>
      <c r="E157" s="26"/>
      <c r="F157" s="26"/>
      <c r="G157" s="26"/>
      <c r="H157" s="26"/>
      <c r="I157" s="26"/>
    </row>
    <row r="158" spans="1:9" ht="14.1" customHeight="1" x14ac:dyDescent="0.25">
      <c r="A158" s="24"/>
      <c r="B158" s="24"/>
      <c r="C158" s="25" t="s">
        <v>186</v>
      </c>
      <c r="D158" s="26"/>
      <c r="E158" s="26"/>
      <c r="F158" s="26"/>
      <c r="G158" s="26"/>
      <c r="H158" s="26"/>
      <c r="I158" s="26"/>
    </row>
    <row r="159" spans="1:9" ht="14.1" customHeight="1" x14ac:dyDescent="0.25">
      <c r="A159" s="24"/>
      <c r="B159" s="24"/>
      <c r="C159" s="25" t="s">
        <v>187</v>
      </c>
      <c r="D159" s="26"/>
      <c r="E159" s="26"/>
      <c r="F159" s="26"/>
      <c r="G159" s="26"/>
      <c r="H159" s="26"/>
      <c r="I159" s="26"/>
    </row>
    <row r="160" spans="1:9" ht="14.1" customHeight="1" x14ac:dyDescent="0.25">
      <c r="A160" s="24"/>
      <c r="B160" s="24"/>
      <c r="C160" s="25" t="s">
        <v>188</v>
      </c>
      <c r="D160" s="26"/>
      <c r="E160" s="26"/>
      <c r="F160" s="26">
        <v>10</v>
      </c>
      <c r="G160" s="26">
        <v>300</v>
      </c>
      <c r="H160" s="26"/>
      <c r="I160" s="26"/>
    </row>
    <row r="161" spans="1:252" s="3" customFormat="1" ht="14.1" customHeight="1" x14ac:dyDescent="0.25">
      <c r="A161" s="16" t="s">
        <v>189</v>
      </c>
      <c r="B161" s="16" t="s">
        <v>190</v>
      </c>
      <c r="C161" s="17" t="s">
        <v>191</v>
      </c>
      <c r="D161" s="19">
        <f t="shared" ref="D161:I161" si="13">D141+D144+D148+D153+D156</f>
        <v>7241</v>
      </c>
      <c r="E161" s="19">
        <f t="shared" si="13"/>
        <v>7068</v>
      </c>
      <c r="F161" s="19">
        <f t="shared" si="13"/>
        <v>3882</v>
      </c>
      <c r="G161" s="19">
        <f t="shared" si="13"/>
        <v>3709</v>
      </c>
      <c r="H161" s="19">
        <f t="shared" si="13"/>
        <v>3359</v>
      </c>
      <c r="I161" s="19">
        <f t="shared" si="13"/>
        <v>3359</v>
      </c>
    </row>
    <row r="162" spans="1:252" s="3" customFormat="1" ht="14.1" customHeight="1" x14ac:dyDescent="0.25">
      <c r="A162" s="20" t="s">
        <v>192</v>
      </c>
      <c r="B162" s="20" t="s">
        <v>193</v>
      </c>
      <c r="C162" s="21" t="s">
        <v>292</v>
      </c>
      <c r="D162" s="23">
        <f t="shared" ref="D162:I162" si="14">D101+D112+D135+D140+D161</f>
        <v>34073</v>
      </c>
      <c r="E162" s="23">
        <f t="shared" si="14"/>
        <v>32185</v>
      </c>
      <c r="F162" s="23">
        <f t="shared" si="14"/>
        <v>18274</v>
      </c>
      <c r="G162" s="23">
        <f t="shared" si="14"/>
        <v>16386</v>
      </c>
      <c r="H162" s="23">
        <f t="shared" si="14"/>
        <v>15799</v>
      </c>
      <c r="I162" s="23">
        <f t="shared" si="14"/>
        <v>15799</v>
      </c>
    </row>
    <row r="163" spans="1:252" ht="14.1" customHeight="1" x14ac:dyDescent="0.2">
      <c r="A163" s="977" t="s">
        <v>291</v>
      </c>
      <c r="B163" s="978"/>
      <c r="C163" s="979"/>
      <c r="D163" s="28">
        <f t="shared" ref="D163:I163" si="15">D75+D162</f>
        <v>154658</v>
      </c>
      <c r="E163" s="28">
        <f t="shared" si="15"/>
        <v>153005</v>
      </c>
      <c r="F163" s="28">
        <f t="shared" si="15"/>
        <v>138859</v>
      </c>
      <c r="G163" s="28">
        <f t="shared" si="15"/>
        <v>137206</v>
      </c>
      <c r="H163" s="28">
        <f t="shared" si="15"/>
        <v>15799</v>
      </c>
      <c r="I163" s="28">
        <f t="shared" si="15"/>
        <v>15799</v>
      </c>
      <c r="J163" s="27"/>
      <c r="K163" s="27"/>
      <c r="L163" s="27"/>
      <c r="M163" s="27"/>
      <c r="N163" s="27"/>
      <c r="O163" s="27"/>
      <c r="P163" s="27"/>
      <c r="Q163" s="27"/>
      <c r="R163" s="27"/>
      <c r="S163" s="27"/>
      <c r="T163" s="27"/>
      <c r="U163" s="27"/>
      <c r="V163" s="27"/>
      <c r="W163" s="27"/>
      <c r="X163" s="27"/>
      <c r="Y163" s="27"/>
      <c r="Z163" s="27"/>
      <c r="AA163" s="27"/>
      <c r="AB163" s="27"/>
      <c r="AC163" s="27"/>
      <c r="AD163" s="27"/>
      <c r="AE163" s="27"/>
      <c r="AF163" s="27"/>
      <c r="AG163" s="27"/>
      <c r="AH163" s="27"/>
      <c r="AI163" s="27"/>
      <c r="AJ163" s="27"/>
      <c r="AK163" s="27"/>
      <c r="AL163" s="27"/>
      <c r="AM163" s="27"/>
      <c r="AN163" s="27"/>
      <c r="AO163" s="27"/>
      <c r="AP163" s="27"/>
      <c r="AQ163" s="27"/>
      <c r="AR163" s="27"/>
      <c r="AS163" s="27"/>
      <c r="AT163" s="27"/>
      <c r="AU163" s="27"/>
      <c r="AV163" s="27"/>
      <c r="AW163" s="27"/>
      <c r="AX163" s="27"/>
      <c r="AY163" s="27"/>
      <c r="AZ163" s="27"/>
      <c r="BA163" s="27"/>
      <c r="BB163" s="27"/>
      <c r="BC163" s="27"/>
      <c r="BD163" s="27"/>
      <c r="BE163" s="27"/>
      <c r="BF163" s="27"/>
      <c r="BG163" s="27"/>
      <c r="BH163" s="27"/>
      <c r="BI163" s="27"/>
      <c r="BJ163" s="27"/>
      <c r="BK163" s="27"/>
      <c r="BL163" s="27"/>
      <c r="BM163" s="27"/>
      <c r="BN163" s="27"/>
      <c r="BO163" s="27"/>
      <c r="BP163" s="27"/>
      <c r="BQ163" s="27"/>
      <c r="BR163" s="27"/>
      <c r="BS163" s="27"/>
      <c r="BT163" s="27"/>
      <c r="BU163" s="27"/>
      <c r="BV163" s="27"/>
      <c r="BW163" s="27"/>
      <c r="BX163" s="27"/>
      <c r="BY163" s="27"/>
      <c r="BZ163" s="27"/>
      <c r="CA163" s="27"/>
      <c r="CB163" s="27"/>
      <c r="CC163" s="27"/>
      <c r="CD163" s="27"/>
      <c r="CE163" s="27"/>
      <c r="CF163" s="27"/>
      <c r="CG163" s="27"/>
      <c r="CH163" s="27"/>
      <c r="CI163" s="27"/>
      <c r="CJ163" s="27"/>
      <c r="CK163" s="27"/>
      <c r="CL163" s="27"/>
      <c r="CM163" s="27"/>
      <c r="CN163" s="27"/>
      <c r="CO163" s="27"/>
      <c r="CP163" s="27"/>
      <c r="CQ163" s="27"/>
      <c r="CR163" s="27"/>
      <c r="CS163" s="27"/>
      <c r="CT163" s="27"/>
      <c r="CU163" s="27"/>
      <c r="CV163" s="27"/>
      <c r="CW163" s="27"/>
      <c r="CX163" s="27"/>
      <c r="CY163" s="27"/>
      <c r="CZ163" s="27"/>
      <c r="DA163" s="27"/>
      <c r="DB163" s="27"/>
      <c r="DC163" s="27"/>
      <c r="DD163" s="27"/>
      <c r="DE163" s="27"/>
      <c r="DF163" s="27"/>
      <c r="DG163" s="27"/>
      <c r="DH163" s="27"/>
      <c r="DI163" s="27"/>
      <c r="DJ163" s="27"/>
      <c r="DK163" s="27"/>
      <c r="DL163" s="27"/>
      <c r="DM163" s="27"/>
      <c r="DN163" s="27"/>
      <c r="DO163" s="27"/>
      <c r="DP163" s="27"/>
      <c r="DQ163" s="27"/>
      <c r="DR163" s="27"/>
      <c r="DS163" s="27"/>
      <c r="DT163" s="27"/>
      <c r="DU163" s="27"/>
      <c r="DV163" s="27"/>
      <c r="DW163" s="27"/>
      <c r="DX163" s="27"/>
      <c r="DY163" s="27"/>
      <c r="DZ163" s="27"/>
      <c r="EA163" s="27"/>
      <c r="EB163" s="27"/>
      <c r="EC163" s="27"/>
      <c r="ED163" s="27"/>
      <c r="EE163" s="27"/>
      <c r="EF163" s="27"/>
      <c r="EG163" s="27"/>
      <c r="EH163" s="27"/>
      <c r="EI163" s="27"/>
      <c r="EJ163" s="27"/>
      <c r="EK163" s="27"/>
      <c r="EL163" s="27"/>
      <c r="EM163" s="27"/>
      <c r="EN163" s="27"/>
      <c r="EO163" s="27"/>
      <c r="EP163" s="27"/>
      <c r="EQ163" s="27"/>
      <c r="ER163" s="27"/>
      <c r="ES163" s="27"/>
      <c r="ET163" s="27"/>
      <c r="EU163" s="27"/>
      <c r="EV163" s="27"/>
      <c r="EW163" s="27"/>
      <c r="EX163" s="27"/>
      <c r="EY163" s="27"/>
      <c r="EZ163" s="27"/>
      <c r="FA163" s="27"/>
      <c r="FB163" s="27"/>
      <c r="FC163" s="27"/>
      <c r="FD163" s="27"/>
      <c r="FE163" s="27"/>
      <c r="FF163" s="27"/>
      <c r="FG163" s="27"/>
      <c r="FH163" s="27"/>
      <c r="FI163" s="27"/>
      <c r="FJ163" s="27"/>
      <c r="FK163" s="27"/>
      <c r="FL163" s="27"/>
      <c r="FM163" s="27"/>
      <c r="FN163" s="27"/>
      <c r="FO163" s="27"/>
      <c r="FP163" s="27"/>
      <c r="FQ163" s="27"/>
      <c r="FR163" s="27"/>
      <c r="FS163" s="27"/>
      <c r="FT163" s="27"/>
      <c r="FU163" s="27"/>
      <c r="FV163" s="27"/>
      <c r="FW163" s="27"/>
      <c r="FX163" s="27"/>
      <c r="FY163" s="27"/>
      <c r="FZ163" s="27"/>
      <c r="GA163" s="27"/>
      <c r="GB163" s="27"/>
      <c r="GC163" s="27"/>
      <c r="GD163" s="27"/>
      <c r="GE163" s="27"/>
      <c r="GF163" s="27"/>
      <c r="GG163" s="27"/>
      <c r="GH163" s="27"/>
      <c r="GI163" s="27"/>
      <c r="GJ163" s="27"/>
      <c r="GK163" s="27"/>
      <c r="GL163" s="27"/>
      <c r="GM163" s="27"/>
      <c r="GN163" s="27"/>
      <c r="GO163" s="27"/>
      <c r="GP163" s="27"/>
      <c r="GQ163" s="27"/>
      <c r="GR163" s="27"/>
      <c r="GS163" s="27"/>
      <c r="GT163" s="27"/>
      <c r="GU163" s="27"/>
      <c r="GV163" s="27"/>
      <c r="GW163" s="27"/>
      <c r="GX163" s="27"/>
      <c r="GY163" s="27"/>
      <c r="GZ163" s="27"/>
      <c r="HA163" s="27"/>
      <c r="HB163" s="27"/>
      <c r="HC163" s="27"/>
      <c r="HD163" s="27"/>
      <c r="HE163" s="27"/>
      <c r="HF163" s="27"/>
      <c r="HG163" s="27"/>
      <c r="HH163" s="27"/>
      <c r="HI163" s="27"/>
      <c r="HJ163" s="27"/>
      <c r="HK163" s="27"/>
      <c r="HL163" s="27"/>
      <c r="HM163" s="27"/>
      <c r="HN163" s="27"/>
      <c r="HO163" s="27"/>
      <c r="HP163" s="27"/>
      <c r="HQ163" s="27"/>
      <c r="HR163" s="27"/>
      <c r="HS163" s="27"/>
      <c r="HT163" s="27"/>
      <c r="HU163" s="27"/>
      <c r="HV163" s="27"/>
      <c r="HW163" s="27"/>
      <c r="HX163" s="27"/>
      <c r="HY163" s="27"/>
      <c r="HZ163" s="27"/>
      <c r="IA163" s="27"/>
      <c r="IB163" s="27"/>
      <c r="IC163" s="27"/>
      <c r="ID163" s="27"/>
      <c r="IE163" s="27"/>
      <c r="IF163" s="27"/>
      <c r="IG163" s="27"/>
      <c r="IH163" s="27"/>
      <c r="II163" s="27"/>
      <c r="IJ163" s="27"/>
      <c r="IK163" s="27"/>
      <c r="IL163" s="27"/>
      <c r="IM163" s="27"/>
      <c r="IN163" s="27"/>
      <c r="IO163" s="27"/>
      <c r="IP163" s="27"/>
      <c r="IQ163" s="27"/>
      <c r="IR163" s="27"/>
    </row>
    <row r="164" spans="1:252" ht="12.75" customHeight="1" x14ac:dyDescent="0.2">
      <c r="A164" s="27"/>
      <c r="B164" s="27"/>
      <c r="C164" s="27"/>
      <c r="D164" s="27"/>
      <c r="E164" s="27"/>
      <c r="F164" s="27"/>
      <c r="G164" s="27"/>
      <c r="H164" s="27"/>
      <c r="I164" s="27"/>
      <c r="J164" s="27"/>
      <c r="K164" s="27"/>
      <c r="L164" s="27"/>
      <c r="M164" s="27"/>
      <c r="N164" s="27"/>
      <c r="O164" s="27"/>
      <c r="P164" s="27"/>
      <c r="Q164" s="27"/>
      <c r="R164" s="27"/>
      <c r="S164" s="27"/>
      <c r="T164" s="27"/>
      <c r="U164" s="27"/>
      <c r="V164" s="27"/>
      <c r="W164" s="27"/>
      <c r="X164" s="27"/>
      <c r="Y164" s="27"/>
      <c r="Z164" s="27"/>
      <c r="AA164" s="27"/>
      <c r="AB164" s="27"/>
      <c r="AC164" s="27"/>
      <c r="AD164" s="27"/>
      <c r="AE164" s="27"/>
      <c r="AF164" s="27"/>
      <c r="AG164" s="27"/>
      <c r="AH164" s="27"/>
      <c r="AI164" s="27"/>
      <c r="AJ164" s="27"/>
      <c r="AK164" s="27"/>
      <c r="AL164" s="27"/>
      <c r="AM164" s="27"/>
      <c r="AN164" s="27"/>
      <c r="AO164" s="27"/>
      <c r="AP164" s="27"/>
      <c r="AQ164" s="27"/>
      <c r="AR164" s="27"/>
      <c r="AS164" s="27"/>
      <c r="AT164" s="27"/>
      <c r="AU164" s="27"/>
      <c r="AV164" s="27"/>
      <c r="AW164" s="27"/>
      <c r="AX164" s="27"/>
      <c r="AY164" s="27"/>
      <c r="AZ164" s="27"/>
      <c r="BA164" s="27"/>
      <c r="BB164" s="27"/>
      <c r="BC164" s="27"/>
      <c r="BD164" s="27"/>
      <c r="BE164" s="27"/>
      <c r="BF164" s="27"/>
      <c r="BG164" s="27"/>
      <c r="BH164" s="27"/>
      <c r="BI164" s="27"/>
      <c r="BJ164" s="27"/>
      <c r="BK164" s="27"/>
      <c r="BL164" s="27"/>
      <c r="BM164" s="27"/>
      <c r="BN164" s="27"/>
      <c r="BO164" s="27"/>
      <c r="BP164" s="27"/>
      <c r="BQ164" s="27"/>
      <c r="BR164" s="27"/>
      <c r="BS164" s="27"/>
      <c r="BT164" s="27"/>
      <c r="BU164" s="27"/>
      <c r="BV164" s="27"/>
      <c r="BW164" s="27"/>
      <c r="BX164" s="27"/>
      <c r="BY164" s="27"/>
      <c r="BZ164" s="27"/>
      <c r="CA164" s="27"/>
      <c r="CB164" s="27"/>
      <c r="CC164" s="27"/>
      <c r="CD164" s="27"/>
      <c r="CE164" s="27"/>
      <c r="CF164" s="27"/>
      <c r="CG164" s="27"/>
      <c r="CH164" s="27"/>
      <c r="CI164" s="27"/>
      <c r="CJ164" s="27"/>
      <c r="CK164" s="27"/>
      <c r="CL164" s="27"/>
      <c r="CM164" s="27"/>
      <c r="CN164" s="27"/>
      <c r="CO164" s="27"/>
      <c r="CP164" s="27"/>
      <c r="CQ164" s="27"/>
      <c r="CR164" s="27"/>
      <c r="CS164" s="27"/>
      <c r="CT164" s="27"/>
      <c r="CU164" s="27"/>
      <c r="CV164" s="27"/>
      <c r="CW164" s="27"/>
      <c r="CX164" s="27"/>
      <c r="CY164" s="27"/>
      <c r="CZ164" s="27"/>
      <c r="DA164" s="27"/>
      <c r="DB164" s="27"/>
      <c r="DC164" s="27"/>
      <c r="DD164" s="27"/>
      <c r="DE164" s="27"/>
      <c r="DF164" s="27"/>
      <c r="DG164" s="27"/>
      <c r="DH164" s="27"/>
      <c r="DI164" s="27"/>
      <c r="DJ164" s="27"/>
      <c r="DK164" s="27"/>
      <c r="DL164" s="27"/>
      <c r="DM164" s="27"/>
      <c r="DN164" s="27"/>
      <c r="DO164" s="27"/>
      <c r="DP164" s="27"/>
      <c r="DQ164" s="27"/>
      <c r="DR164" s="27"/>
      <c r="DS164" s="27"/>
      <c r="DT164" s="27"/>
      <c r="DU164" s="27"/>
      <c r="DV164" s="27"/>
      <c r="DW164" s="27"/>
      <c r="DX164" s="27"/>
      <c r="DY164" s="27"/>
      <c r="DZ164" s="27"/>
      <c r="EA164" s="27"/>
      <c r="EB164" s="27"/>
      <c r="EC164" s="27"/>
      <c r="ED164" s="27"/>
      <c r="EE164" s="27"/>
      <c r="EF164" s="27"/>
      <c r="EG164" s="27"/>
      <c r="EH164" s="27"/>
      <c r="EI164" s="27"/>
      <c r="EJ164" s="27"/>
      <c r="EK164" s="27"/>
      <c r="EL164" s="27"/>
      <c r="EM164" s="27"/>
      <c r="EN164" s="27"/>
      <c r="EO164" s="27"/>
      <c r="EP164" s="27"/>
      <c r="EQ164" s="27"/>
      <c r="ER164" s="27"/>
      <c r="ES164" s="27"/>
      <c r="ET164" s="27"/>
      <c r="EU164" s="27"/>
      <c r="EV164" s="27"/>
      <c r="EW164" s="27"/>
      <c r="EX164" s="27"/>
      <c r="EY164" s="27"/>
      <c r="EZ164" s="27"/>
      <c r="FA164" s="27"/>
      <c r="FB164" s="27"/>
      <c r="FC164" s="27"/>
      <c r="FD164" s="27"/>
      <c r="FE164" s="27"/>
      <c r="FF164" s="27"/>
      <c r="FG164" s="27"/>
      <c r="FH164" s="27"/>
      <c r="FI164" s="27"/>
      <c r="FJ164" s="27"/>
      <c r="FK164" s="27"/>
      <c r="FL164" s="27"/>
      <c r="FM164" s="27"/>
      <c r="FN164" s="27"/>
      <c r="FO164" s="27"/>
      <c r="FP164" s="27"/>
      <c r="FQ164" s="27"/>
      <c r="FR164" s="27"/>
      <c r="FS164" s="27"/>
      <c r="FT164" s="27"/>
      <c r="FU164" s="27"/>
      <c r="FV164" s="27"/>
      <c r="FW164" s="27"/>
      <c r="FX164" s="27"/>
      <c r="FY164" s="27"/>
      <c r="FZ164" s="27"/>
      <c r="GA164" s="27"/>
      <c r="GB164" s="27"/>
      <c r="GC164" s="27"/>
      <c r="GD164" s="27"/>
      <c r="GE164" s="27"/>
      <c r="GF164" s="27"/>
      <c r="GG164" s="27"/>
      <c r="GH164" s="27"/>
      <c r="GI164" s="27"/>
      <c r="GJ164" s="27"/>
      <c r="GK164" s="27"/>
      <c r="GL164" s="27"/>
      <c r="GM164" s="27"/>
      <c r="GN164" s="27"/>
      <c r="GO164" s="27"/>
      <c r="GP164" s="27"/>
      <c r="GQ164" s="27"/>
      <c r="GR164" s="27"/>
      <c r="GS164" s="27"/>
      <c r="GT164" s="27"/>
      <c r="GU164" s="27"/>
      <c r="GV164" s="27"/>
      <c r="GW164" s="27"/>
      <c r="GX164" s="27"/>
      <c r="GY164" s="27"/>
      <c r="GZ164" s="27"/>
      <c r="HA164" s="27"/>
      <c r="HB164" s="27"/>
      <c r="HC164" s="27"/>
      <c r="HD164" s="27"/>
      <c r="HE164" s="27"/>
      <c r="HF164" s="27"/>
      <c r="HG164" s="27"/>
      <c r="HH164" s="27"/>
      <c r="HI164" s="27"/>
      <c r="HJ164" s="27"/>
      <c r="HK164" s="27"/>
      <c r="HL164" s="27"/>
      <c r="HM164" s="27"/>
      <c r="HN164" s="27"/>
      <c r="HO164" s="27"/>
      <c r="HP164" s="27"/>
      <c r="HQ164" s="27"/>
      <c r="HR164" s="27"/>
      <c r="HS164" s="27"/>
      <c r="HT164" s="27"/>
      <c r="HU164" s="27"/>
      <c r="HV164" s="27"/>
      <c r="HW164" s="27"/>
      <c r="HX164" s="27"/>
      <c r="HY164" s="27"/>
      <c r="HZ164" s="27"/>
      <c r="IA164" s="27"/>
      <c r="IB164" s="27"/>
      <c r="IC164" s="27"/>
      <c r="ID164" s="27"/>
      <c r="IE164" s="27"/>
      <c r="IF164" s="27"/>
      <c r="IG164" s="27"/>
      <c r="IH164" s="27"/>
      <c r="II164" s="27"/>
      <c r="IJ164" s="27"/>
      <c r="IK164" s="27"/>
      <c r="IL164" s="27"/>
      <c r="IM164" s="27"/>
      <c r="IN164" s="27"/>
      <c r="IO164" s="27"/>
      <c r="IP164" s="27"/>
      <c r="IQ164" s="27"/>
      <c r="IR164" s="27"/>
    </row>
    <row r="165" spans="1:252" ht="14.1" customHeight="1" x14ac:dyDescent="0.2">
      <c r="A165" s="27"/>
      <c r="B165" s="27"/>
      <c r="C165" s="27"/>
      <c r="D165" s="27"/>
      <c r="E165" s="27"/>
      <c r="F165" s="27"/>
      <c r="G165" s="27"/>
      <c r="H165" s="27"/>
      <c r="I165" s="27"/>
      <c r="J165" s="27"/>
      <c r="K165" s="27"/>
      <c r="L165" s="27"/>
      <c r="M165" s="27"/>
      <c r="N165" s="27"/>
      <c r="O165" s="27"/>
      <c r="P165" s="27"/>
      <c r="Q165" s="27"/>
      <c r="R165" s="27"/>
      <c r="S165" s="27"/>
      <c r="T165" s="27"/>
      <c r="U165" s="27"/>
      <c r="V165" s="27"/>
      <c r="W165" s="27"/>
      <c r="X165" s="27"/>
      <c r="Y165" s="27"/>
      <c r="Z165" s="27"/>
      <c r="AA165" s="27"/>
      <c r="AB165" s="27"/>
      <c r="AC165" s="27"/>
      <c r="AD165" s="27"/>
      <c r="AE165" s="27"/>
      <c r="AF165" s="27"/>
      <c r="AG165" s="27"/>
      <c r="AH165" s="27"/>
      <c r="AI165" s="27"/>
      <c r="AJ165" s="27"/>
      <c r="AK165" s="27"/>
      <c r="AL165" s="27"/>
      <c r="AM165" s="27"/>
      <c r="AN165" s="27"/>
      <c r="AO165" s="27"/>
      <c r="AP165" s="27"/>
      <c r="AQ165" s="27"/>
      <c r="AR165" s="27"/>
      <c r="AS165" s="27"/>
      <c r="AT165" s="27"/>
      <c r="AU165" s="27"/>
      <c r="AV165" s="27"/>
      <c r="AW165" s="27"/>
      <c r="AX165" s="27"/>
      <c r="AY165" s="27"/>
      <c r="AZ165" s="27"/>
      <c r="BA165" s="27"/>
      <c r="BB165" s="27"/>
      <c r="BC165" s="27"/>
      <c r="BD165" s="27"/>
      <c r="BE165" s="27"/>
      <c r="BF165" s="27"/>
      <c r="BG165" s="27"/>
      <c r="BH165" s="27"/>
      <c r="BI165" s="27"/>
      <c r="BJ165" s="27"/>
      <c r="BK165" s="27"/>
      <c r="BL165" s="27"/>
      <c r="BM165" s="27"/>
      <c r="BN165" s="27"/>
      <c r="BO165" s="27"/>
      <c r="BP165" s="27"/>
      <c r="BQ165" s="27"/>
      <c r="BR165" s="27"/>
      <c r="BS165" s="27"/>
      <c r="BT165" s="27"/>
      <c r="BU165" s="27"/>
      <c r="BV165" s="27"/>
      <c r="BW165" s="27"/>
      <c r="BX165" s="27"/>
      <c r="BY165" s="27"/>
      <c r="BZ165" s="27"/>
      <c r="CA165" s="27"/>
      <c r="CB165" s="27"/>
      <c r="CC165" s="27"/>
      <c r="CD165" s="27"/>
      <c r="CE165" s="27"/>
      <c r="CF165" s="27"/>
      <c r="CG165" s="27"/>
      <c r="CH165" s="27"/>
      <c r="CI165" s="27"/>
      <c r="CJ165" s="27"/>
      <c r="CK165" s="27"/>
      <c r="CL165" s="27"/>
      <c r="CM165" s="27"/>
      <c r="CN165" s="27"/>
      <c r="CO165" s="27"/>
      <c r="CP165" s="27"/>
      <c r="CQ165" s="27"/>
      <c r="CR165" s="27"/>
      <c r="CS165" s="27"/>
      <c r="CT165" s="27"/>
      <c r="CU165" s="27"/>
      <c r="CV165" s="27"/>
      <c r="CW165" s="27"/>
      <c r="CX165" s="27"/>
      <c r="CY165" s="27"/>
      <c r="CZ165" s="27"/>
      <c r="DA165" s="27"/>
      <c r="DB165" s="27"/>
      <c r="DC165" s="27"/>
      <c r="DD165" s="27"/>
      <c r="DE165" s="27"/>
      <c r="DF165" s="27"/>
      <c r="DG165" s="27"/>
      <c r="DH165" s="27"/>
      <c r="DI165" s="27"/>
      <c r="DJ165" s="27"/>
      <c r="DK165" s="27"/>
      <c r="DL165" s="27"/>
      <c r="DM165" s="27"/>
      <c r="DN165" s="27"/>
      <c r="DO165" s="27"/>
      <c r="DP165" s="27"/>
      <c r="DQ165" s="27"/>
      <c r="DR165" s="27"/>
      <c r="DS165" s="27"/>
      <c r="DT165" s="27"/>
      <c r="DU165" s="27"/>
      <c r="DV165" s="27"/>
      <c r="DW165" s="27"/>
      <c r="DX165" s="27"/>
      <c r="DY165" s="27"/>
      <c r="DZ165" s="27"/>
      <c r="EA165" s="27"/>
      <c r="EB165" s="27"/>
      <c r="EC165" s="27"/>
      <c r="ED165" s="27"/>
      <c r="EE165" s="27"/>
      <c r="EF165" s="27"/>
      <c r="EG165" s="27"/>
      <c r="EH165" s="27"/>
      <c r="EI165" s="27"/>
      <c r="EJ165" s="27"/>
      <c r="EK165" s="27"/>
      <c r="EL165" s="27"/>
      <c r="EM165" s="27"/>
      <c r="EN165" s="27"/>
      <c r="EO165" s="27"/>
      <c r="EP165" s="27"/>
      <c r="EQ165" s="27"/>
      <c r="ER165" s="27"/>
      <c r="ES165" s="27"/>
      <c r="ET165" s="27"/>
      <c r="EU165" s="27"/>
      <c r="EV165" s="27"/>
      <c r="EW165" s="27"/>
      <c r="EX165" s="27"/>
      <c r="EY165" s="27"/>
      <c r="EZ165" s="27"/>
      <c r="FA165" s="27"/>
      <c r="FB165" s="27"/>
      <c r="FC165" s="27"/>
      <c r="FD165" s="27"/>
      <c r="FE165" s="27"/>
      <c r="FF165" s="27"/>
      <c r="FG165" s="27"/>
      <c r="FH165" s="27"/>
      <c r="FI165" s="27"/>
      <c r="FJ165" s="27"/>
      <c r="FK165" s="27"/>
      <c r="FL165" s="27"/>
      <c r="FM165" s="27"/>
      <c r="FN165" s="27"/>
      <c r="FO165" s="27"/>
      <c r="FP165" s="27"/>
      <c r="FQ165" s="27"/>
      <c r="FR165" s="27"/>
      <c r="FS165" s="27"/>
      <c r="FT165" s="27"/>
      <c r="FU165" s="27"/>
      <c r="FV165" s="27"/>
      <c r="FW165" s="27"/>
      <c r="FX165" s="27"/>
      <c r="FY165" s="27"/>
      <c r="FZ165" s="27"/>
      <c r="GA165" s="27"/>
      <c r="GB165" s="27"/>
      <c r="GC165" s="27"/>
      <c r="GD165" s="27"/>
      <c r="GE165" s="27"/>
      <c r="GF165" s="27"/>
      <c r="GG165" s="27"/>
      <c r="GH165" s="27"/>
      <c r="GI165" s="27"/>
      <c r="GJ165" s="27"/>
      <c r="GK165" s="27"/>
      <c r="GL165" s="27"/>
      <c r="GM165" s="27"/>
      <c r="GN165" s="27"/>
      <c r="GO165" s="27"/>
      <c r="GP165" s="27"/>
      <c r="GQ165" s="27"/>
      <c r="GR165" s="27"/>
      <c r="GS165" s="27"/>
      <c r="GT165" s="27"/>
      <c r="GU165" s="27"/>
      <c r="GV165" s="27"/>
      <c r="GW165" s="27"/>
      <c r="GX165" s="27"/>
      <c r="GY165" s="27"/>
      <c r="GZ165" s="27"/>
      <c r="HA165" s="27"/>
      <c r="HB165" s="27"/>
      <c r="HC165" s="27"/>
      <c r="HD165" s="27"/>
      <c r="HE165" s="27"/>
      <c r="HF165" s="27"/>
      <c r="HG165" s="27"/>
      <c r="HH165" s="27"/>
      <c r="HI165" s="27"/>
      <c r="HJ165" s="27"/>
      <c r="HK165" s="27"/>
      <c r="HL165" s="27"/>
      <c r="HM165" s="27"/>
      <c r="HN165" s="27"/>
      <c r="HO165" s="27"/>
      <c r="HP165" s="27"/>
      <c r="HQ165" s="27"/>
      <c r="HR165" s="27"/>
      <c r="HS165" s="27"/>
      <c r="HT165" s="27"/>
      <c r="HU165" s="27"/>
      <c r="HV165" s="27"/>
      <c r="HW165" s="27"/>
      <c r="HX165" s="27"/>
      <c r="HY165" s="27"/>
      <c r="HZ165" s="27"/>
      <c r="IA165" s="27"/>
      <c r="IB165" s="27"/>
      <c r="IC165" s="27"/>
      <c r="ID165" s="27"/>
      <c r="IE165" s="27"/>
      <c r="IF165" s="27"/>
      <c r="IG165" s="27"/>
      <c r="IH165" s="27"/>
      <c r="II165" s="27"/>
      <c r="IJ165" s="27"/>
      <c r="IK165" s="27"/>
      <c r="IL165" s="27"/>
      <c r="IM165" s="27"/>
      <c r="IN165" s="27"/>
      <c r="IO165" s="27"/>
      <c r="IP165" s="27"/>
      <c r="IQ165" s="27"/>
      <c r="IR165" s="27"/>
    </row>
    <row r="167" spans="1:252" s="1" customFormat="1" ht="12.75" customHeight="1" x14ac:dyDescent="0.25">
      <c r="A167" s="974" t="s">
        <v>371</v>
      </c>
      <c r="B167" s="974"/>
      <c r="C167" s="974"/>
      <c r="D167" s="974"/>
      <c r="E167" s="974"/>
      <c r="F167" s="974"/>
      <c r="G167" s="974"/>
      <c r="H167" s="974"/>
      <c r="I167" s="974"/>
    </row>
    <row r="168" spans="1:252" s="1" customFormat="1" ht="14.1" customHeight="1" x14ac:dyDescent="0.25">
      <c r="A168" s="974" t="s">
        <v>0</v>
      </c>
      <c r="B168" s="975" t="s">
        <v>1</v>
      </c>
      <c r="C168" s="974" t="s">
        <v>2</v>
      </c>
      <c r="D168" s="976" t="s">
        <v>260</v>
      </c>
      <c r="E168" s="969" t="s">
        <v>259</v>
      </c>
      <c r="F168" s="971" t="s">
        <v>261</v>
      </c>
      <c r="G168" s="972"/>
      <c r="H168" s="971" t="s">
        <v>262</v>
      </c>
      <c r="I168" s="972"/>
    </row>
    <row r="169" spans="1:252" s="3" customFormat="1" ht="27" customHeight="1" x14ac:dyDescent="0.25">
      <c r="A169" s="974"/>
      <c r="B169" s="975"/>
      <c r="C169" s="974"/>
      <c r="D169" s="976"/>
      <c r="E169" s="970"/>
      <c r="F169" s="2" t="s">
        <v>260</v>
      </c>
      <c r="G169" s="2" t="s">
        <v>259</v>
      </c>
      <c r="H169" s="2" t="s">
        <v>260</v>
      </c>
      <c r="I169" s="2" t="s">
        <v>259</v>
      </c>
    </row>
    <row r="170" spans="1:252" ht="5.65" customHeight="1" x14ac:dyDescent="0.25"/>
    <row r="171" spans="1:252" ht="14.1" customHeight="1" x14ac:dyDescent="0.25">
      <c r="A171" s="973" t="s">
        <v>194</v>
      </c>
      <c r="B171" s="973"/>
      <c r="C171" s="973"/>
      <c r="D171" s="973"/>
      <c r="E171" s="973"/>
      <c r="F171" s="973"/>
      <c r="G171" s="973"/>
      <c r="H171" s="973"/>
      <c r="I171" s="973"/>
    </row>
    <row r="172" spans="1:252" ht="14.1" customHeight="1" x14ac:dyDescent="0.25">
      <c r="A172" s="24" t="s">
        <v>195</v>
      </c>
      <c r="B172" s="24" t="s">
        <v>196</v>
      </c>
      <c r="C172" s="25" t="s">
        <v>197</v>
      </c>
      <c r="D172" s="26">
        <f>F172+H172</f>
        <v>0</v>
      </c>
      <c r="E172" s="26">
        <f>G172+I172</f>
        <v>0</v>
      </c>
      <c r="F172" s="26"/>
      <c r="G172" s="26"/>
      <c r="H172" s="26"/>
      <c r="I172" s="26"/>
    </row>
    <row r="173" spans="1:252" ht="14.1" customHeight="1" x14ac:dyDescent="0.25">
      <c r="A173" s="24" t="s">
        <v>198</v>
      </c>
      <c r="B173" s="24" t="s">
        <v>199</v>
      </c>
      <c r="C173" s="25" t="s">
        <v>200</v>
      </c>
      <c r="D173" s="26">
        <f t="shared" ref="D173:E179" si="16">F173+H173</f>
        <v>0</v>
      </c>
      <c r="E173" s="26">
        <f t="shared" si="16"/>
        <v>0</v>
      </c>
      <c r="F173" s="26"/>
      <c r="G173" s="26"/>
      <c r="H173" s="26"/>
      <c r="I173" s="26"/>
    </row>
    <row r="174" spans="1:252" ht="14.1" customHeight="1" x14ac:dyDescent="0.25">
      <c r="A174" s="24" t="s">
        <v>201</v>
      </c>
      <c r="B174" s="24" t="s">
        <v>202</v>
      </c>
      <c r="C174" s="25" t="s">
        <v>203</v>
      </c>
      <c r="D174" s="26">
        <f t="shared" si="16"/>
        <v>150</v>
      </c>
      <c r="E174" s="26">
        <f t="shared" si="16"/>
        <v>0</v>
      </c>
      <c r="F174" s="26">
        <v>150</v>
      </c>
      <c r="G174" s="26"/>
      <c r="H174" s="26"/>
      <c r="I174" s="26"/>
    </row>
    <row r="175" spans="1:252" ht="14.1" customHeight="1" x14ac:dyDescent="0.25">
      <c r="A175" s="24" t="s">
        <v>204</v>
      </c>
      <c r="B175" s="24" t="s">
        <v>205</v>
      </c>
      <c r="C175" s="25" t="s">
        <v>206</v>
      </c>
      <c r="D175" s="26">
        <f t="shared" si="16"/>
        <v>200</v>
      </c>
      <c r="E175" s="26">
        <f t="shared" si="16"/>
        <v>320</v>
      </c>
      <c r="F175" s="26">
        <v>200</v>
      </c>
      <c r="G175" s="26">
        <v>320</v>
      </c>
      <c r="H175" s="26"/>
      <c r="I175" s="26"/>
    </row>
    <row r="176" spans="1:252" ht="14.1" customHeight="1" x14ac:dyDescent="0.25">
      <c r="A176" s="24"/>
      <c r="B176" s="24" t="s">
        <v>207</v>
      </c>
      <c r="C176" s="25" t="s">
        <v>208</v>
      </c>
      <c r="D176" s="26">
        <f t="shared" si="16"/>
        <v>0</v>
      </c>
      <c r="E176" s="26">
        <f t="shared" si="16"/>
        <v>0</v>
      </c>
      <c r="F176" s="26"/>
      <c r="G176" s="26"/>
      <c r="H176" s="26"/>
      <c r="I176" s="26"/>
    </row>
    <row r="177" spans="1:9" ht="14.1" customHeight="1" x14ac:dyDescent="0.25">
      <c r="A177" s="24" t="s">
        <v>209</v>
      </c>
      <c r="B177" s="24" t="s">
        <v>210</v>
      </c>
      <c r="C177" s="25" t="s">
        <v>211</v>
      </c>
      <c r="D177" s="26">
        <f t="shared" si="16"/>
        <v>0</v>
      </c>
      <c r="E177" s="26">
        <f t="shared" si="16"/>
        <v>0</v>
      </c>
      <c r="F177" s="26"/>
      <c r="G177" s="26"/>
      <c r="H177" s="26"/>
      <c r="I177" s="26"/>
    </row>
    <row r="178" spans="1:9" ht="14.1" customHeight="1" x14ac:dyDescent="0.25">
      <c r="A178" s="24" t="s">
        <v>212</v>
      </c>
      <c r="B178" s="24" t="s">
        <v>213</v>
      </c>
      <c r="C178" s="25" t="s">
        <v>214</v>
      </c>
      <c r="D178" s="26">
        <f t="shared" si="16"/>
        <v>0</v>
      </c>
      <c r="E178" s="26">
        <f t="shared" si="16"/>
        <v>0</v>
      </c>
      <c r="F178" s="26"/>
      <c r="G178" s="26"/>
      <c r="H178" s="26"/>
      <c r="I178" s="26"/>
    </row>
    <row r="179" spans="1:9" ht="14.1" customHeight="1" x14ac:dyDescent="0.25">
      <c r="A179" s="24" t="s">
        <v>215</v>
      </c>
      <c r="B179" s="24" t="s">
        <v>216</v>
      </c>
      <c r="C179" s="25" t="s">
        <v>217</v>
      </c>
      <c r="D179" s="26">
        <f t="shared" si="16"/>
        <v>95</v>
      </c>
      <c r="E179" s="26">
        <f t="shared" si="16"/>
        <v>86</v>
      </c>
      <c r="F179" s="26">
        <v>95</v>
      </c>
      <c r="G179" s="26">
        <f>ROUND((G172+G173+G174+G175+G176)*0.27,0)</f>
        <v>86</v>
      </c>
      <c r="H179" s="26">
        <v>0</v>
      </c>
      <c r="I179" s="26">
        <f>ROUND((I172+I173+I174+I175+I176)*0.27,0)</f>
        <v>0</v>
      </c>
    </row>
    <row r="180" spans="1:9" s="3" customFormat="1" ht="14.1" customHeight="1" x14ac:dyDescent="0.25">
      <c r="A180" s="20" t="s">
        <v>218</v>
      </c>
      <c r="B180" s="20" t="s">
        <v>219</v>
      </c>
      <c r="C180" s="21" t="s">
        <v>220</v>
      </c>
      <c r="D180" s="23">
        <f t="shared" ref="D180:I180" si="17">SUM(D172:D179)</f>
        <v>445</v>
      </c>
      <c r="E180" s="23">
        <f t="shared" si="17"/>
        <v>406</v>
      </c>
      <c r="F180" s="23">
        <f t="shared" si="17"/>
        <v>445</v>
      </c>
      <c r="G180" s="23">
        <f t="shared" si="17"/>
        <v>406</v>
      </c>
      <c r="H180" s="23">
        <f t="shared" si="17"/>
        <v>0</v>
      </c>
      <c r="I180" s="23">
        <f t="shared" si="17"/>
        <v>0</v>
      </c>
    </row>
    <row r="181" spans="1:9" ht="14.1" customHeight="1" x14ac:dyDescent="0.25">
      <c r="A181" s="24" t="s">
        <v>221</v>
      </c>
      <c r="B181" s="24" t="s">
        <v>222</v>
      </c>
      <c r="C181" s="25" t="s">
        <v>223</v>
      </c>
      <c r="D181" s="26">
        <f t="shared" ref="D181:E185" si="18">F181+H181</f>
        <v>0</v>
      </c>
      <c r="E181" s="26">
        <f t="shared" si="18"/>
        <v>0</v>
      </c>
      <c r="F181" s="26"/>
      <c r="G181" s="26"/>
      <c r="H181" s="26"/>
      <c r="I181" s="26"/>
    </row>
    <row r="182" spans="1:9" ht="14.1" customHeight="1" x14ac:dyDescent="0.25">
      <c r="A182" s="24" t="s">
        <v>224</v>
      </c>
      <c r="B182" s="24" t="s">
        <v>225</v>
      </c>
      <c r="C182" s="25" t="s">
        <v>226</v>
      </c>
      <c r="D182" s="26">
        <f t="shared" si="18"/>
        <v>0</v>
      </c>
      <c r="E182" s="26">
        <f t="shared" si="18"/>
        <v>0</v>
      </c>
      <c r="F182" s="26"/>
      <c r="G182" s="26"/>
      <c r="H182" s="26"/>
      <c r="I182" s="26"/>
    </row>
    <row r="183" spans="1:9" ht="14.1" customHeight="1" x14ac:dyDescent="0.25">
      <c r="A183" s="24" t="s">
        <v>227</v>
      </c>
      <c r="B183" s="24" t="s">
        <v>228</v>
      </c>
      <c r="C183" s="25" t="s">
        <v>229</v>
      </c>
      <c r="D183" s="26">
        <f t="shared" si="18"/>
        <v>0</v>
      </c>
      <c r="E183" s="26">
        <f t="shared" si="18"/>
        <v>0</v>
      </c>
      <c r="F183" s="26"/>
      <c r="G183" s="26"/>
      <c r="H183" s="26"/>
      <c r="I183" s="26"/>
    </row>
    <row r="184" spans="1:9" ht="14.1" customHeight="1" x14ac:dyDescent="0.25">
      <c r="A184" s="24"/>
      <c r="B184" s="24" t="s">
        <v>230</v>
      </c>
      <c r="C184" s="25" t="s">
        <v>231</v>
      </c>
      <c r="D184" s="26">
        <f t="shared" si="18"/>
        <v>0</v>
      </c>
      <c r="E184" s="26">
        <f t="shared" si="18"/>
        <v>0</v>
      </c>
      <c r="F184" s="26"/>
      <c r="G184" s="26"/>
      <c r="H184" s="26"/>
      <c r="I184" s="26"/>
    </row>
    <row r="185" spans="1:9" ht="14.1" customHeight="1" x14ac:dyDescent="0.25">
      <c r="A185" s="24" t="s">
        <v>232</v>
      </c>
      <c r="B185" s="24" t="s">
        <v>233</v>
      </c>
      <c r="C185" s="25" t="s">
        <v>234</v>
      </c>
      <c r="D185" s="26">
        <f t="shared" si="18"/>
        <v>0</v>
      </c>
      <c r="E185" s="26">
        <f t="shared" si="18"/>
        <v>0</v>
      </c>
      <c r="F185" s="26">
        <v>0</v>
      </c>
      <c r="G185" s="26">
        <f>ROUND((G181+G182+G183+G184)*0.27,0)</f>
        <v>0</v>
      </c>
      <c r="H185" s="26">
        <v>0</v>
      </c>
      <c r="I185" s="26">
        <f>ROUND((I181+I182+I183+I184)*0.27,0)</f>
        <v>0</v>
      </c>
    </row>
    <row r="186" spans="1:9" s="3" customFormat="1" ht="14.1" customHeight="1" x14ac:dyDescent="0.25">
      <c r="A186" s="20" t="s">
        <v>235</v>
      </c>
      <c r="B186" s="20" t="s">
        <v>236</v>
      </c>
      <c r="C186" s="21" t="s">
        <v>237</v>
      </c>
      <c r="D186" s="23">
        <f t="shared" ref="D186:I186" si="19">SUM(D181:D185)</f>
        <v>0</v>
      </c>
      <c r="E186" s="23">
        <f t="shared" si="19"/>
        <v>0</v>
      </c>
      <c r="F186" s="23">
        <f t="shared" si="19"/>
        <v>0</v>
      </c>
      <c r="G186" s="23">
        <f t="shared" si="19"/>
        <v>0</v>
      </c>
      <c r="H186" s="23">
        <f t="shared" si="19"/>
        <v>0</v>
      </c>
      <c r="I186" s="23">
        <f t="shared" si="19"/>
        <v>0</v>
      </c>
    </row>
    <row r="187" spans="1:9" s="3" customFormat="1" ht="14.1" customHeight="1" x14ac:dyDescent="0.25">
      <c r="A187" s="977" t="s">
        <v>293</v>
      </c>
      <c r="B187" s="978"/>
      <c r="C187" s="979" t="s">
        <v>238</v>
      </c>
      <c r="D187" s="28">
        <f t="shared" ref="D187:I187" si="20">D180+D186</f>
        <v>445</v>
      </c>
      <c r="E187" s="28">
        <f t="shared" si="20"/>
        <v>406</v>
      </c>
      <c r="F187" s="28">
        <f t="shared" si="20"/>
        <v>445</v>
      </c>
      <c r="G187" s="28">
        <f t="shared" si="20"/>
        <v>406</v>
      </c>
      <c r="H187" s="28">
        <f t="shared" si="20"/>
        <v>0</v>
      </c>
      <c r="I187" s="28">
        <f t="shared" si="20"/>
        <v>0</v>
      </c>
    </row>
    <row r="188" spans="1:9" ht="6.75" customHeight="1" x14ac:dyDescent="0.25"/>
    <row r="189" spans="1:9" ht="14.1" customHeight="1" x14ac:dyDescent="0.25">
      <c r="A189" s="966" t="s">
        <v>294</v>
      </c>
      <c r="B189" s="967"/>
      <c r="C189" s="968"/>
      <c r="D189" s="29">
        <f t="shared" ref="D189:I189" si="21">D187+D163</f>
        <v>155103</v>
      </c>
      <c r="E189" s="29">
        <f t="shared" si="21"/>
        <v>153411</v>
      </c>
      <c r="F189" s="29">
        <f t="shared" si="21"/>
        <v>139304</v>
      </c>
      <c r="G189" s="29">
        <f t="shared" si="21"/>
        <v>137612</v>
      </c>
      <c r="H189" s="29">
        <f t="shared" si="21"/>
        <v>15799</v>
      </c>
      <c r="I189" s="29">
        <f t="shared" si="21"/>
        <v>15799</v>
      </c>
    </row>
    <row r="194" spans="1:9" s="1" customFormat="1" ht="12.75" customHeight="1" x14ac:dyDescent="0.25">
      <c r="A194" s="974" t="s">
        <v>370</v>
      </c>
      <c r="B194" s="974"/>
      <c r="C194" s="974"/>
      <c r="D194" s="974"/>
      <c r="E194" s="974"/>
      <c r="F194" s="974"/>
      <c r="G194" s="974"/>
      <c r="H194" s="974"/>
      <c r="I194" s="974"/>
    </row>
    <row r="195" spans="1:9" s="1" customFormat="1" ht="14.1" customHeight="1" x14ac:dyDescent="0.25">
      <c r="A195" s="974" t="s">
        <v>0</v>
      </c>
      <c r="B195" s="975" t="s">
        <v>1</v>
      </c>
      <c r="C195" s="974" t="s">
        <v>2</v>
      </c>
      <c r="D195" s="976" t="s">
        <v>260</v>
      </c>
      <c r="E195" s="969" t="s">
        <v>259</v>
      </c>
      <c r="F195" s="971" t="s">
        <v>261</v>
      </c>
      <c r="G195" s="972"/>
      <c r="H195" s="971" t="s">
        <v>262</v>
      </c>
      <c r="I195" s="972"/>
    </row>
    <row r="196" spans="1:9" s="3" customFormat="1" ht="23.25" customHeight="1" x14ac:dyDescent="0.25">
      <c r="A196" s="974"/>
      <c r="B196" s="975"/>
      <c r="C196" s="974"/>
      <c r="D196" s="976"/>
      <c r="E196" s="970"/>
      <c r="F196" s="2" t="s">
        <v>260</v>
      </c>
      <c r="G196" s="2" t="s">
        <v>259</v>
      </c>
      <c r="H196" s="2" t="s">
        <v>260</v>
      </c>
      <c r="I196" s="2" t="s">
        <v>259</v>
      </c>
    </row>
    <row r="197" spans="1:9" ht="5.65" customHeight="1" x14ac:dyDescent="0.25"/>
    <row r="198" spans="1:9" ht="14.1" customHeight="1" x14ac:dyDescent="0.25">
      <c r="A198" s="973" t="s">
        <v>239</v>
      </c>
      <c r="B198" s="973"/>
      <c r="C198" s="973"/>
      <c r="D198" s="973"/>
      <c r="E198" s="973"/>
      <c r="F198" s="973"/>
      <c r="G198" s="973"/>
      <c r="H198" s="973"/>
      <c r="I198" s="973"/>
    </row>
    <row r="199" spans="1:9" s="3" customFormat="1" ht="14.1" customHeight="1" x14ac:dyDescent="0.25">
      <c r="A199" s="20" t="s">
        <v>240</v>
      </c>
      <c r="B199" s="20"/>
      <c r="C199" s="21" t="s">
        <v>241</v>
      </c>
      <c r="D199" s="23">
        <f t="shared" ref="D199:I199" si="22">SUM(D200:D209)</f>
        <v>10088</v>
      </c>
      <c r="E199" s="23">
        <f t="shared" si="22"/>
        <v>3759</v>
      </c>
      <c r="F199" s="23">
        <f t="shared" si="22"/>
        <v>0</v>
      </c>
      <c r="G199" s="23">
        <f t="shared" si="22"/>
        <v>0</v>
      </c>
      <c r="H199" s="23">
        <f t="shared" si="22"/>
        <v>10088</v>
      </c>
      <c r="I199" s="23">
        <f t="shared" si="22"/>
        <v>3759</v>
      </c>
    </row>
    <row r="200" spans="1:9" ht="14.1" customHeight="1" x14ac:dyDescent="0.25">
      <c r="A200" s="24" t="s">
        <v>242</v>
      </c>
      <c r="B200" s="24"/>
      <c r="C200" s="25" t="s">
        <v>243</v>
      </c>
      <c r="D200" s="26">
        <f>F200+H200</f>
        <v>0</v>
      </c>
      <c r="E200" s="26">
        <f>G200+I200</f>
        <v>0</v>
      </c>
      <c r="F200" s="26"/>
      <c r="G200" s="26"/>
      <c r="H200" s="26"/>
      <c r="I200" s="26"/>
    </row>
    <row r="201" spans="1:9" ht="14.1" customHeight="1" x14ac:dyDescent="0.25">
      <c r="A201" s="24" t="s">
        <v>244</v>
      </c>
      <c r="B201" s="24"/>
      <c r="C201" s="25" t="s">
        <v>245</v>
      </c>
      <c r="D201" s="26">
        <f t="shared" ref="D201:E209" si="23">F201+H201</f>
        <v>0</v>
      </c>
      <c r="E201" s="26">
        <f t="shared" si="23"/>
        <v>0</v>
      </c>
      <c r="F201" s="26"/>
      <c r="G201" s="26"/>
      <c r="H201" s="26"/>
      <c r="I201" s="26"/>
    </row>
    <row r="202" spans="1:9" ht="14.1" customHeight="1" x14ac:dyDescent="0.25">
      <c r="A202" s="24" t="s">
        <v>246</v>
      </c>
      <c r="B202" s="24"/>
      <c r="C202" s="25" t="s">
        <v>247</v>
      </c>
      <c r="D202" s="26">
        <f t="shared" si="23"/>
        <v>0</v>
      </c>
      <c r="E202" s="26">
        <f t="shared" si="23"/>
        <v>0</v>
      </c>
      <c r="F202" s="26"/>
      <c r="G202" s="26"/>
      <c r="H202" s="26"/>
      <c r="I202" s="26"/>
    </row>
    <row r="203" spans="1:9" ht="14.1" customHeight="1" x14ac:dyDescent="0.25">
      <c r="A203" s="24" t="s">
        <v>248</v>
      </c>
      <c r="B203" s="24"/>
      <c r="C203" s="25" t="s">
        <v>249</v>
      </c>
      <c r="D203" s="26">
        <f t="shared" si="23"/>
        <v>0</v>
      </c>
      <c r="E203" s="26">
        <f t="shared" si="23"/>
        <v>0</v>
      </c>
      <c r="F203" s="26"/>
      <c r="G203" s="26"/>
      <c r="H203" s="26"/>
      <c r="I203" s="26"/>
    </row>
    <row r="204" spans="1:9" ht="14.1" customHeight="1" x14ac:dyDescent="0.25">
      <c r="A204" s="24" t="s">
        <v>296</v>
      </c>
      <c r="B204" s="24"/>
      <c r="C204" s="25" t="s">
        <v>297</v>
      </c>
      <c r="D204" s="26">
        <f t="shared" si="23"/>
        <v>7628</v>
      </c>
      <c r="E204" s="26">
        <f t="shared" si="23"/>
        <v>2960</v>
      </c>
      <c r="F204" s="26"/>
      <c r="G204" s="26"/>
      <c r="H204" s="26">
        <v>7628</v>
      </c>
      <c r="I204" s="26">
        <v>2960</v>
      </c>
    </row>
    <row r="205" spans="1:9" ht="14.1" customHeight="1" x14ac:dyDescent="0.25">
      <c r="A205" s="24" t="s">
        <v>250</v>
      </c>
      <c r="B205" s="24"/>
      <c r="C205" s="25" t="s">
        <v>251</v>
      </c>
      <c r="D205" s="26">
        <f t="shared" si="23"/>
        <v>2060</v>
      </c>
      <c r="E205" s="26">
        <f t="shared" si="23"/>
        <v>799</v>
      </c>
      <c r="F205" s="26"/>
      <c r="G205" s="26">
        <f>ROUND((G200+G201+G202+G203+G204)*0.27,0)</f>
        <v>0</v>
      </c>
      <c r="H205" s="26">
        <v>2060</v>
      </c>
      <c r="I205" s="26">
        <f>ROUND((I200+I201+I202+I203+I204)*0.27,0)</f>
        <v>799</v>
      </c>
    </row>
    <row r="206" spans="1:9" ht="14.1" customHeight="1" x14ac:dyDescent="0.25">
      <c r="A206" s="24" t="s">
        <v>298</v>
      </c>
      <c r="B206" s="24"/>
      <c r="C206" s="25" t="s">
        <v>299</v>
      </c>
      <c r="D206" s="26">
        <f t="shared" si="23"/>
        <v>400</v>
      </c>
      <c r="E206" s="26">
        <f t="shared" si="23"/>
        <v>0</v>
      </c>
      <c r="F206" s="26"/>
      <c r="G206" s="26"/>
      <c r="H206" s="26">
        <v>400</v>
      </c>
      <c r="I206" s="26"/>
    </row>
    <row r="207" spans="1:9" ht="14.1" customHeight="1" x14ac:dyDescent="0.25">
      <c r="A207" s="24" t="s">
        <v>252</v>
      </c>
      <c r="B207" s="24"/>
      <c r="C207" s="25" t="s">
        <v>253</v>
      </c>
      <c r="D207" s="26">
        <f t="shared" si="23"/>
        <v>0</v>
      </c>
      <c r="E207" s="26">
        <f t="shared" si="23"/>
        <v>0</v>
      </c>
      <c r="F207" s="26"/>
      <c r="G207" s="26"/>
      <c r="H207" s="26"/>
      <c r="I207" s="26"/>
    </row>
    <row r="208" spans="1:9" ht="14.1" customHeight="1" x14ac:dyDescent="0.25">
      <c r="A208" s="24" t="s">
        <v>300</v>
      </c>
      <c r="B208" s="24"/>
      <c r="C208" s="25" t="s">
        <v>301</v>
      </c>
      <c r="D208" s="26">
        <f t="shared" si="23"/>
        <v>0</v>
      </c>
      <c r="E208" s="26">
        <f t="shared" si="23"/>
        <v>0</v>
      </c>
      <c r="F208" s="26"/>
      <c r="G208" s="26"/>
      <c r="H208" s="26"/>
      <c r="I208" s="26"/>
    </row>
    <row r="209" spans="1:9" ht="14.1" customHeight="1" x14ac:dyDescent="0.25">
      <c r="A209" s="24" t="s">
        <v>254</v>
      </c>
      <c r="B209" s="24"/>
      <c r="C209" s="25" t="s">
        <v>255</v>
      </c>
      <c r="D209" s="26">
        <f t="shared" si="23"/>
        <v>0</v>
      </c>
      <c r="E209" s="26">
        <f t="shared" si="23"/>
        <v>0</v>
      </c>
      <c r="F209" s="26"/>
      <c r="G209" s="26"/>
      <c r="H209" s="26"/>
      <c r="I209" s="26"/>
    </row>
    <row r="210" spans="1:9" s="3" customFormat="1" ht="14.1" customHeight="1" x14ac:dyDescent="0.25">
      <c r="A210" s="20" t="s">
        <v>256</v>
      </c>
      <c r="B210" s="20"/>
      <c r="C210" s="21" t="s">
        <v>257</v>
      </c>
      <c r="D210" s="23">
        <f>F210+H210</f>
        <v>0</v>
      </c>
      <c r="E210" s="23">
        <f>G210+I210</f>
        <v>0</v>
      </c>
      <c r="F210" s="23">
        <v>0</v>
      </c>
      <c r="G210" s="23">
        <v>0</v>
      </c>
      <c r="H210" s="23">
        <v>0</v>
      </c>
      <c r="I210" s="23">
        <v>0</v>
      </c>
    </row>
    <row r="211" spans="1:9" s="3" customFormat="1" ht="14.1" customHeight="1" x14ac:dyDescent="0.25">
      <c r="A211" s="966" t="s">
        <v>295</v>
      </c>
      <c r="B211" s="967"/>
      <c r="C211" s="968"/>
      <c r="D211" s="29">
        <f t="shared" ref="D211:I211" si="24">D199+D210</f>
        <v>10088</v>
      </c>
      <c r="E211" s="29">
        <f t="shared" si="24"/>
        <v>3759</v>
      </c>
      <c r="F211" s="29">
        <f t="shared" si="24"/>
        <v>0</v>
      </c>
      <c r="G211" s="29">
        <f t="shared" si="24"/>
        <v>0</v>
      </c>
      <c r="H211" s="29">
        <f t="shared" si="24"/>
        <v>10088</v>
      </c>
      <c r="I211" s="29">
        <f t="shared" si="24"/>
        <v>3759</v>
      </c>
    </row>
  </sheetData>
  <sheetProtection selectLockedCells="1" selectUnlockedCells="1"/>
  <mergeCells count="41">
    <mergeCell ref="A5:I5"/>
    <mergeCell ref="A75:C75"/>
    <mergeCell ref="A168:A169"/>
    <mergeCell ref="A1:I1"/>
    <mergeCell ref="A2:A3"/>
    <mergeCell ref="B2:B3"/>
    <mergeCell ref="C2:C3"/>
    <mergeCell ref="D2:D3"/>
    <mergeCell ref="F2:G2"/>
    <mergeCell ref="H2:I2"/>
    <mergeCell ref="E2:E3"/>
    <mergeCell ref="A79:I79"/>
    <mergeCell ref="A80:A81"/>
    <mergeCell ref="D80:D81"/>
    <mergeCell ref="B168:B169"/>
    <mergeCell ref="E168:E169"/>
    <mergeCell ref="A211:C211"/>
    <mergeCell ref="A171:I171"/>
    <mergeCell ref="A187:C187"/>
    <mergeCell ref="A189:C189"/>
    <mergeCell ref="A194:I194"/>
    <mergeCell ref="H195:I195"/>
    <mergeCell ref="A198:I198"/>
    <mergeCell ref="F195:G195"/>
    <mergeCell ref="B195:B196"/>
    <mergeCell ref="D195:D196"/>
    <mergeCell ref="E195:E196"/>
    <mergeCell ref="A195:A196"/>
    <mergeCell ref="C195:C196"/>
    <mergeCell ref="F168:G168"/>
    <mergeCell ref="H168:I168"/>
    <mergeCell ref="F80:G80"/>
    <mergeCell ref="H80:I80"/>
    <mergeCell ref="A83:I83"/>
    <mergeCell ref="A163:C163"/>
    <mergeCell ref="C80:C81"/>
    <mergeCell ref="B80:B81"/>
    <mergeCell ref="A167:I167"/>
    <mergeCell ref="D168:D169"/>
    <mergeCell ref="C168:C169"/>
    <mergeCell ref="E80:E81"/>
  </mergeCells>
  <printOptions horizontalCentered="1"/>
  <pageMargins left="0.15748031496062992" right="0.15748031496062992" top="0.19685039370078741" bottom="0.15748031496062992" header="0.31496062992125984" footer="0.31496062992125984"/>
  <pageSetup paperSize="8" fitToHeight="0" orientation="portrait" useFirstPageNumber="1" copies="2" r:id="rId1"/>
  <headerFooter alignWithMargins="0"/>
  <rowBreaks count="2" manualBreakCount="2">
    <brk id="75" max="16383" man="1"/>
    <brk id="140" max="16383" man="1"/>
  </rowBreaks>
  <legacy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pageSetUpPr fitToPage="1"/>
  </sheetPr>
  <dimension ref="A1:IR180"/>
  <sheetViews>
    <sheetView view="pageBreakPreview" zoomScale="150" zoomScaleNormal="100" zoomScaleSheetLayoutView="150" workbookViewId="0">
      <pane ySplit="4" topLeftCell="A56" activePane="bottomLeft" state="frozen"/>
      <selection pane="bottomLeft" activeCell="B69" sqref="B69"/>
    </sheetView>
  </sheetViews>
  <sheetFormatPr defaultColWidth="11.7109375" defaultRowHeight="14.1" customHeight="1" x14ac:dyDescent="0.25"/>
  <cols>
    <col min="1" max="1" width="5.7109375" style="4" customWidth="1"/>
    <col min="2" max="2" width="7.7109375" style="4" customWidth="1"/>
    <col min="3" max="3" width="31.7109375" style="5" customWidth="1"/>
    <col min="4" max="5" width="10.85546875" style="6" customWidth="1"/>
    <col min="6" max="6" width="9.85546875" style="6" bestFit="1" customWidth="1"/>
    <col min="7" max="7" width="9.85546875" style="6" customWidth="1"/>
    <col min="8" max="8" width="10.7109375" style="6" customWidth="1"/>
    <col min="9" max="9" width="12" style="6" customWidth="1"/>
    <col min="10" max="16384" width="11.7109375" style="5"/>
  </cols>
  <sheetData>
    <row r="1" spans="1:9" s="1" customFormat="1" ht="12.75" customHeight="1" x14ac:dyDescent="0.25">
      <c r="A1" s="974" t="s">
        <v>404</v>
      </c>
      <c r="B1" s="974"/>
      <c r="C1" s="974"/>
      <c r="D1" s="974"/>
      <c r="E1" s="974"/>
      <c r="F1" s="974"/>
      <c r="G1" s="974"/>
      <c r="H1" s="974"/>
      <c r="I1" s="974"/>
    </row>
    <row r="2" spans="1:9" s="1" customFormat="1" ht="14.1" customHeight="1" x14ac:dyDescent="0.25">
      <c r="A2" s="974" t="s">
        <v>0</v>
      </c>
      <c r="B2" s="975" t="s">
        <v>1</v>
      </c>
      <c r="C2" s="974" t="s">
        <v>2</v>
      </c>
      <c r="D2" s="976" t="s">
        <v>260</v>
      </c>
      <c r="E2" s="969" t="s">
        <v>259</v>
      </c>
      <c r="F2" s="971" t="s">
        <v>261</v>
      </c>
      <c r="G2" s="972"/>
      <c r="H2" s="971" t="s">
        <v>262</v>
      </c>
      <c r="I2" s="972"/>
    </row>
    <row r="3" spans="1:9" s="3" customFormat="1" ht="25.5" customHeight="1" x14ac:dyDescent="0.25">
      <c r="A3" s="974"/>
      <c r="B3" s="975"/>
      <c r="C3" s="974"/>
      <c r="D3" s="976"/>
      <c r="E3" s="970"/>
      <c r="F3" s="2" t="s">
        <v>263</v>
      </c>
      <c r="G3" s="2" t="s">
        <v>259</v>
      </c>
      <c r="H3" s="2" t="s">
        <v>260</v>
      </c>
      <c r="I3" s="2" t="s">
        <v>259</v>
      </c>
    </row>
    <row r="4" spans="1:9" ht="5.65" customHeight="1" x14ac:dyDescent="0.25"/>
    <row r="5" spans="1:9" ht="14.1" customHeight="1" x14ac:dyDescent="0.25">
      <c r="A5" s="973" t="s">
        <v>3</v>
      </c>
      <c r="B5" s="973"/>
      <c r="C5" s="973"/>
      <c r="D5" s="973"/>
      <c r="E5" s="973"/>
      <c r="F5" s="973"/>
      <c r="G5" s="973"/>
      <c r="H5" s="973"/>
      <c r="I5" s="973"/>
    </row>
    <row r="6" spans="1:9" s="3" customFormat="1" ht="12.75" customHeight="1" x14ac:dyDescent="0.25">
      <c r="A6" s="7" t="s">
        <v>4</v>
      </c>
      <c r="B6" s="7" t="s">
        <v>5</v>
      </c>
      <c r="C6" s="8" t="s">
        <v>6</v>
      </c>
      <c r="D6" s="9">
        <f>F6+H6</f>
        <v>132520</v>
      </c>
      <c r="E6" s="9">
        <f>G6+I6</f>
        <v>145416</v>
      </c>
      <c r="F6" s="10">
        <v>132520</v>
      </c>
      <c r="G6" s="10">
        <f>SUM(G7:G8)</f>
        <v>145416</v>
      </c>
      <c r="H6" s="10">
        <v>0</v>
      </c>
      <c r="I6" s="10">
        <f>SUM(I7:I7)</f>
        <v>0</v>
      </c>
    </row>
    <row r="7" spans="1:9" s="15" customFormat="1" ht="11.45" customHeight="1" x14ac:dyDescent="0.25">
      <c r="A7" s="11"/>
      <c r="B7" s="11"/>
      <c r="C7" s="12" t="s">
        <v>1156</v>
      </c>
      <c r="D7" s="13"/>
      <c r="E7" s="13"/>
      <c r="F7" s="14"/>
      <c r="G7" s="14">
        <v>145029</v>
      </c>
      <c r="H7" s="14"/>
      <c r="I7" s="14"/>
    </row>
    <row r="8" spans="1:9" s="15" customFormat="1" ht="11.45" customHeight="1" x14ac:dyDescent="0.25">
      <c r="A8" s="11"/>
      <c r="B8" s="11"/>
      <c r="C8" s="12" t="s">
        <v>1157</v>
      </c>
      <c r="D8" s="13"/>
      <c r="E8" s="13"/>
      <c r="F8" s="14"/>
      <c r="G8" s="14">
        <v>387</v>
      </c>
      <c r="H8" s="14"/>
      <c r="I8" s="14"/>
    </row>
    <row r="9" spans="1:9" s="3" customFormat="1" ht="12.75" customHeight="1" x14ac:dyDescent="0.25">
      <c r="A9" s="7" t="s">
        <v>7</v>
      </c>
      <c r="B9" s="7" t="s">
        <v>8</v>
      </c>
      <c r="C9" s="8" t="s">
        <v>9</v>
      </c>
      <c r="D9" s="9">
        <f t="shared" ref="D9:E11" si="0">F9+H9</f>
        <v>0</v>
      </c>
      <c r="E9" s="9">
        <f t="shared" si="0"/>
        <v>0</v>
      </c>
      <c r="F9" s="10">
        <v>0</v>
      </c>
      <c r="G9" s="10">
        <v>0</v>
      </c>
      <c r="H9" s="10">
        <v>0</v>
      </c>
      <c r="I9" s="10">
        <v>0</v>
      </c>
    </row>
    <row r="10" spans="1:9" s="3" customFormat="1" ht="12.75" customHeight="1" x14ac:dyDescent="0.25">
      <c r="A10" s="7" t="s">
        <v>10</v>
      </c>
      <c r="B10" s="7" t="s">
        <v>11</v>
      </c>
      <c r="C10" s="8" t="s">
        <v>12</v>
      </c>
      <c r="D10" s="9">
        <f t="shared" si="0"/>
        <v>0</v>
      </c>
      <c r="E10" s="9">
        <f t="shared" si="0"/>
        <v>0</v>
      </c>
      <c r="F10" s="10">
        <v>0</v>
      </c>
      <c r="G10" s="10">
        <v>0</v>
      </c>
      <c r="H10" s="10">
        <v>0</v>
      </c>
      <c r="I10" s="10">
        <v>0</v>
      </c>
    </row>
    <row r="11" spans="1:9" s="3" customFormat="1" ht="12.75" customHeight="1" x14ac:dyDescent="0.25">
      <c r="A11" s="7" t="s">
        <v>13</v>
      </c>
      <c r="B11" s="7" t="s">
        <v>14</v>
      </c>
      <c r="C11" s="8" t="s">
        <v>15</v>
      </c>
      <c r="D11" s="9">
        <f t="shared" si="0"/>
        <v>1200</v>
      </c>
      <c r="E11" s="9">
        <f t="shared" si="0"/>
        <v>800</v>
      </c>
      <c r="F11" s="10">
        <f>SUM(F12:F13)</f>
        <v>1200</v>
      </c>
      <c r="G11" s="10">
        <f>SUM(G12:G13)</f>
        <v>800</v>
      </c>
      <c r="H11" s="10">
        <v>0</v>
      </c>
      <c r="I11" s="10">
        <f>SUM(I12:I13)</f>
        <v>0</v>
      </c>
    </row>
    <row r="12" spans="1:9" s="15" customFormat="1" ht="11.45" customHeight="1" x14ac:dyDescent="0.25">
      <c r="A12" s="11"/>
      <c r="B12" s="11"/>
      <c r="C12" s="12" t="s">
        <v>16</v>
      </c>
      <c r="D12" s="13"/>
      <c r="E12" s="13"/>
      <c r="F12" s="14">
        <v>1200</v>
      </c>
      <c r="G12" s="14">
        <v>800</v>
      </c>
      <c r="H12" s="14"/>
      <c r="I12" s="14"/>
    </row>
    <row r="13" spans="1:9" s="15" customFormat="1" ht="11.45" customHeight="1" x14ac:dyDescent="0.25">
      <c r="A13" s="11"/>
      <c r="B13" s="11"/>
      <c r="C13" s="12" t="s">
        <v>17</v>
      </c>
      <c r="D13" s="13"/>
      <c r="E13" s="13"/>
      <c r="F13" s="14"/>
      <c r="G13" s="14"/>
      <c r="H13" s="14"/>
      <c r="I13" s="14"/>
    </row>
    <row r="14" spans="1:9" s="3" customFormat="1" ht="12.75" customHeight="1" x14ac:dyDescent="0.25">
      <c r="A14" s="7" t="s">
        <v>18</v>
      </c>
      <c r="B14" s="7" t="s">
        <v>19</v>
      </c>
      <c r="C14" s="8" t="s">
        <v>20</v>
      </c>
      <c r="D14" s="9">
        <f t="shared" ref="D14:E18" si="1">F14+H14</f>
        <v>0</v>
      </c>
      <c r="E14" s="9">
        <f t="shared" si="1"/>
        <v>0</v>
      </c>
      <c r="F14" s="10">
        <v>0</v>
      </c>
      <c r="G14" s="10">
        <v>0</v>
      </c>
      <c r="H14" s="10">
        <v>0</v>
      </c>
      <c r="I14" s="10">
        <v>0</v>
      </c>
    </row>
    <row r="15" spans="1:9" s="3" customFormat="1" ht="12.75" customHeight="1" x14ac:dyDescent="0.25">
      <c r="A15" s="7" t="s">
        <v>21</v>
      </c>
      <c r="B15" s="7" t="s">
        <v>22</v>
      </c>
      <c r="C15" s="8" t="s">
        <v>23</v>
      </c>
      <c r="D15" s="9">
        <f t="shared" si="1"/>
        <v>2124</v>
      </c>
      <c r="E15" s="9">
        <f t="shared" si="1"/>
        <v>1115</v>
      </c>
      <c r="F15" s="10">
        <v>2124</v>
      </c>
      <c r="G15" s="10">
        <f>SUM(G16:G17)</f>
        <v>1115</v>
      </c>
      <c r="H15" s="10">
        <v>0</v>
      </c>
      <c r="I15" s="10">
        <v>0</v>
      </c>
    </row>
    <row r="16" spans="1:9" s="3" customFormat="1" ht="12.75" customHeight="1" x14ac:dyDescent="0.25">
      <c r="A16" s="11"/>
      <c r="B16" s="11"/>
      <c r="C16" s="12" t="s">
        <v>1158</v>
      </c>
      <c r="D16" s="13"/>
      <c r="E16" s="13"/>
      <c r="F16" s="14"/>
      <c r="G16" s="14">
        <v>549</v>
      </c>
      <c r="H16" s="14"/>
      <c r="I16" s="14"/>
    </row>
    <row r="17" spans="1:9" s="3" customFormat="1" ht="12.75" customHeight="1" x14ac:dyDescent="0.25">
      <c r="A17" s="11"/>
      <c r="B17" s="11"/>
      <c r="C17" s="12" t="s">
        <v>1159</v>
      </c>
      <c r="D17" s="13"/>
      <c r="E17" s="13"/>
      <c r="F17" s="14"/>
      <c r="G17" s="14">
        <v>566</v>
      </c>
      <c r="H17" s="14"/>
      <c r="I17" s="14"/>
    </row>
    <row r="18" spans="1:9" s="3" customFormat="1" ht="12.75" customHeight="1" x14ac:dyDescent="0.25">
      <c r="A18" s="7" t="s">
        <v>24</v>
      </c>
      <c r="B18" s="7" t="s">
        <v>25</v>
      </c>
      <c r="C18" s="8" t="s">
        <v>26</v>
      </c>
      <c r="D18" s="9">
        <f t="shared" si="1"/>
        <v>5376</v>
      </c>
      <c r="E18" s="9">
        <f t="shared" si="1"/>
        <v>5376</v>
      </c>
      <c r="F18" s="10">
        <v>5376</v>
      </c>
      <c r="G18" s="10">
        <f>G19</f>
        <v>5376</v>
      </c>
      <c r="H18" s="10">
        <v>0</v>
      </c>
      <c r="I18" s="10">
        <f>I19</f>
        <v>0</v>
      </c>
    </row>
    <row r="19" spans="1:9" s="15" customFormat="1" ht="11.45" customHeight="1" x14ac:dyDescent="0.25">
      <c r="A19" s="11"/>
      <c r="B19" s="11"/>
      <c r="C19" s="12" t="s">
        <v>407</v>
      </c>
      <c r="D19" s="13"/>
      <c r="E19" s="13"/>
      <c r="F19" s="14"/>
      <c r="G19" s="14">
        <v>5376</v>
      </c>
      <c r="H19" s="14"/>
      <c r="I19" s="14"/>
    </row>
    <row r="20" spans="1:9" s="3" customFormat="1" ht="12.75" customHeight="1" x14ac:dyDescent="0.25">
      <c r="A20" s="7" t="s">
        <v>27</v>
      </c>
      <c r="B20" s="7" t="s">
        <v>28</v>
      </c>
      <c r="C20" s="8" t="s">
        <v>29</v>
      </c>
      <c r="D20" s="9">
        <f t="shared" ref="D20:E22" si="2">F20+H20</f>
        <v>100</v>
      </c>
      <c r="E20" s="9">
        <f t="shared" si="2"/>
        <v>0</v>
      </c>
      <c r="F20" s="10">
        <v>100</v>
      </c>
      <c r="G20" s="10">
        <v>0</v>
      </c>
      <c r="H20" s="10">
        <v>0</v>
      </c>
      <c r="I20" s="10">
        <v>0</v>
      </c>
    </row>
    <row r="21" spans="1:9" s="3" customFormat="1" ht="12.75" customHeight="1" x14ac:dyDescent="0.25">
      <c r="A21" s="7" t="s">
        <v>30</v>
      </c>
      <c r="B21" s="7" t="s">
        <v>31</v>
      </c>
      <c r="C21" s="8" t="s">
        <v>32</v>
      </c>
      <c r="D21" s="9">
        <f t="shared" si="2"/>
        <v>1080</v>
      </c>
      <c r="E21" s="9">
        <f t="shared" si="2"/>
        <v>1200</v>
      </c>
      <c r="F21" s="10">
        <v>1080</v>
      </c>
      <c r="G21" s="10">
        <v>1200</v>
      </c>
      <c r="H21" s="10">
        <v>0</v>
      </c>
      <c r="I21" s="10">
        <v>0</v>
      </c>
    </row>
    <row r="22" spans="1:9" s="3" customFormat="1" ht="12.75" customHeight="1" x14ac:dyDescent="0.25">
      <c r="A22" s="7" t="s">
        <v>33</v>
      </c>
      <c r="B22" s="7" t="s">
        <v>34</v>
      </c>
      <c r="C22" s="8" t="s">
        <v>35</v>
      </c>
      <c r="D22" s="9">
        <f t="shared" si="2"/>
        <v>0</v>
      </c>
      <c r="E22" s="9">
        <f t="shared" si="2"/>
        <v>792</v>
      </c>
      <c r="F22" s="10">
        <v>0</v>
      </c>
      <c r="G22" s="10">
        <f>G23+G24</f>
        <v>792</v>
      </c>
      <c r="H22" s="10">
        <v>0</v>
      </c>
      <c r="I22" s="10">
        <f>I23</f>
        <v>0</v>
      </c>
    </row>
    <row r="23" spans="1:9" s="3" customFormat="1" ht="12.75" customHeight="1" x14ac:dyDescent="0.25">
      <c r="A23" s="11"/>
      <c r="B23" s="11"/>
      <c r="C23" s="12" t="s">
        <v>279</v>
      </c>
      <c r="D23" s="13"/>
      <c r="E23" s="13"/>
      <c r="F23" s="14"/>
      <c r="G23" s="14">
        <v>120</v>
      </c>
      <c r="H23" s="14"/>
      <c r="I23" s="14"/>
    </row>
    <row r="24" spans="1:9" s="3" customFormat="1" ht="12.75" customHeight="1" x14ac:dyDescent="0.25">
      <c r="A24" s="11"/>
      <c r="B24" s="11"/>
      <c r="C24" s="12" t="s">
        <v>1266</v>
      </c>
      <c r="D24" s="13"/>
      <c r="E24" s="13"/>
      <c r="F24" s="14"/>
      <c r="G24" s="14">
        <v>672</v>
      </c>
      <c r="H24" s="14"/>
      <c r="I24" s="14"/>
    </row>
    <row r="25" spans="1:9" s="3" customFormat="1" ht="12.75" customHeight="1" x14ac:dyDescent="0.25">
      <c r="A25" s="7" t="s">
        <v>36</v>
      </c>
      <c r="B25" s="7" t="s">
        <v>37</v>
      </c>
      <c r="C25" s="8" t="s">
        <v>38</v>
      </c>
      <c r="D25" s="9">
        <f>F25+H25</f>
        <v>0</v>
      </c>
      <c r="E25" s="9">
        <f>G25+I25</f>
        <v>0</v>
      </c>
      <c r="F25" s="10">
        <v>0</v>
      </c>
      <c r="G25" s="10">
        <v>0</v>
      </c>
      <c r="H25" s="10">
        <v>0</v>
      </c>
      <c r="I25" s="10">
        <v>0</v>
      </c>
    </row>
    <row r="26" spans="1:9" s="3" customFormat="1" ht="12.75" customHeight="1" x14ac:dyDescent="0.25">
      <c r="A26" s="7" t="s">
        <v>39</v>
      </c>
      <c r="B26" s="7" t="s">
        <v>40</v>
      </c>
      <c r="C26" s="8" t="s">
        <v>41</v>
      </c>
      <c r="D26" s="9">
        <f>F26+H26</f>
        <v>663</v>
      </c>
      <c r="E26" s="9">
        <f>G26+I26</f>
        <v>582</v>
      </c>
      <c r="F26" s="10">
        <f>F27</f>
        <v>663</v>
      </c>
      <c r="G26" s="10">
        <f>G27</f>
        <v>582</v>
      </c>
      <c r="H26" s="10">
        <f>H27</f>
        <v>0</v>
      </c>
      <c r="I26" s="10">
        <f>I27</f>
        <v>0</v>
      </c>
    </row>
    <row r="27" spans="1:9" s="3" customFormat="1" ht="12.75" customHeight="1" x14ac:dyDescent="0.25">
      <c r="A27" s="11"/>
      <c r="B27" s="11"/>
      <c r="C27" s="12" t="s">
        <v>280</v>
      </c>
      <c r="D27" s="13"/>
      <c r="E27" s="13"/>
      <c r="F27" s="14">
        <v>663</v>
      </c>
      <c r="G27" s="14">
        <f>ROUND(G6*0.004,0)</f>
        <v>582</v>
      </c>
      <c r="H27" s="14"/>
      <c r="I27" s="14"/>
    </row>
    <row r="28" spans="1:9" s="3" customFormat="1" ht="12.75" customHeight="1" x14ac:dyDescent="0.25">
      <c r="A28" s="7" t="s">
        <v>42</v>
      </c>
      <c r="B28" s="7" t="s">
        <v>43</v>
      </c>
      <c r="C28" s="8" t="s">
        <v>44</v>
      </c>
      <c r="D28" s="9">
        <f>F28+H28</f>
        <v>1650</v>
      </c>
      <c r="E28" s="9">
        <f>G28+I28</f>
        <v>4862</v>
      </c>
      <c r="F28" s="10">
        <v>1650</v>
      </c>
      <c r="G28" s="10">
        <f>G29+G30</f>
        <v>4862</v>
      </c>
      <c r="H28" s="10">
        <v>0</v>
      </c>
      <c r="I28" s="10">
        <f>I29</f>
        <v>0</v>
      </c>
    </row>
    <row r="29" spans="1:9" s="15" customFormat="1" ht="11.45" customHeight="1" x14ac:dyDescent="0.25">
      <c r="A29" s="11"/>
      <c r="B29" s="11"/>
      <c r="C29" s="12" t="s">
        <v>408</v>
      </c>
      <c r="D29" s="13"/>
      <c r="E29" s="13"/>
      <c r="F29" s="14"/>
      <c r="G29" s="14">
        <v>500</v>
      </c>
      <c r="H29" s="14"/>
      <c r="I29" s="14"/>
    </row>
    <row r="30" spans="1:9" s="15" customFormat="1" ht="11.45" customHeight="1" x14ac:dyDescent="0.25">
      <c r="A30" s="11"/>
      <c r="B30" s="11"/>
      <c r="C30" s="12" t="s">
        <v>1268</v>
      </c>
      <c r="D30" s="13"/>
      <c r="E30" s="13"/>
      <c r="F30" s="14"/>
      <c r="G30" s="14">
        <f>ROUND(G6*0.03,0)</f>
        <v>4362</v>
      </c>
      <c r="H30" s="14"/>
      <c r="I30" s="14"/>
    </row>
    <row r="31" spans="1:9" s="3" customFormat="1" ht="12.75" customHeight="1" x14ac:dyDescent="0.25">
      <c r="A31" s="16" t="s">
        <v>45</v>
      </c>
      <c r="B31" s="16" t="s">
        <v>46</v>
      </c>
      <c r="C31" s="17" t="s">
        <v>47</v>
      </c>
      <c r="D31" s="18">
        <f t="shared" ref="D31:I31" si="3">D6+D9+D10+D11+D14+D15+D18+D20+D21+D22+D25+D26+D28</f>
        <v>144713</v>
      </c>
      <c r="E31" s="18">
        <f t="shared" si="3"/>
        <v>160143</v>
      </c>
      <c r="F31" s="18">
        <f t="shared" si="3"/>
        <v>144713</v>
      </c>
      <c r="G31" s="18">
        <f t="shared" si="3"/>
        <v>160143</v>
      </c>
      <c r="H31" s="18">
        <f t="shared" si="3"/>
        <v>0</v>
      </c>
      <c r="I31" s="18">
        <f t="shared" si="3"/>
        <v>0</v>
      </c>
    </row>
    <row r="32" spans="1:9" s="3" customFormat="1" ht="12.75" customHeight="1" x14ac:dyDescent="0.25">
      <c r="A32" s="7" t="s">
        <v>48</v>
      </c>
      <c r="B32" s="7" t="s">
        <v>49</v>
      </c>
      <c r="C32" s="8" t="s">
        <v>50</v>
      </c>
      <c r="D32" s="9">
        <f>F32+H32</f>
        <v>0</v>
      </c>
      <c r="E32" s="9">
        <f>G32+I32</f>
        <v>0</v>
      </c>
      <c r="F32" s="10">
        <v>0</v>
      </c>
      <c r="G32" s="10">
        <v>0</v>
      </c>
      <c r="H32" s="10">
        <v>0</v>
      </c>
      <c r="I32" s="10">
        <v>0</v>
      </c>
    </row>
    <row r="33" spans="1:9" s="3" customFormat="1" ht="12.75" customHeight="1" x14ac:dyDescent="0.25">
      <c r="A33" s="7" t="s">
        <v>51</v>
      </c>
      <c r="B33" s="7" t="s">
        <v>52</v>
      </c>
      <c r="C33" s="8" t="s">
        <v>53</v>
      </c>
      <c r="D33" s="9">
        <f>F33+H33</f>
        <v>400</v>
      </c>
      <c r="E33" s="9">
        <f>G33+I33</f>
        <v>300</v>
      </c>
      <c r="F33" s="10">
        <f>F34</f>
        <v>400</v>
      </c>
      <c r="G33" s="10">
        <f>G34</f>
        <v>300</v>
      </c>
      <c r="H33" s="10">
        <f>H34</f>
        <v>0</v>
      </c>
      <c r="I33" s="10">
        <f>I34</f>
        <v>0</v>
      </c>
    </row>
    <row r="34" spans="1:9" s="15" customFormat="1" ht="11.45" customHeight="1" x14ac:dyDescent="0.25">
      <c r="A34" s="11"/>
      <c r="B34" s="11"/>
      <c r="C34" s="12" t="s">
        <v>282</v>
      </c>
      <c r="D34" s="13"/>
      <c r="E34" s="13"/>
      <c r="F34" s="14">
        <v>400</v>
      </c>
      <c r="G34" s="14">
        <v>300</v>
      </c>
      <c r="H34" s="14"/>
      <c r="I34" s="14"/>
    </row>
    <row r="35" spans="1:9" s="3" customFormat="1" ht="12.75" customHeight="1" x14ac:dyDescent="0.25">
      <c r="A35" s="7" t="s">
        <v>54</v>
      </c>
      <c r="B35" s="7" t="s">
        <v>55</v>
      </c>
      <c r="C35" s="8" t="s">
        <v>285</v>
      </c>
      <c r="D35" s="9">
        <f>F35+H35</f>
        <v>100</v>
      </c>
      <c r="E35" s="9">
        <f>G35+I35</f>
        <v>60</v>
      </c>
      <c r="F35" s="10">
        <f>F36</f>
        <v>100</v>
      </c>
      <c r="G35" s="10">
        <f>G36</f>
        <v>60</v>
      </c>
      <c r="H35" s="10">
        <f>H36</f>
        <v>0</v>
      </c>
      <c r="I35" s="10">
        <f>I36</f>
        <v>0</v>
      </c>
    </row>
    <row r="36" spans="1:9" s="15" customFormat="1" ht="11.45" customHeight="1" x14ac:dyDescent="0.25">
      <c r="A36" s="11"/>
      <c r="B36" s="11"/>
      <c r="C36" s="12" t="s">
        <v>283</v>
      </c>
      <c r="D36" s="13"/>
      <c r="E36" s="13"/>
      <c r="F36" s="14">
        <v>100</v>
      </c>
      <c r="G36" s="14">
        <v>60</v>
      </c>
      <c r="H36" s="14"/>
      <c r="I36" s="14"/>
    </row>
    <row r="37" spans="1:9" s="3" customFormat="1" ht="12.75" customHeight="1" x14ac:dyDescent="0.25">
      <c r="A37" s="16" t="s">
        <v>56</v>
      </c>
      <c r="B37" s="16" t="s">
        <v>57</v>
      </c>
      <c r="C37" s="17" t="s">
        <v>58</v>
      </c>
      <c r="D37" s="18">
        <f t="shared" ref="D37:I37" si="4">D32+D33+D35</f>
        <v>500</v>
      </c>
      <c r="E37" s="18">
        <f t="shared" si="4"/>
        <v>360</v>
      </c>
      <c r="F37" s="18">
        <f t="shared" si="4"/>
        <v>500</v>
      </c>
      <c r="G37" s="18">
        <f t="shared" si="4"/>
        <v>360</v>
      </c>
      <c r="H37" s="18">
        <f t="shared" si="4"/>
        <v>0</v>
      </c>
      <c r="I37" s="18">
        <f t="shared" si="4"/>
        <v>0</v>
      </c>
    </row>
    <row r="38" spans="1:9" s="3" customFormat="1" ht="12.75" customHeight="1" x14ac:dyDescent="0.25">
      <c r="A38" s="20" t="s">
        <v>59</v>
      </c>
      <c r="B38" s="20" t="s">
        <v>60</v>
      </c>
      <c r="C38" s="21" t="s">
        <v>286</v>
      </c>
      <c r="D38" s="22">
        <f t="shared" ref="D38:I38" si="5">D31+D37</f>
        <v>145213</v>
      </c>
      <c r="E38" s="22">
        <f t="shared" si="5"/>
        <v>160503</v>
      </c>
      <c r="F38" s="22">
        <f t="shared" si="5"/>
        <v>145213</v>
      </c>
      <c r="G38" s="22">
        <f t="shared" si="5"/>
        <v>160503</v>
      </c>
      <c r="H38" s="22">
        <f t="shared" si="5"/>
        <v>0</v>
      </c>
      <c r="I38" s="22">
        <f t="shared" si="5"/>
        <v>0</v>
      </c>
    </row>
    <row r="39" spans="1:9" s="15" customFormat="1" ht="11.45" customHeight="1" x14ac:dyDescent="0.25">
      <c r="A39" s="11"/>
      <c r="B39" s="11"/>
      <c r="C39" s="12" t="s">
        <v>284</v>
      </c>
      <c r="D39" s="13">
        <f>H39+F39</f>
        <v>37231</v>
      </c>
      <c r="E39" s="13">
        <f>I39+G39</f>
        <v>41330</v>
      </c>
      <c r="F39" s="13">
        <v>37231</v>
      </c>
      <c r="G39" s="13">
        <f>ROUND((G6+G9+G10+G11+G14+G15+G26+G28+G33)*0.27,0)</f>
        <v>41330</v>
      </c>
      <c r="H39" s="13">
        <f>ROUND((H6+H9+H10+H11+H14+H15+H33)*0.27,0)</f>
        <v>0</v>
      </c>
      <c r="I39" s="13">
        <f>ROUND((I6+I9+I10+I11+I14+I15+I33)*0.27,0)</f>
        <v>0</v>
      </c>
    </row>
    <row r="40" spans="1:9" s="15" customFormat="1" ht="11.45" customHeight="1" x14ac:dyDescent="0.25">
      <c r="A40" s="11"/>
      <c r="B40" s="11"/>
      <c r="C40" s="12" t="s">
        <v>61</v>
      </c>
      <c r="D40" s="13">
        <f t="shared" ref="D40:E42" si="6">H40+F40</f>
        <v>928</v>
      </c>
      <c r="E40" s="13">
        <f t="shared" si="6"/>
        <v>915</v>
      </c>
      <c r="F40" s="14">
        <v>928</v>
      </c>
      <c r="G40" s="13">
        <f>ROUND(G18*1.19*0.14+(G35)*1.19*0.27,0)</f>
        <v>915</v>
      </c>
      <c r="H40" s="14"/>
      <c r="I40" s="14"/>
    </row>
    <row r="41" spans="1:9" s="15" customFormat="1" ht="11.45" customHeight="1" x14ac:dyDescent="0.25">
      <c r="A41" s="11"/>
      <c r="B41" s="11"/>
      <c r="C41" s="12" t="s">
        <v>62</v>
      </c>
      <c r="D41" s="13">
        <f t="shared" si="6"/>
        <v>2675</v>
      </c>
      <c r="E41" s="13">
        <f t="shared" si="6"/>
        <v>2675</v>
      </c>
      <c r="F41" s="14">
        <v>2675</v>
      </c>
      <c r="G41" s="14">
        <v>2675</v>
      </c>
      <c r="H41" s="14"/>
      <c r="I41" s="14"/>
    </row>
    <row r="42" spans="1:9" s="15" customFormat="1" ht="11.45" customHeight="1" x14ac:dyDescent="0.25">
      <c r="A42" s="11"/>
      <c r="B42" s="11"/>
      <c r="C42" s="12" t="s">
        <v>63</v>
      </c>
      <c r="D42" s="13">
        <f t="shared" si="6"/>
        <v>1043</v>
      </c>
      <c r="E42" s="13">
        <f t="shared" si="6"/>
        <v>1035</v>
      </c>
      <c r="F42" s="14">
        <v>1043</v>
      </c>
      <c r="G42" s="14">
        <f>ROUND((G36+G19)*1.19*0.16,0)</f>
        <v>1035</v>
      </c>
      <c r="H42" s="14"/>
      <c r="I42" s="14"/>
    </row>
    <row r="43" spans="1:9" s="3" customFormat="1" ht="12.75" customHeight="1" x14ac:dyDescent="0.25">
      <c r="A43" s="20" t="s">
        <v>64</v>
      </c>
      <c r="B43" s="20" t="s">
        <v>65</v>
      </c>
      <c r="C43" s="21" t="s">
        <v>287</v>
      </c>
      <c r="D43" s="22">
        <f t="shared" ref="D43:I43" si="7">D39+D40+D41+D42</f>
        <v>41877</v>
      </c>
      <c r="E43" s="22">
        <f t="shared" si="7"/>
        <v>45955</v>
      </c>
      <c r="F43" s="22">
        <f t="shared" si="7"/>
        <v>41877</v>
      </c>
      <c r="G43" s="22">
        <f t="shared" si="7"/>
        <v>45955</v>
      </c>
      <c r="H43" s="22">
        <f t="shared" si="7"/>
        <v>0</v>
      </c>
      <c r="I43" s="22">
        <f t="shared" si="7"/>
        <v>0</v>
      </c>
    </row>
    <row r="44" spans="1:9" s="3" customFormat="1" ht="14.1" customHeight="1" x14ac:dyDescent="0.25">
      <c r="A44" s="966" t="s">
        <v>66</v>
      </c>
      <c r="B44" s="967"/>
      <c r="C44" s="968"/>
      <c r="D44" s="29">
        <f t="shared" ref="D44:I44" si="8">D38+D43</f>
        <v>187090</v>
      </c>
      <c r="E44" s="29">
        <f t="shared" si="8"/>
        <v>206458</v>
      </c>
      <c r="F44" s="29">
        <f t="shared" si="8"/>
        <v>187090</v>
      </c>
      <c r="G44" s="29">
        <f t="shared" si="8"/>
        <v>206458</v>
      </c>
      <c r="H44" s="29">
        <f t="shared" si="8"/>
        <v>0</v>
      </c>
      <c r="I44" s="29">
        <f t="shared" si="8"/>
        <v>0</v>
      </c>
    </row>
    <row r="45" spans="1:9" s="3" customFormat="1" ht="14.1" customHeight="1" x14ac:dyDescent="0.2">
      <c r="A45" s="27"/>
      <c r="B45" s="27"/>
      <c r="C45" s="27"/>
      <c r="D45" s="27"/>
      <c r="E45" s="27"/>
      <c r="F45" s="27"/>
      <c r="G45" s="27"/>
      <c r="H45" s="27"/>
      <c r="I45" s="27"/>
    </row>
    <row r="46" spans="1:9" s="3" customFormat="1" ht="14.1" customHeight="1" x14ac:dyDescent="0.2">
      <c r="A46" s="27"/>
      <c r="B46" s="27"/>
      <c r="C46" s="27"/>
      <c r="D46" s="27"/>
      <c r="E46" s="27"/>
      <c r="F46" s="27"/>
      <c r="G46" s="27"/>
      <c r="H46" s="27"/>
      <c r="I46" s="27"/>
    </row>
    <row r="47" spans="1:9" s="3" customFormat="1" ht="14.1" customHeight="1" x14ac:dyDescent="0.2">
      <c r="A47" s="27"/>
      <c r="B47" s="27"/>
      <c r="C47" s="27"/>
      <c r="D47" s="27"/>
      <c r="E47" s="27"/>
      <c r="F47" s="27"/>
      <c r="G47" s="27"/>
      <c r="H47" s="27"/>
      <c r="I47" s="27"/>
    </row>
    <row r="48" spans="1:9" s="1" customFormat="1" ht="12.75" customHeight="1" x14ac:dyDescent="0.25">
      <c r="A48" s="974" t="s">
        <v>405</v>
      </c>
      <c r="B48" s="974"/>
      <c r="C48" s="974"/>
      <c r="D48" s="974"/>
      <c r="E48" s="974"/>
      <c r="F48" s="974"/>
      <c r="G48" s="974"/>
      <c r="H48" s="974"/>
      <c r="I48" s="974"/>
    </row>
    <row r="49" spans="1:9" s="1" customFormat="1" ht="14.1" customHeight="1" x14ac:dyDescent="0.25">
      <c r="A49" s="974" t="s">
        <v>0</v>
      </c>
      <c r="B49" s="975" t="s">
        <v>1</v>
      </c>
      <c r="C49" s="974" t="s">
        <v>2</v>
      </c>
      <c r="D49" s="976" t="s">
        <v>260</v>
      </c>
      <c r="E49" s="969" t="s">
        <v>259</v>
      </c>
      <c r="F49" s="971" t="s">
        <v>261</v>
      </c>
      <c r="G49" s="972"/>
      <c r="H49" s="971" t="s">
        <v>262</v>
      </c>
      <c r="I49" s="972"/>
    </row>
    <row r="50" spans="1:9" s="3" customFormat="1" ht="33" customHeight="1" x14ac:dyDescent="0.25">
      <c r="A50" s="974"/>
      <c r="B50" s="975"/>
      <c r="C50" s="974"/>
      <c r="D50" s="976"/>
      <c r="E50" s="970"/>
      <c r="F50" s="2" t="s">
        <v>260</v>
      </c>
      <c r="G50" s="2" t="s">
        <v>259</v>
      </c>
      <c r="H50" s="2" t="s">
        <v>260</v>
      </c>
      <c r="I50" s="2" t="s">
        <v>259</v>
      </c>
    </row>
    <row r="51" spans="1:9" ht="5.65" customHeight="1" x14ac:dyDescent="0.25"/>
    <row r="52" spans="1:9" ht="14.1" customHeight="1" x14ac:dyDescent="0.25">
      <c r="A52" s="973" t="s">
        <v>288</v>
      </c>
      <c r="B52" s="973"/>
      <c r="C52" s="973"/>
      <c r="D52" s="973"/>
      <c r="E52" s="973"/>
      <c r="F52" s="973"/>
      <c r="G52" s="973"/>
      <c r="H52" s="973"/>
      <c r="I52" s="973"/>
    </row>
    <row r="53" spans="1:9" s="3" customFormat="1" ht="14.1" customHeight="1" x14ac:dyDescent="0.25">
      <c r="A53" s="7" t="s">
        <v>67</v>
      </c>
      <c r="B53" s="7" t="s">
        <v>68</v>
      </c>
      <c r="C53" s="8" t="s">
        <v>69</v>
      </c>
      <c r="D53" s="9">
        <f>F53+H53</f>
        <v>260</v>
      </c>
      <c r="E53" s="9">
        <f>G53+I53</f>
        <v>320</v>
      </c>
      <c r="F53" s="10">
        <f>SUM(F54:F59)</f>
        <v>260</v>
      </c>
      <c r="G53" s="10">
        <f>SUM(G54:G59)</f>
        <v>320</v>
      </c>
      <c r="H53" s="10">
        <f>SUM(H54:H59)</f>
        <v>0</v>
      </c>
      <c r="I53" s="10">
        <f>SUM(I54:I59)</f>
        <v>0</v>
      </c>
    </row>
    <row r="54" spans="1:9" ht="14.1" customHeight="1" x14ac:dyDescent="0.25">
      <c r="A54" s="24"/>
      <c r="B54" s="24"/>
      <c r="C54" s="25" t="s">
        <v>70</v>
      </c>
      <c r="D54" s="26"/>
      <c r="E54" s="26"/>
      <c r="F54" s="26">
        <v>40</v>
      </c>
      <c r="G54" s="26"/>
      <c r="H54" s="26"/>
      <c r="I54" s="26"/>
    </row>
    <row r="55" spans="1:9" ht="14.1" customHeight="1" x14ac:dyDescent="0.25">
      <c r="A55" s="24"/>
      <c r="B55" s="24"/>
      <c r="C55" s="25" t="s">
        <v>71</v>
      </c>
      <c r="D55" s="26"/>
      <c r="E55" s="26"/>
      <c r="F55" s="26"/>
      <c r="G55" s="26"/>
      <c r="H55" s="26"/>
      <c r="I55" s="26"/>
    </row>
    <row r="56" spans="1:9" ht="14.1" customHeight="1" x14ac:dyDescent="0.25">
      <c r="A56" s="24"/>
      <c r="B56" s="24"/>
      <c r="C56" s="25" t="s">
        <v>72</v>
      </c>
      <c r="D56" s="26"/>
      <c r="E56" s="26"/>
      <c r="F56" s="26">
        <v>150</v>
      </c>
      <c r="G56" s="26">
        <v>180</v>
      </c>
      <c r="H56" s="26"/>
      <c r="I56" s="26"/>
    </row>
    <row r="57" spans="1:9" ht="14.1" customHeight="1" x14ac:dyDescent="0.25">
      <c r="A57" s="24"/>
      <c r="B57" s="24"/>
      <c r="C57" s="25" t="s">
        <v>73</v>
      </c>
      <c r="D57" s="26"/>
      <c r="E57" s="26"/>
      <c r="F57" s="26">
        <v>40</v>
      </c>
      <c r="G57" s="26">
        <v>40</v>
      </c>
      <c r="H57" s="26"/>
      <c r="I57" s="26"/>
    </row>
    <row r="58" spans="1:9" ht="14.1" customHeight="1" x14ac:dyDescent="0.25">
      <c r="A58" s="24"/>
      <c r="B58" s="24"/>
      <c r="C58" s="25" t="s">
        <v>74</v>
      </c>
      <c r="D58" s="26"/>
      <c r="E58" s="26"/>
      <c r="F58" s="26">
        <v>0</v>
      </c>
      <c r="G58" s="26"/>
      <c r="H58" s="26"/>
      <c r="I58" s="26"/>
    </row>
    <row r="59" spans="1:9" ht="14.1" customHeight="1" x14ac:dyDescent="0.25">
      <c r="A59" s="24"/>
      <c r="B59" s="24"/>
      <c r="C59" s="25" t="s">
        <v>75</v>
      </c>
      <c r="D59" s="26"/>
      <c r="E59" s="26"/>
      <c r="F59" s="26">
        <v>30</v>
      </c>
      <c r="G59" s="26">
        <v>100</v>
      </c>
      <c r="H59" s="26"/>
      <c r="I59" s="26"/>
    </row>
    <row r="60" spans="1:9" s="3" customFormat="1" ht="14.1" customHeight="1" x14ac:dyDescent="0.25">
      <c r="A60" s="7" t="s">
        <v>76</v>
      </c>
      <c r="B60" s="7" t="s">
        <v>77</v>
      </c>
      <c r="C60" s="8" t="s">
        <v>78</v>
      </c>
      <c r="D60" s="9">
        <f>F60+H60</f>
        <v>4285</v>
      </c>
      <c r="E60" s="9">
        <f>G60+I60</f>
        <v>3335</v>
      </c>
      <c r="F60" s="10">
        <f>SUM(F61:F66)</f>
        <v>4285</v>
      </c>
      <c r="G60" s="10">
        <f>SUM(G61:G66)</f>
        <v>3335</v>
      </c>
      <c r="H60" s="10">
        <f>SUM(H61:H66)</f>
        <v>0</v>
      </c>
      <c r="I60" s="10">
        <f>SUM(I61:I66)</f>
        <v>0</v>
      </c>
    </row>
    <row r="61" spans="1:9" ht="14.1" customHeight="1" x14ac:dyDescent="0.25">
      <c r="A61" s="24"/>
      <c r="B61" s="24"/>
      <c r="C61" s="25" t="s">
        <v>79</v>
      </c>
      <c r="D61" s="26"/>
      <c r="E61" s="26"/>
      <c r="F61" s="26"/>
      <c r="G61" s="26"/>
      <c r="H61" s="26"/>
      <c r="I61" s="26"/>
    </row>
    <row r="62" spans="1:9" ht="14.1" customHeight="1" x14ac:dyDescent="0.25">
      <c r="A62" s="24"/>
      <c r="B62" s="24"/>
      <c r="C62" s="25" t="s">
        <v>80</v>
      </c>
      <c r="D62" s="26"/>
      <c r="E62" s="26"/>
      <c r="F62" s="26">
        <v>250</v>
      </c>
      <c r="G62" s="26">
        <v>200</v>
      </c>
      <c r="H62" s="26"/>
      <c r="I62" s="26"/>
    </row>
    <row r="63" spans="1:9" ht="14.1" customHeight="1" x14ac:dyDescent="0.25">
      <c r="A63" s="24"/>
      <c r="B63" s="24"/>
      <c r="C63" s="25" t="s">
        <v>81</v>
      </c>
      <c r="D63" s="26"/>
      <c r="E63" s="26"/>
      <c r="F63" s="26"/>
      <c r="G63" s="26"/>
      <c r="H63" s="26"/>
      <c r="I63" s="26"/>
    </row>
    <row r="64" spans="1:9" ht="14.1" customHeight="1" x14ac:dyDescent="0.25">
      <c r="A64" s="24"/>
      <c r="B64" s="24"/>
      <c r="C64" s="25" t="s">
        <v>82</v>
      </c>
      <c r="D64" s="26"/>
      <c r="E64" s="26"/>
      <c r="F64" s="26">
        <v>35</v>
      </c>
      <c r="G64" s="26">
        <v>35</v>
      </c>
      <c r="H64" s="26"/>
      <c r="I64" s="26"/>
    </row>
    <row r="65" spans="1:9" ht="14.1" customHeight="1" x14ac:dyDescent="0.25">
      <c r="A65" s="24"/>
      <c r="B65" s="24"/>
      <c r="C65" s="25" t="s">
        <v>83</v>
      </c>
      <c r="D65" s="26"/>
      <c r="E65" s="26"/>
      <c r="F65" s="26">
        <v>100</v>
      </c>
      <c r="G65" s="26">
        <v>100</v>
      </c>
      <c r="H65" s="26"/>
      <c r="I65" s="26"/>
    </row>
    <row r="66" spans="1:9" ht="14.1" customHeight="1" x14ac:dyDescent="0.25">
      <c r="A66" s="24"/>
      <c r="B66" s="24"/>
      <c r="C66" s="25" t="s">
        <v>84</v>
      </c>
      <c r="D66" s="26"/>
      <c r="E66" s="26"/>
      <c r="F66" s="26">
        <v>3900</v>
      </c>
      <c r="G66" s="26">
        <v>3000</v>
      </c>
      <c r="H66" s="26"/>
      <c r="I66" s="26"/>
    </row>
    <row r="67" spans="1:9" s="3" customFormat="1" ht="14.1" customHeight="1" x14ac:dyDescent="0.25">
      <c r="A67" s="7" t="s">
        <v>85</v>
      </c>
      <c r="B67" s="7" t="s">
        <v>86</v>
      </c>
      <c r="C67" s="8" t="s">
        <v>87</v>
      </c>
      <c r="D67" s="9">
        <f>F67+H67</f>
        <v>0</v>
      </c>
      <c r="E67" s="9">
        <f>G67+I67</f>
        <v>0</v>
      </c>
      <c r="F67" s="10">
        <f>SUM(F68:F69)</f>
        <v>0</v>
      </c>
      <c r="G67" s="10">
        <f>SUM(G68:G69)</f>
        <v>0</v>
      </c>
      <c r="H67" s="10">
        <f>SUM(H68:H69)</f>
        <v>0</v>
      </c>
      <c r="I67" s="10">
        <f>SUM(I68:I69)</f>
        <v>0</v>
      </c>
    </row>
    <row r="68" spans="1:9" ht="14.1" customHeight="1" x14ac:dyDescent="0.25">
      <c r="A68" s="24"/>
      <c r="B68" s="24"/>
      <c r="C68" s="25" t="s">
        <v>88</v>
      </c>
      <c r="D68" s="26"/>
      <c r="E68" s="26"/>
      <c r="F68" s="26"/>
      <c r="G68" s="26"/>
      <c r="H68" s="26"/>
      <c r="I68" s="26"/>
    </row>
    <row r="69" spans="1:9" ht="14.1" customHeight="1" x14ac:dyDescent="0.25">
      <c r="A69" s="24"/>
      <c r="B69" s="24"/>
      <c r="C69" s="25" t="s">
        <v>89</v>
      </c>
      <c r="D69" s="26"/>
      <c r="E69" s="26"/>
      <c r="F69" s="26"/>
      <c r="G69" s="26"/>
      <c r="H69" s="26"/>
      <c r="I69" s="26"/>
    </row>
    <row r="70" spans="1:9" s="3" customFormat="1" ht="14.1" customHeight="1" x14ac:dyDescent="0.25">
      <c r="A70" s="16" t="s">
        <v>90</v>
      </c>
      <c r="B70" s="16" t="s">
        <v>91</v>
      </c>
      <c r="C70" s="17" t="s">
        <v>92</v>
      </c>
      <c r="D70" s="19">
        <f t="shared" ref="D70:I70" si="9">D53+D60</f>
        <v>4545</v>
      </c>
      <c r="E70" s="19">
        <f t="shared" si="9"/>
        <v>3655</v>
      </c>
      <c r="F70" s="19">
        <f t="shared" si="9"/>
        <v>4545</v>
      </c>
      <c r="G70" s="19">
        <f t="shared" si="9"/>
        <v>3655</v>
      </c>
      <c r="H70" s="19">
        <f t="shared" si="9"/>
        <v>0</v>
      </c>
      <c r="I70" s="19">
        <f t="shared" si="9"/>
        <v>0</v>
      </c>
    </row>
    <row r="71" spans="1:9" s="3" customFormat="1" ht="14.1" customHeight="1" x14ac:dyDescent="0.25">
      <c r="A71" s="7" t="s">
        <v>93</v>
      </c>
      <c r="B71" s="7" t="s">
        <v>94</v>
      </c>
      <c r="C71" s="8" t="s">
        <v>95</v>
      </c>
      <c r="D71" s="9">
        <f>F71+H71</f>
        <v>300</v>
      </c>
      <c r="E71" s="9">
        <f>G71+I71</f>
        <v>400</v>
      </c>
      <c r="F71" s="10">
        <f>SUM(F72:F77)</f>
        <v>300</v>
      </c>
      <c r="G71" s="10">
        <f>SUM(G72:G77)</f>
        <v>400</v>
      </c>
      <c r="H71" s="10">
        <f>SUM(H72:H77)</f>
        <v>0</v>
      </c>
      <c r="I71" s="10">
        <f>SUM(I72:I77)</f>
        <v>0</v>
      </c>
    </row>
    <row r="72" spans="1:9" ht="14.1" customHeight="1" x14ac:dyDescent="0.25">
      <c r="A72" s="24"/>
      <c r="B72" s="24"/>
      <c r="C72" s="25" t="s">
        <v>96</v>
      </c>
      <c r="D72" s="26"/>
      <c r="E72" s="26"/>
      <c r="F72" s="26"/>
      <c r="G72" s="26"/>
      <c r="H72" s="26"/>
      <c r="I72" s="26"/>
    </row>
    <row r="73" spans="1:9" ht="14.1" customHeight="1" x14ac:dyDescent="0.25">
      <c r="A73" s="24"/>
      <c r="B73" s="24"/>
      <c r="C73" s="25" t="s">
        <v>97</v>
      </c>
      <c r="D73" s="26"/>
      <c r="E73" s="26"/>
      <c r="F73" s="26"/>
      <c r="G73" s="26"/>
      <c r="H73" s="26"/>
      <c r="I73" s="26"/>
    </row>
    <row r="74" spans="1:9" ht="14.1" customHeight="1" x14ac:dyDescent="0.25">
      <c r="A74" s="24"/>
      <c r="B74" s="24"/>
      <c r="C74" s="25" t="s">
        <v>98</v>
      </c>
      <c r="D74" s="26"/>
      <c r="E74" s="26"/>
      <c r="F74" s="26"/>
      <c r="G74" s="26"/>
      <c r="H74" s="26"/>
      <c r="I74" s="26"/>
    </row>
    <row r="75" spans="1:9" ht="14.1" customHeight="1" x14ac:dyDescent="0.25">
      <c r="A75" s="24"/>
      <c r="B75" s="24"/>
      <c r="C75" s="25" t="s">
        <v>99</v>
      </c>
      <c r="D75" s="26"/>
      <c r="E75" s="26"/>
      <c r="F75" s="26">
        <v>300</v>
      </c>
      <c r="G75" s="26">
        <v>400</v>
      </c>
      <c r="H75" s="26"/>
      <c r="I75" s="26"/>
    </row>
    <row r="76" spans="1:9" ht="14.1" customHeight="1" x14ac:dyDescent="0.25">
      <c r="A76" s="24"/>
      <c r="B76" s="24"/>
      <c r="C76" s="25" t="s">
        <v>100</v>
      </c>
      <c r="D76" s="26"/>
      <c r="E76" s="26"/>
      <c r="F76" s="26"/>
      <c r="G76" s="26"/>
      <c r="H76" s="26"/>
      <c r="I76" s="26"/>
    </row>
    <row r="77" spans="1:9" ht="14.1" customHeight="1" x14ac:dyDescent="0.25">
      <c r="A77" s="24"/>
      <c r="B77" s="24"/>
      <c r="C77" s="25" t="s">
        <v>101</v>
      </c>
      <c r="D77" s="26"/>
      <c r="E77" s="26"/>
      <c r="F77" s="26"/>
      <c r="G77" s="26"/>
      <c r="H77" s="26"/>
      <c r="I77" s="26"/>
    </row>
    <row r="78" spans="1:9" s="3" customFormat="1" ht="14.1" customHeight="1" x14ac:dyDescent="0.25">
      <c r="A78" s="7" t="s">
        <v>102</v>
      </c>
      <c r="B78" s="7" t="s">
        <v>103</v>
      </c>
      <c r="C78" s="8" t="s">
        <v>104</v>
      </c>
      <c r="D78" s="9">
        <f>F78+H78</f>
        <v>200</v>
      </c>
      <c r="E78" s="9">
        <f>G78+I78</f>
        <v>250</v>
      </c>
      <c r="F78" s="10">
        <f>SUM(F79:F80)</f>
        <v>200</v>
      </c>
      <c r="G78" s="10">
        <f>SUM(G79:G80)</f>
        <v>250</v>
      </c>
      <c r="H78" s="10">
        <f>SUM(H79:H80)</f>
        <v>0</v>
      </c>
      <c r="I78" s="10">
        <f>SUM(I79:I80)</f>
        <v>0</v>
      </c>
    </row>
    <row r="79" spans="1:9" ht="14.1" customHeight="1" x14ac:dyDescent="0.25">
      <c r="A79" s="24"/>
      <c r="B79" s="24"/>
      <c r="C79" s="25" t="s">
        <v>105</v>
      </c>
      <c r="D79" s="26"/>
      <c r="E79" s="26"/>
      <c r="F79" s="26">
        <v>200</v>
      </c>
      <c r="G79" s="26">
        <v>250</v>
      </c>
      <c r="H79" s="26"/>
      <c r="I79" s="26"/>
    </row>
    <row r="80" spans="1:9" ht="14.1" customHeight="1" x14ac:dyDescent="0.25">
      <c r="A80" s="24"/>
      <c r="B80" s="24"/>
      <c r="C80" s="25" t="s">
        <v>106</v>
      </c>
      <c r="D80" s="26"/>
      <c r="E80" s="26"/>
      <c r="F80" s="26"/>
      <c r="G80" s="26"/>
      <c r="H80" s="26"/>
      <c r="I80" s="26"/>
    </row>
    <row r="81" spans="1:9" s="3" customFormat="1" ht="14.1" customHeight="1" x14ac:dyDescent="0.25">
      <c r="A81" s="16" t="s">
        <v>107</v>
      </c>
      <c r="B81" s="16" t="s">
        <v>108</v>
      </c>
      <c r="C81" s="17" t="s">
        <v>109</v>
      </c>
      <c r="D81" s="19">
        <f t="shared" ref="D81:I81" si="10">D71+D78</f>
        <v>500</v>
      </c>
      <c r="E81" s="19">
        <f t="shared" si="10"/>
        <v>650</v>
      </c>
      <c r="F81" s="19">
        <f t="shared" si="10"/>
        <v>500</v>
      </c>
      <c r="G81" s="19">
        <f t="shared" si="10"/>
        <v>650</v>
      </c>
      <c r="H81" s="19">
        <f t="shared" si="10"/>
        <v>0</v>
      </c>
      <c r="I81" s="19">
        <f t="shared" si="10"/>
        <v>0</v>
      </c>
    </row>
    <row r="82" spans="1:9" s="3" customFormat="1" ht="14.1" customHeight="1" x14ac:dyDescent="0.25">
      <c r="A82" s="7" t="s">
        <v>110</v>
      </c>
      <c r="B82" s="7" t="s">
        <v>111</v>
      </c>
      <c r="C82" s="8" t="s">
        <v>112</v>
      </c>
      <c r="D82" s="9">
        <f>F82+H82</f>
        <v>9700</v>
      </c>
      <c r="E82" s="9">
        <f>G82+I82</f>
        <v>9150</v>
      </c>
      <c r="F82" s="10">
        <f>SUM(F83:F85)</f>
        <v>9700</v>
      </c>
      <c r="G82" s="10">
        <f>SUM(G83:G85)</f>
        <v>9150</v>
      </c>
      <c r="H82" s="10">
        <f>SUM(H83:H85)</f>
        <v>0</v>
      </c>
      <c r="I82" s="10">
        <f>SUM(I83:I85)</f>
        <v>0</v>
      </c>
    </row>
    <row r="83" spans="1:9" ht="14.1" customHeight="1" x14ac:dyDescent="0.25">
      <c r="A83" s="24"/>
      <c r="B83" s="24"/>
      <c r="C83" s="25" t="s">
        <v>113</v>
      </c>
      <c r="D83" s="26"/>
      <c r="E83" s="26"/>
      <c r="F83" s="26">
        <v>6400</v>
      </c>
      <c r="G83" s="26">
        <v>6000</v>
      </c>
      <c r="H83" s="26"/>
      <c r="I83" s="26"/>
    </row>
    <row r="84" spans="1:9" ht="14.1" customHeight="1" x14ac:dyDescent="0.25">
      <c r="A84" s="24"/>
      <c r="B84" s="24"/>
      <c r="C84" s="25" t="s">
        <v>114</v>
      </c>
      <c r="D84" s="26"/>
      <c r="E84" s="26"/>
      <c r="F84" s="26">
        <v>2200</v>
      </c>
      <c r="G84" s="26">
        <v>2200</v>
      </c>
      <c r="H84" s="26"/>
      <c r="I84" s="26"/>
    </row>
    <row r="85" spans="1:9" ht="14.1" customHeight="1" x14ac:dyDescent="0.25">
      <c r="A85" s="24"/>
      <c r="B85" s="24"/>
      <c r="C85" s="25" t="s">
        <v>115</v>
      </c>
      <c r="D85" s="26"/>
      <c r="E85" s="26"/>
      <c r="F85" s="26">
        <v>1100</v>
      </c>
      <c r="G85" s="26">
        <v>950</v>
      </c>
      <c r="H85" s="26"/>
      <c r="I85" s="26"/>
    </row>
    <row r="86" spans="1:9" s="3" customFormat="1" ht="14.1" customHeight="1" x14ac:dyDescent="0.25">
      <c r="A86" s="7" t="s">
        <v>116</v>
      </c>
      <c r="B86" s="7" t="s">
        <v>117</v>
      </c>
      <c r="C86" s="8" t="s">
        <v>118</v>
      </c>
      <c r="D86" s="9">
        <f>F86+H86</f>
        <v>18663</v>
      </c>
      <c r="E86" s="9">
        <f>G86+I86</f>
        <v>18660</v>
      </c>
      <c r="F86" s="10">
        <v>0</v>
      </c>
      <c r="G86" s="10">
        <f>G87</f>
        <v>0</v>
      </c>
      <c r="H86" s="10">
        <v>18663</v>
      </c>
      <c r="I86" s="10">
        <f>I87</f>
        <v>18660</v>
      </c>
    </row>
    <row r="87" spans="1:9" s="3" customFormat="1" ht="14.1" customHeight="1" x14ac:dyDescent="0.25">
      <c r="A87" s="24"/>
      <c r="B87" s="24"/>
      <c r="C87" s="25" t="s">
        <v>289</v>
      </c>
      <c r="D87" s="26"/>
      <c r="E87" s="26"/>
      <c r="F87" s="26"/>
      <c r="G87" s="26"/>
      <c r="H87" s="26"/>
      <c r="I87" s="26">
        <v>18660</v>
      </c>
    </row>
    <row r="88" spans="1:9" s="3" customFormat="1" ht="14.1" customHeight="1" x14ac:dyDescent="0.25">
      <c r="A88" s="7" t="s">
        <v>119</v>
      </c>
      <c r="B88" s="7" t="s">
        <v>120</v>
      </c>
      <c r="C88" s="8" t="s">
        <v>121</v>
      </c>
      <c r="D88" s="9">
        <f>F88+H88</f>
        <v>0</v>
      </c>
      <c r="E88" s="9">
        <f>G88+I88</f>
        <v>0</v>
      </c>
      <c r="F88" s="10">
        <f>SUM(F89:F90)</f>
        <v>0</v>
      </c>
      <c r="G88" s="10">
        <f>SUM(G89:G90)</f>
        <v>0</v>
      </c>
      <c r="H88" s="10">
        <f>SUM(H89:H90)</f>
        <v>0</v>
      </c>
      <c r="I88" s="10">
        <f>SUM(I89:I90)</f>
        <v>0</v>
      </c>
    </row>
    <row r="89" spans="1:9" ht="14.1" customHeight="1" x14ac:dyDescent="0.25">
      <c r="A89" s="24"/>
      <c r="B89" s="24"/>
      <c r="C89" s="25" t="s">
        <v>122</v>
      </c>
      <c r="D89" s="26"/>
      <c r="E89" s="26"/>
      <c r="F89" s="26"/>
      <c r="G89" s="26"/>
      <c r="H89" s="26"/>
      <c r="I89" s="26"/>
    </row>
    <row r="90" spans="1:9" ht="14.1" customHeight="1" x14ac:dyDescent="0.25">
      <c r="A90" s="24"/>
      <c r="B90" s="24"/>
      <c r="C90" s="25" t="s">
        <v>123</v>
      </c>
      <c r="D90" s="26"/>
      <c r="E90" s="26"/>
      <c r="F90" s="26"/>
      <c r="G90" s="26"/>
      <c r="H90" s="26"/>
      <c r="I90" s="26"/>
    </row>
    <row r="91" spans="1:9" s="3" customFormat="1" ht="14.1" customHeight="1" x14ac:dyDescent="0.25">
      <c r="A91" s="7" t="s">
        <v>124</v>
      </c>
      <c r="B91" s="7" t="s">
        <v>125</v>
      </c>
      <c r="C91" s="8" t="s">
        <v>126</v>
      </c>
      <c r="D91" s="9">
        <f>F91+H91</f>
        <v>4400</v>
      </c>
      <c r="E91" s="9">
        <f>G91+I91</f>
        <v>3200</v>
      </c>
      <c r="F91" s="10">
        <v>4400</v>
      </c>
      <c r="G91" s="10">
        <v>3200</v>
      </c>
      <c r="H91" s="10">
        <v>0</v>
      </c>
      <c r="I91" s="10">
        <v>0</v>
      </c>
    </row>
    <row r="92" spans="1:9" s="3" customFormat="1" ht="14.1" customHeight="1" x14ac:dyDescent="0.25">
      <c r="A92" s="7" t="s">
        <v>127</v>
      </c>
      <c r="B92" s="7" t="s">
        <v>128</v>
      </c>
      <c r="C92" s="8" t="s">
        <v>129</v>
      </c>
      <c r="D92" s="9">
        <f>F92+H92</f>
        <v>0</v>
      </c>
      <c r="E92" s="9">
        <f>G92+I92</f>
        <v>0</v>
      </c>
      <c r="F92" s="10">
        <v>0</v>
      </c>
      <c r="G92" s="10">
        <f>SUM(G93:G94)</f>
        <v>0</v>
      </c>
      <c r="H92" s="10">
        <v>0</v>
      </c>
      <c r="I92" s="10">
        <f>SUM(I93:I94)</f>
        <v>0</v>
      </c>
    </row>
    <row r="93" spans="1:9" ht="14.1" customHeight="1" x14ac:dyDescent="0.25">
      <c r="A93" s="24"/>
      <c r="B93" s="24"/>
      <c r="C93" s="25" t="s">
        <v>130</v>
      </c>
      <c r="D93" s="26"/>
      <c r="E93" s="26"/>
      <c r="F93" s="26"/>
      <c r="G93" s="26"/>
      <c r="H93" s="26"/>
      <c r="I93" s="26"/>
    </row>
    <row r="94" spans="1:9" ht="14.1" customHeight="1" x14ac:dyDescent="0.25">
      <c r="A94" s="24"/>
      <c r="B94" s="24"/>
      <c r="C94" s="25" t="s">
        <v>131</v>
      </c>
      <c r="D94" s="26"/>
      <c r="E94" s="26"/>
      <c r="F94" s="26"/>
      <c r="G94" s="26"/>
      <c r="H94" s="26"/>
      <c r="I94" s="26"/>
    </row>
    <row r="95" spans="1:9" s="3" customFormat="1" ht="14.1" customHeight="1" x14ac:dyDescent="0.25">
      <c r="A95" s="7" t="s">
        <v>132</v>
      </c>
      <c r="B95" s="7" t="s">
        <v>133</v>
      </c>
      <c r="C95" s="8" t="s">
        <v>134</v>
      </c>
      <c r="D95" s="9">
        <f>F95+H95</f>
        <v>420</v>
      </c>
      <c r="E95" s="9">
        <f>G95+I95</f>
        <v>170</v>
      </c>
      <c r="F95" s="10">
        <f>SUM(F96:F98)</f>
        <v>420</v>
      </c>
      <c r="G95" s="10">
        <f>SUM(G96:G98)</f>
        <v>170</v>
      </c>
      <c r="H95" s="10">
        <f>SUM(H96:H98)</f>
        <v>0</v>
      </c>
      <c r="I95" s="10">
        <f>SUM(I96:I98)</f>
        <v>0</v>
      </c>
    </row>
    <row r="96" spans="1:9" ht="14.1" customHeight="1" x14ac:dyDescent="0.25">
      <c r="A96" s="24"/>
      <c r="B96" s="24"/>
      <c r="C96" s="25" t="s">
        <v>135</v>
      </c>
      <c r="D96" s="26"/>
      <c r="E96" s="26"/>
      <c r="F96" s="26">
        <v>0</v>
      </c>
      <c r="G96" s="26">
        <v>0</v>
      </c>
      <c r="H96" s="26">
        <v>0</v>
      </c>
      <c r="I96" s="26">
        <v>0</v>
      </c>
    </row>
    <row r="97" spans="1:9" ht="14.1" customHeight="1" x14ac:dyDescent="0.25">
      <c r="A97" s="24"/>
      <c r="B97" s="24"/>
      <c r="C97" s="25" t="s">
        <v>136</v>
      </c>
      <c r="D97" s="26"/>
      <c r="E97" s="26"/>
      <c r="F97" s="26">
        <v>120</v>
      </c>
      <c r="G97" s="26">
        <v>120</v>
      </c>
      <c r="H97" s="26">
        <v>0</v>
      </c>
      <c r="I97" s="26">
        <v>0</v>
      </c>
    </row>
    <row r="98" spans="1:9" ht="14.1" customHeight="1" x14ac:dyDescent="0.25">
      <c r="A98" s="24"/>
      <c r="B98" s="24"/>
      <c r="C98" s="25" t="s">
        <v>137</v>
      </c>
      <c r="D98" s="26"/>
      <c r="E98" s="26"/>
      <c r="F98" s="26">
        <v>300</v>
      </c>
      <c r="G98" s="26">
        <v>50</v>
      </c>
      <c r="H98" s="26">
        <v>0</v>
      </c>
      <c r="I98" s="26">
        <v>0</v>
      </c>
    </row>
    <row r="99" spans="1:9" s="3" customFormat="1" ht="14.1" customHeight="1" x14ac:dyDescent="0.25">
      <c r="A99" s="7" t="s">
        <v>138</v>
      </c>
      <c r="B99" s="7" t="s">
        <v>139</v>
      </c>
      <c r="C99" s="8" t="s">
        <v>140</v>
      </c>
      <c r="D99" s="9">
        <f>F99+H99</f>
        <v>9780</v>
      </c>
      <c r="E99" s="9">
        <f>G99+I99</f>
        <v>10010</v>
      </c>
      <c r="F99" s="10">
        <f>SUM(F100:F103)</f>
        <v>9780</v>
      </c>
      <c r="G99" s="10">
        <f>SUM(G100:G103)</f>
        <v>10010</v>
      </c>
      <c r="H99" s="10">
        <f>SUM(H100:H103)</f>
        <v>0</v>
      </c>
      <c r="I99" s="10">
        <f>SUM(I100:I103)</f>
        <v>0</v>
      </c>
    </row>
    <row r="100" spans="1:9" ht="14.1" customHeight="1" x14ac:dyDescent="0.25">
      <c r="A100" s="24"/>
      <c r="B100" s="24"/>
      <c r="C100" s="25" t="s">
        <v>141</v>
      </c>
      <c r="D100" s="26"/>
      <c r="E100" s="26"/>
      <c r="F100" s="26">
        <v>0</v>
      </c>
      <c r="G100" s="26"/>
      <c r="H100" s="26"/>
      <c r="I100" s="26"/>
    </row>
    <row r="101" spans="1:9" ht="14.1" customHeight="1" x14ac:dyDescent="0.25">
      <c r="A101" s="24"/>
      <c r="B101" s="24"/>
      <c r="C101" s="25" t="s">
        <v>142</v>
      </c>
      <c r="D101" s="26"/>
      <c r="E101" s="26"/>
      <c r="F101" s="26">
        <v>250</v>
      </c>
      <c r="G101" s="26">
        <v>480</v>
      </c>
      <c r="H101" s="26"/>
      <c r="I101" s="26"/>
    </row>
    <row r="102" spans="1:9" ht="14.1" customHeight="1" x14ac:dyDescent="0.25">
      <c r="A102" s="24"/>
      <c r="B102" s="24"/>
      <c r="C102" s="25" t="s">
        <v>143</v>
      </c>
      <c r="D102" s="26"/>
      <c r="E102" s="26"/>
      <c r="F102" s="26">
        <v>30</v>
      </c>
      <c r="G102" s="26">
        <v>30</v>
      </c>
      <c r="H102" s="26"/>
      <c r="I102" s="26"/>
    </row>
    <row r="103" spans="1:9" ht="14.1" customHeight="1" x14ac:dyDescent="0.25">
      <c r="A103" s="24"/>
      <c r="B103" s="24"/>
      <c r="C103" s="25" t="s">
        <v>144</v>
      </c>
      <c r="D103" s="26"/>
      <c r="E103" s="26"/>
      <c r="F103" s="26">
        <v>9500</v>
      </c>
      <c r="G103" s="26">
        <v>9500</v>
      </c>
      <c r="H103" s="26"/>
      <c r="I103" s="26"/>
    </row>
    <row r="104" spans="1:9" s="3" customFormat="1" ht="14.1" customHeight="1" x14ac:dyDescent="0.25">
      <c r="A104" s="16" t="s">
        <v>145</v>
      </c>
      <c r="B104" s="16" t="s">
        <v>146</v>
      </c>
      <c r="C104" s="17" t="s">
        <v>147</v>
      </c>
      <c r="D104" s="19">
        <f t="shared" ref="D104:I104" si="11">D82+D86+D88+D91+D92+D95+D99</f>
        <v>42963</v>
      </c>
      <c r="E104" s="19">
        <f t="shared" si="11"/>
        <v>41190</v>
      </c>
      <c r="F104" s="19">
        <f t="shared" si="11"/>
        <v>24300</v>
      </c>
      <c r="G104" s="19">
        <f t="shared" si="11"/>
        <v>22530</v>
      </c>
      <c r="H104" s="19">
        <f t="shared" si="11"/>
        <v>18663</v>
      </c>
      <c r="I104" s="19">
        <f t="shared" si="11"/>
        <v>18660</v>
      </c>
    </row>
    <row r="105" spans="1:9" s="3" customFormat="1" ht="14.1" customHeight="1" x14ac:dyDescent="0.25">
      <c r="A105" s="7" t="s">
        <v>148</v>
      </c>
      <c r="B105" s="7" t="s">
        <v>149</v>
      </c>
      <c r="C105" s="8" t="s">
        <v>150</v>
      </c>
      <c r="D105" s="9">
        <f>F105+H105</f>
        <v>100</v>
      </c>
      <c r="E105" s="9">
        <f>G105+I105</f>
        <v>50</v>
      </c>
      <c r="F105" s="10">
        <f>SUM(F106:F107)</f>
        <v>100</v>
      </c>
      <c r="G105" s="10">
        <f>SUM(G106:G107)</f>
        <v>50</v>
      </c>
      <c r="H105" s="10">
        <f>SUM(H106:H107)</f>
        <v>0</v>
      </c>
      <c r="I105" s="10">
        <f>SUM(I106:I107)</f>
        <v>0</v>
      </c>
    </row>
    <row r="106" spans="1:9" ht="14.1" customHeight="1" x14ac:dyDescent="0.25">
      <c r="A106" s="24"/>
      <c r="B106" s="24"/>
      <c r="C106" s="25" t="s">
        <v>151</v>
      </c>
      <c r="D106" s="26"/>
      <c r="E106" s="26"/>
      <c r="F106" s="26">
        <v>100</v>
      </c>
      <c r="G106" s="26">
        <v>50</v>
      </c>
      <c r="H106" s="26"/>
      <c r="I106" s="26"/>
    </row>
    <row r="107" spans="1:9" ht="14.1" customHeight="1" x14ac:dyDescent="0.25">
      <c r="A107" s="24"/>
      <c r="B107" s="24"/>
      <c r="C107" s="25" t="s">
        <v>152</v>
      </c>
      <c r="D107" s="26"/>
      <c r="E107" s="26"/>
      <c r="F107" s="26"/>
      <c r="G107" s="26"/>
      <c r="H107" s="26"/>
      <c r="I107" s="26"/>
    </row>
    <row r="108" spans="1:9" s="3" customFormat="1" ht="14.1" customHeight="1" x14ac:dyDescent="0.25">
      <c r="A108" s="7" t="s">
        <v>153</v>
      </c>
      <c r="B108" s="7" t="s">
        <v>154</v>
      </c>
      <c r="C108" s="8" t="s">
        <v>155</v>
      </c>
      <c r="D108" s="9">
        <f>F108+H108</f>
        <v>0</v>
      </c>
      <c r="E108" s="9">
        <f>G108+I108</f>
        <v>0</v>
      </c>
      <c r="F108" s="10">
        <v>0</v>
      </c>
      <c r="G108" s="10">
        <v>0</v>
      </c>
      <c r="H108" s="10">
        <v>0</v>
      </c>
      <c r="I108" s="10">
        <v>0</v>
      </c>
    </row>
    <row r="109" spans="1:9" s="3" customFormat="1" ht="14.1" customHeight="1" x14ac:dyDescent="0.25">
      <c r="A109" s="16" t="s">
        <v>156</v>
      </c>
      <c r="B109" s="16" t="s">
        <v>157</v>
      </c>
      <c r="C109" s="17" t="s">
        <v>158</v>
      </c>
      <c r="D109" s="19">
        <f t="shared" ref="D109:I109" si="12">D105+D108</f>
        <v>100</v>
      </c>
      <c r="E109" s="19">
        <f t="shared" si="12"/>
        <v>50</v>
      </c>
      <c r="F109" s="19">
        <f t="shared" si="12"/>
        <v>100</v>
      </c>
      <c r="G109" s="19">
        <f t="shared" si="12"/>
        <v>50</v>
      </c>
      <c r="H109" s="19">
        <f t="shared" si="12"/>
        <v>0</v>
      </c>
      <c r="I109" s="19">
        <f t="shared" si="12"/>
        <v>0</v>
      </c>
    </row>
    <row r="110" spans="1:9" s="3" customFormat="1" ht="14.1" customHeight="1" x14ac:dyDescent="0.25">
      <c r="A110" s="7" t="s">
        <v>159</v>
      </c>
      <c r="B110" s="7" t="s">
        <v>160</v>
      </c>
      <c r="C110" s="8" t="s">
        <v>161</v>
      </c>
      <c r="D110" s="9">
        <f>F110+H110</f>
        <v>12962</v>
      </c>
      <c r="E110" s="9">
        <f>G110+I110</f>
        <v>12283</v>
      </c>
      <c r="F110" s="10">
        <f>SUM(F111:F112)</f>
        <v>7923</v>
      </c>
      <c r="G110" s="10">
        <f>SUM(G111:G112)</f>
        <v>7245</v>
      </c>
      <c r="H110" s="10">
        <f>SUM(H111:H112)</f>
        <v>5039</v>
      </c>
      <c r="I110" s="10">
        <f>SUM(I111:I112)</f>
        <v>5038</v>
      </c>
    </row>
    <row r="111" spans="1:9" ht="14.1" customHeight="1" x14ac:dyDescent="0.25">
      <c r="A111" s="24"/>
      <c r="B111" s="24"/>
      <c r="C111" s="25" t="s">
        <v>162</v>
      </c>
      <c r="D111" s="26"/>
      <c r="E111" s="26"/>
      <c r="F111" s="26"/>
      <c r="G111" s="26"/>
      <c r="H111" s="26"/>
      <c r="I111" s="26"/>
    </row>
    <row r="112" spans="1:9" ht="14.1" customHeight="1" x14ac:dyDescent="0.25">
      <c r="A112" s="24"/>
      <c r="B112" s="24"/>
      <c r="C112" s="25" t="s">
        <v>163</v>
      </c>
      <c r="D112" s="26"/>
      <c r="E112" s="26"/>
      <c r="F112" s="26">
        <v>7923</v>
      </c>
      <c r="G112" s="26">
        <f>ROUND((G70+G81+G104+G108)*0.27,0)</f>
        <v>7245</v>
      </c>
      <c r="H112" s="26">
        <v>5039</v>
      </c>
      <c r="I112" s="26">
        <f>ROUND((I70+I81+I104+I108)*0.27,0)</f>
        <v>5038</v>
      </c>
    </row>
    <row r="113" spans="1:9" s="3" customFormat="1" ht="14.1" customHeight="1" x14ac:dyDescent="0.25">
      <c r="A113" s="7" t="s">
        <v>164</v>
      </c>
      <c r="B113" s="7" t="s">
        <v>165</v>
      </c>
      <c r="C113" s="8" t="s">
        <v>166</v>
      </c>
      <c r="D113" s="9">
        <f>F113+H113</f>
        <v>0</v>
      </c>
      <c r="E113" s="9">
        <f>G113+I113</f>
        <v>0</v>
      </c>
      <c r="F113" s="10">
        <f>SUM(F114:F116)</f>
        <v>0</v>
      </c>
      <c r="G113" s="10">
        <f>SUM(G114:G116)</f>
        <v>0</v>
      </c>
      <c r="H113" s="10">
        <f>SUM(H114:H116)</f>
        <v>0</v>
      </c>
      <c r="I113" s="10">
        <f>SUM(I114:I116)</f>
        <v>0</v>
      </c>
    </row>
    <row r="114" spans="1:9" ht="14.1" customHeight="1" x14ac:dyDescent="0.25">
      <c r="A114" s="24"/>
      <c r="B114" s="24"/>
      <c r="C114" s="25" t="s">
        <v>167</v>
      </c>
      <c r="D114" s="26"/>
      <c r="E114" s="26"/>
      <c r="F114" s="26"/>
      <c r="G114" s="26"/>
      <c r="H114" s="26"/>
      <c r="I114" s="26"/>
    </row>
    <row r="115" spans="1:9" ht="14.1" customHeight="1" x14ac:dyDescent="0.25">
      <c r="A115" s="24"/>
      <c r="B115" s="24"/>
      <c r="C115" s="25" t="s">
        <v>168</v>
      </c>
      <c r="D115" s="26"/>
      <c r="E115" s="26"/>
      <c r="F115" s="26"/>
      <c r="G115" s="26"/>
      <c r="H115" s="26"/>
      <c r="I115" s="26"/>
    </row>
    <row r="116" spans="1:9" ht="14.1" customHeight="1" x14ac:dyDescent="0.25">
      <c r="A116" s="24"/>
      <c r="B116" s="24"/>
      <c r="C116" s="25" t="s">
        <v>169</v>
      </c>
      <c r="D116" s="26"/>
      <c r="E116" s="26"/>
      <c r="F116" s="26"/>
      <c r="G116" s="26"/>
      <c r="H116" s="26"/>
      <c r="I116" s="26"/>
    </row>
    <row r="117" spans="1:9" s="3" customFormat="1" ht="14.1" customHeight="1" x14ac:dyDescent="0.25">
      <c r="A117" s="7" t="s">
        <v>170</v>
      </c>
      <c r="B117" s="7" t="s">
        <v>171</v>
      </c>
      <c r="C117" s="8" t="s">
        <v>172</v>
      </c>
      <c r="D117" s="9">
        <f>F117+H117</f>
        <v>0</v>
      </c>
      <c r="E117" s="9">
        <f>G117+I117</f>
        <v>0</v>
      </c>
      <c r="F117" s="10">
        <f>SUM(F118:F121)</f>
        <v>0</v>
      </c>
      <c r="G117" s="10">
        <f>SUM(G118:G121)</f>
        <v>0</v>
      </c>
      <c r="H117" s="10">
        <f>SUM(H118:H121)</f>
        <v>0</v>
      </c>
      <c r="I117" s="10">
        <f>SUM(I118:I121)</f>
        <v>0</v>
      </c>
    </row>
    <row r="118" spans="1:9" ht="14.1" customHeight="1" x14ac:dyDescent="0.25">
      <c r="A118" s="24"/>
      <c r="B118" s="24"/>
      <c r="C118" s="25" t="s">
        <v>173</v>
      </c>
      <c r="D118" s="26"/>
      <c r="E118" s="26"/>
      <c r="F118" s="26"/>
      <c r="G118" s="26"/>
      <c r="H118" s="26"/>
      <c r="I118" s="26"/>
    </row>
    <row r="119" spans="1:9" ht="14.1" customHeight="1" x14ac:dyDescent="0.25">
      <c r="A119" s="24"/>
      <c r="B119" s="24"/>
      <c r="C119" s="25" t="s">
        <v>174</v>
      </c>
      <c r="D119" s="26"/>
      <c r="E119" s="26"/>
      <c r="F119" s="26"/>
      <c r="G119" s="26"/>
      <c r="H119" s="26"/>
      <c r="I119" s="26"/>
    </row>
    <row r="120" spans="1:9" ht="14.1" customHeight="1" x14ac:dyDescent="0.25">
      <c r="A120" s="24"/>
      <c r="B120" s="24"/>
      <c r="C120" s="25" t="s">
        <v>175</v>
      </c>
      <c r="D120" s="26"/>
      <c r="E120" s="26"/>
      <c r="F120" s="26"/>
      <c r="G120" s="26"/>
      <c r="H120" s="26"/>
      <c r="I120" s="26"/>
    </row>
    <row r="121" spans="1:9" ht="14.1" customHeight="1" x14ac:dyDescent="0.25">
      <c r="A121" s="24"/>
      <c r="B121" s="24"/>
      <c r="C121" s="25" t="s">
        <v>176</v>
      </c>
      <c r="D121" s="26"/>
      <c r="E121" s="26"/>
      <c r="F121" s="26"/>
      <c r="G121" s="26"/>
      <c r="H121" s="26"/>
      <c r="I121" s="26"/>
    </row>
    <row r="122" spans="1:9" s="3" customFormat="1" ht="14.1" customHeight="1" x14ac:dyDescent="0.25">
      <c r="A122" s="7" t="s">
        <v>177</v>
      </c>
      <c r="B122" s="7" t="s">
        <v>178</v>
      </c>
      <c r="C122" s="8" t="s">
        <v>179</v>
      </c>
      <c r="D122" s="9">
        <f>F122+H122</f>
        <v>0</v>
      </c>
      <c r="E122" s="9">
        <f>G122+I122</f>
        <v>0</v>
      </c>
      <c r="F122" s="10">
        <f>SUM(F123:F124)</f>
        <v>0</v>
      </c>
      <c r="G122" s="10">
        <f>SUM(G123:G124)</f>
        <v>0</v>
      </c>
      <c r="H122" s="10">
        <f>SUM(H123:H124)</f>
        <v>0</v>
      </c>
      <c r="I122" s="10">
        <f>SUM(I123:I124)</f>
        <v>0</v>
      </c>
    </row>
    <row r="123" spans="1:9" ht="14.1" customHeight="1" x14ac:dyDescent="0.25">
      <c r="A123" s="24"/>
      <c r="B123" s="24"/>
      <c r="C123" s="25" t="s">
        <v>180</v>
      </c>
      <c r="D123" s="26"/>
      <c r="E123" s="26"/>
      <c r="F123" s="26"/>
      <c r="G123" s="26"/>
      <c r="H123" s="26"/>
      <c r="I123" s="26"/>
    </row>
    <row r="124" spans="1:9" ht="14.1" customHeight="1" x14ac:dyDescent="0.25">
      <c r="A124" s="24"/>
      <c r="B124" s="24"/>
      <c r="C124" s="25" t="s">
        <v>181</v>
      </c>
      <c r="D124" s="26"/>
      <c r="E124" s="26"/>
      <c r="F124" s="26"/>
      <c r="G124" s="26"/>
      <c r="H124" s="26"/>
      <c r="I124" s="26"/>
    </row>
    <row r="125" spans="1:9" s="3" customFormat="1" ht="14.1" customHeight="1" x14ac:dyDescent="0.25">
      <c r="A125" s="7" t="s">
        <v>182</v>
      </c>
      <c r="B125" s="7" t="s">
        <v>183</v>
      </c>
      <c r="C125" s="8" t="s">
        <v>184</v>
      </c>
      <c r="D125" s="9">
        <f>F125+H125</f>
        <v>30</v>
      </c>
      <c r="E125" s="9">
        <f>G125+I125</f>
        <v>300</v>
      </c>
      <c r="F125" s="10">
        <f>SUM(F126:F129)</f>
        <v>30</v>
      </c>
      <c r="G125" s="10">
        <f>SUM(G126:G129)</f>
        <v>300</v>
      </c>
      <c r="H125" s="10">
        <f>SUM(H126:H129)</f>
        <v>0</v>
      </c>
      <c r="I125" s="10">
        <f>SUM(I126:I129)</f>
        <v>0</v>
      </c>
    </row>
    <row r="126" spans="1:9" ht="14.1" customHeight="1" x14ac:dyDescent="0.25">
      <c r="A126" s="24"/>
      <c r="B126" s="24"/>
      <c r="C126" s="25" t="s">
        <v>185</v>
      </c>
      <c r="D126" s="26"/>
      <c r="E126" s="26"/>
      <c r="F126" s="26"/>
      <c r="G126" s="26"/>
      <c r="H126" s="26"/>
      <c r="I126" s="26"/>
    </row>
    <row r="127" spans="1:9" ht="14.1" customHeight="1" x14ac:dyDescent="0.25">
      <c r="A127" s="24"/>
      <c r="B127" s="24"/>
      <c r="C127" s="25" t="s">
        <v>186</v>
      </c>
      <c r="D127" s="26"/>
      <c r="E127" s="26"/>
      <c r="F127" s="26"/>
      <c r="G127" s="26"/>
      <c r="H127" s="26"/>
      <c r="I127" s="26"/>
    </row>
    <row r="128" spans="1:9" ht="14.1" customHeight="1" x14ac:dyDescent="0.25">
      <c r="A128" s="24"/>
      <c r="B128" s="24"/>
      <c r="C128" s="25" t="s">
        <v>187</v>
      </c>
      <c r="D128" s="26"/>
      <c r="E128" s="26"/>
      <c r="F128" s="26"/>
      <c r="G128" s="26"/>
      <c r="H128" s="26"/>
      <c r="I128" s="26"/>
    </row>
    <row r="129" spans="1:252" ht="14.1" customHeight="1" x14ac:dyDescent="0.25">
      <c r="A129" s="24"/>
      <c r="B129" s="24"/>
      <c r="C129" s="25" t="s">
        <v>188</v>
      </c>
      <c r="D129" s="26"/>
      <c r="E129" s="26"/>
      <c r="F129" s="26">
        <v>30</v>
      </c>
      <c r="G129" s="26">
        <v>300</v>
      </c>
      <c r="H129" s="26"/>
      <c r="I129" s="26"/>
    </row>
    <row r="130" spans="1:252" s="3" customFormat="1" ht="14.1" customHeight="1" x14ac:dyDescent="0.25">
      <c r="A130" s="16" t="s">
        <v>189</v>
      </c>
      <c r="B130" s="16" t="s">
        <v>190</v>
      </c>
      <c r="C130" s="17" t="s">
        <v>191</v>
      </c>
      <c r="D130" s="19">
        <f t="shared" ref="D130:I130" si="13">D110+D113+D117+D122+D125</f>
        <v>12992</v>
      </c>
      <c r="E130" s="19">
        <f t="shared" si="13"/>
        <v>12583</v>
      </c>
      <c r="F130" s="19">
        <f t="shared" si="13"/>
        <v>7953</v>
      </c>
      <c r="G130" s="19">
        <f t="shared" si="13"/>
        <v>7545</v>
      </c>
      <c r="H130" s="19">
        <f t="shared" si="13"/>
        <v>5039</v>
      </c>
      <c r="I130" s="19">
        <f t="shared" si="13"/>
        <v>5038</v>
      </c>
    </row>
    <row r="131" spans="1:252" s="3" customFormat="1" ht="14.1" customHeight="1" x14ac:dyDescent="0.25">
      <c r="A131" s="20" t="s">
        <v>192</v>
      </c>
      <c r="B131" s="20" t="s">
        <v>193</v>
      </c>
      <c r="C131" s="21" t="s">
        <v>292</v>
      </c>
      <c r="D131" s="23">
        <f t="shared" ref="D131:I131" si="14">D70+D81+D104+D109+D130</f>
        <v>61100</v>
      </c>
      <c r="E131" s="23">
        <f t="shared" si="14"/>
        <v>58128</v>
      </c>
      <c r="F131" s="23">
        <f t="shared" si="14"/>
        <v>37398</v>
      </c>
      <c r="G131" s="23">
        <f t="shared" si="14"/>
        <v>34430</v>
      </c>
      <c r="H131" s="23">
        <f t="shared" si="14"/>
        <v>23702</v>
      </c>
      <c r="I131" s="23">
        <f t="shared" si="14"/>
        <v>23698</v>
      </c>
    </row>
    <row r="132" spans="1:252" ht="14.1" customHeight="1" x14ac:dyDescent="0.2">
      <c r="A132" s="977" t="s">
        <v>291</v>
      </c>
      <c r="B132" s="978"/>
      <c r="C132" s="979"/>
      <c r="D132" s="28">
        <f t="shared" ref="D132:I132" si="15">D44+D131</f>
        <v>248190</v>
      </c>
      <c r="E132" s="28">
        <f t="shared" si="15"/>
        <v>264586</v>
      </c>
      <c r="F132" s="28">
        <f t="shared" si="15"/>
        <v>224488</v>
      </c>
      <c r="G132" s="28">
        <f t="shared" si="15"/>
        <v>240888</v>
      </c>
      <c r="H132" s="28">
        <f t="shared" si="15"/>
        <v>23702</v>
      </c>
      <c r="I132" s="28">
        <f t="shared" si="15"/>
        <v>23698</v>
      </c>
      <c r="J132" s="27"/>
      <c r="K132" s="27"/>
      <c r="L132" s="27"/>
      <c r="M132" s="27"/>
      <c r="N132" s="27"/>
      <c r="O132" s="27"/>
      <c r="P132" s="27"/>
      <c r="Q132" s="27"/>
      <c r="R132" s="27"/>
      <c r="S132" s="27"/>
      <c r="T132" s="27"/>
      <c r="U132" s="27"/>
      <c r="V132" s="27"/>
      <c r="W132" s="27"/>
      <c r="X132" s="27"/>
      <c r="Y132" s="27"/>
      <c r="Z132" s="27"/>
      <c r="AA132" s="27"/>
      <c r="AB132" s="27"/>
      <c r="AC132" s="27"/>
      <c r="AD132" s="27"/>
      <c r="AE132" s="27"/>
      <c r="AF132" s="27"/>
      <c r="AG132" s="27"/>
      <c r="AH132" s="27"/>
      <c r="AI132" s="27"/>
      <c r="AJ132" s="27"/>
      <c r="AK132" s="27"/>
      <c r="AL132" s="27"/>
      <c r="AM132" s="27"/>
      <c r="AN132" s="27"/>
      <c r="AO132" s="27"/>
      <c r="AP132" s="27"/>
      <c r="AQ132" s="27"/>
      <c r="AR132" s="27"/>
      <c r="AS132" s="27"/>
      <c r="AT132" s="27"/>
      <c r="AU132" s="27"/>
      <c r="AV132" s="27"/>
      <c r="AW132" s="27"/>
      <c r="AX132" s="27"/>
      <c r="AY132" s="27"/>
      <c r="AZ132" s="27"/>
      <c r="BA132" s="27"/>
      <c r="BB132" s="27"/>
      <c r="BC132" s="27"/>
      <c r="BD132" s="27"/>
      <c r="BE132" s="27"/>
      <c r="BF132" s="27"/>
      <c r="BG132" s="27"/>
      <c r="BH132" s="27"/>
      <c r="BI132" s="27"/>
      <c r="BJ132" s="27"/>
      <c r="BK132" s="27"/>
      <c r="BL132" s="27"/>
      <c r="BM132" s="27"/>
      <c r="BN132" s="27"/>
      <c r="BO132" s="27"/>
      <c r="BP132" s="27"/>
      <c r="BQ132" s="27"/>
      <c r="BR132" s="27"/>
      <c r="BS132" s="27"/>
      <c r="BT132" s="27"/>
      <c r="BU132" s="27"/>
      <c r="BV132" s="27"/>
      <c r="BW132" s="27"/>
      <c r="BX132" s="27"/>
      <c r="BY132" s="27"/>
      <c r="BZ132" s="27"/>
      <c r="CA132" s="27"/>
      <c r="CB132" s="27"/>
      <c r="CC132" s="27"/>
      <c r="CD132" s="27"/>
      <c r="CE132" s="27"/>
      <c r="CF132" s="27"/>
      <c r="CG132" s="27"/>
      <c r="CH132" s="27"/>
      <c r="CI132" s="27"/>
      <c r="CJ132" s="27"/>
      <c r="CK132" s="27"/>
      <c r="CL132" s="27"/>
      <c r="CM132" s="27"/>
      <c r="CN132" s="27"/>
      <c r="CO132" s="27"/>
      <c r="CP132" s="27"/>
      <c r="CQ132" s="27"/>
      <c r="CR132" s="27"/>
      <c r="CS132" s="27"/>
      <c r="CT132" s="27"/>
      <c r="CU132" s="27"/>
      <c r="CV132" s="27"/>
      <c r="CW132" s="27"/>
      <c r="CX132" s="27"/>
      <c r="CY132" s="27"/>
      <c r="CZ132" s="27"/>
      <c r="DA132" s="27"/>
      <c r="DB132" s="27"/>
      <c r="DC132" s="27"/>
      <c r="DD132" s="27"/>
      <c r="DE132" s="27"/>
      <c r="DF132" s="27"/>
      <c r="DG132" s="27"/>
      <c r="DH132" s="27"/>
      <c r="DI132" s="27"/>
      <c r="DJ132" s="27"/>
      <c r="DK132" s="27"/>
      <c r="DL132" s="27"/>
      <c r="DM132" s="27"/>
      <c r="DN132" s="27"/>
      <c r="DO132" s="27"/>
      <c r="DP132" s="27"/>
      <c r="DQ132" s="27"/>
      <c r="DR132" s="27"/>
      <c r="DS132" s="27"/>
      <c r="DT132" s="27"/>
      <c r="DU132" s="27"/>
      <c r="DV132" s="27"/>
      <c r="DW132" s="27"/>
      <c r="DX132" s="27"/>
      <c r="DY132" s="27"/>
      <c r="DZ132" s="27"/>
      <c r="EA132" s="27"/>
      <c r="EB132" s="27"/>
      <c r="EC132" s="27"/>
      <c r="ED132" s="27"/>
      <c r="EE132" s="27"/>
      <c r="EF132" s="27"/>
      <c r="EG132" s="27"/>
      <c r="EH132" s="27"/>
      <c r="EI132" s="27"/>
      <c r="EJ132" s="27"/>
      <c r="EK132" s="27"/>
      <c r="EL132" s="27"/>
      <c r="EM132" s="27"/>
      <c r="EN132" s="27"/>
      <c r="EO132" s="27"/>
      <c r="EP132" s="27"/>
      <c r="EQ132" s="27"/>
      <c r="ER132" s="27"/>
      <c r="ES132" s="27"/>
      <c r="ET132" s="27"/>
      <c r="EU132" s="27"/>
      <c r="EV132" s="27"/>
      <c r="EW132" s="27"/>
      <c r="EX132" s="27"/>
      <c r="EY132" s="27"/>
      <c r="EZ132" s="27"/>
      <c r="FA132" s="27"/>
      <c r="FB132" s="27"/>
      <c r="FC132" s="27"/>
      <c r="FD132" s="27"/>
      <c r="FE132" s="27"/>
      <c r="FF132" s="27"/>
      <c r="FG132" s="27"/>
      <c r="FH132" s="27"/>
      <c r="FI132" s="27"/>
      <c r="FJ132" s="27"/>
      <c r="FK132" s="27"/>
      <c r="FL132" s="27"/>
      <c r="FM132" s="27"/>
      <c r="FN132" s="27"/>
      <c r="FO132" s="27"/>
      <c r="FP132" s="27"/>
      <c r="FQ132" s="27"/>
      <c r="FR132" s="27"/>
      <c r="FS132" s="27"/>
      <c r="FT132" s="27"/>
      <c r="FU132" s="27"/>
      <c r="FV132" s="27"/>
      <c r="FW132" s="27"/>
      <c r="FX132" s="27"/>
      <c r="FY132" s="27"/>
      <c r="FZ132" s="27"/>
      <c r="GA132" s="27"/>
      <c r="GB132" s="27"/>
      <c r="GC132" s="27"/>
      <c r="GD132" s="27"/>
      <c r="GE132" s="27"/>
      <c r="GF132" s="27"/>
      <c r="GG132" s="27"/>
      <c r="GH132" s="27"/>
      <c r="GI132" s="27"/>
      <c r="GJ132" s="27"/>
      <c r="GK132" s="27"/>
      <c r="GL132" s="27"/>
      <c r="GM132" s="27"/>
      <c r="GN132" s="27"/>
      <c r="GO132" s="27"/>
      <c r="GP132" s="27"/>
      <c r="GQ132" s="27"/>
      <c r="GR132" s="27"/>
      <c r="GS132" s="27"/>
      <c r="GT132" s="27"/>
      <c r="GU132" s="27"/>
      <c r="GV132" s="27"/>
      <c r="GW132" s="27"/>
      <c r="GX132" s="27"/>
      <c r="GY132" s="27"/>
      <c r="GZ132" s="27"/>
      <c r="HA132" s="27"/>
      <c r="HB132" s="27"/>
      <c r="HC132" s="27"/>
      <c r="HD132" s="27"/>
      <c r="HE132" s="27"/>
      <c r="HF132" s="27"/>
      <c r="HG132" s="27"/>
      <c r="HH132" s="27"/>
      <c r="HI132" s="27"/>
      <c r="HJ132" s="27"/>
      <c r="HK132" s="27"/>
      <c r="HL132" s="27"/>
      <c r="HM132" s="27"/>
      <c r="HN132" s="27"/>
      <c r="HO132" s="27"/>
      <c r="HP132" s="27"/>
      <c r="HQ132" s="27"/>
      <c r="HR132" s="27"/>
      <c r="HS132" s="27"/>
      <c r="HT132" s="27"/>
      <c r="HU132" s="27"/>
      <c r="HV132" s="27"/>
      <c r="HW132" s="27"/>
      <c r="HX132" s="27"/>
      <c r="HY132" s="27"/>
      <c r="HZ132" s="27"/>
      <c r="IA132" s="27"/>
      <c r="IB132" s="27"/>
      <c r="IC132" s="27"/>
      <c r="ID132" s="27"/>
      <c r="IE132" s="27"/>
      <c r="IF132" s="27"/>
      <c r="IG132" s="27"/>
      <c r="IH132" s="27"/>
      <c r="II132" s="27"/>
      <c r="IJ132" s="27"/>
      <c r="IK132" s="27"/>
      <c r="IL132" s="27"/>
      <c r="IM132" s="27"/>
      <c r="IN132" s="27"/>
      <c r="IO132" s="27"/>
      <c r="IP132" s="27"/>
      <c r="IQ132" s="27"/>
      <c r="IR132" s="27"/>
    </row>
    <row r="133" spans="1:252" ht="12.75" customHeight="1" x14ac:dyDescent="0.2">
      <c r="A133" s="27"/>
      <c r="B133" s="27"/>
      <c r="C133" s="27"/>
      <c r="D133" s="27"/>
      <c r="E133" s="27"/>
      <c r="F133" s="27"/>
      <c r="G133" s="27"/>
      <c r="H133" s="27"/>
      <c r="I133" s="27"/>
      <c r="J133" s="27"/>
      <c r="K133" s="27"/>
      <c r="L133" s="27"/>
      <c r="M133" s="27"/>
      <c r="N133" s="27"/>
      <c r="O133" s="27"/>
      <c r="P133" s="27"/>
      <c r="Q133" s="27"/>
      <c r="R133" s="27"/>
      <c r="S133" s="27"/>
      <c r="T133" s="27"/>
      <c r="U133" s="27"/>
      <c r="V133" s="27"/>
      <c r="W133" s="27"/>
      <c r="X133" s="27"/>
      <c r="Y133" s="27"/>
      <c r="Z133" s="27"/>
      <c r="AA133" s="27"/>
      <c r="AB133" s="27"/>
      <c r="AC133" s="27"/>
      <c r="AD133" s="27"/>
      <c r="AE133" s="27"/>
      <c r="AF133" s="27"/>
      <c r="AG133" s="27"/>
      <c r="AH133" s="27"/>
      <c r="AI133" s="27"/>
      <c r="AJ133" s="27"/>
      <c r="AK133" s="27"/>
      <c r="AL133" s="27"/>
      <c r="AM133" s="27"/>
      <c r="AN133" s="27"/>
      <c r="AO133" s="27"/>
      <c r="AP133" s="27"/>
      <c r="AQ133" s="27"/>
      <c r="AR133" s="27"/>
      <c r="AS133" s="27"/>
      <c r="AT133" s="27"/>
      <c r="AU133" s="27"/>
      <c r="AV133" s="27"/>
      <c r="AW133" s="27"/>
      <c r="AX133" s="27"/>
      <c r="AY133" s="27"/>
      <c r="AZ133" s="27"/>
      <c r="BA133" s="27"/>
      <c r="BB133" s="27"/>
      <c r="BC133" s="27"/>
      <c r="BD133" s="27"/>
      <c r="BE133" s="27"/>
      <c r="BF133" s="27"/>
      <c r="BG133" s="27"/>
      <c r="BH133" s="27"/>
      <c r="BI133" s="27"/>
      <c r="BJ133" s="27"/>
      <c r="BK133" s="27"/>
      <c r="BL133" s="27"/>
      <c r="BM133" s="27"/>
      <c r="BN133" s="27"/>
      <c r="BO133" s="27"/>
      <c r="BP133" s="27"/>
      <c r="BQ133" s="27"/>
      <c r="BR133" s="27"/>
      <c r="BS133" s="27"/>
      <c r="BT133" s="27"/>
      <c r="BU133" s="27"/>
      <c r="BV133" s="27"/>
      <c r="BW133" s="27"/>
      <c r="BX133" s="27"/>
      <c r="BY133" s="27"/>
      <c r="BZ133" s="27"/>
      <c r="CA133" s="27"/>
      <c r="CB133" s="27"/>
      <c r="CC133" s="27"/>
      <c r="CD133" s="27"/>
      <c r="CE133" s="27"/>
      <c r="CF133" s="27"/>
      <c r="CG133" s="27"/>
      <c r="CH133" s="27"/>
      <c r="CI133" s="27"/>
      <c r="CJ133" s="27"/>
      <c r="CK133" s="27"/>
      <c r="CL133" s="27"/>
      <c r="CM133" s="27"/>
      <c r="CN133" s="27"/>
      <c r="CO133" s="27"/>
      <c r="CP133" s="27"/>
      <c r="CQ133" s="27"/>
      <c r="CR133" s="27"/>
      <c r="CS133" s="27"/>
      <c r="CT133" s="27"/>
      <c r="CU133" s="27"/>
      <c r="CV133" s="27"/>
      <c r="CW133" s="27"/>
      <c r="CX133" s="27"/>
      <c r="CY133" s="27"/>
      <c r="CZ133" s="27"/>
      <c r="DA133" s="27"/>
      <c r="DB133" s="27"/>
      <c r="DC133" s="27"/>
      <c r="DD133" s="27"/>
      <c r="DE133" s="27"/>
      <c r="DF133" s="27"/>
      <c r="DG133" s="27"/>
      <c r="DH133" s="27"/>
      <c r="DI133" s="27"/>
      <c r="DJ133" s="27"/>
      <c r="DK133" s="27"/>
      <c r="DL133" s="27"/>
      <c r="DM133" s="27"/>
      <c r="DN133" s="27"/>
      <c r="DO133" s="27"/>
      <c r="DP133" s="27"/>
      <c r="DQ133" s="27"/>
      <c r="DR133" s="27"/>
      <c r="DS133" s="27"/>
      <c r="DT133" s="27"/>
      <c r="DU133" s="27"/>
      <c r="DV133" s="27"/>
      <c r="DW133" s="27"/>
      <c r="DX133" s="27"/>
      <c r="DY133" s="27"/>
      <c r="DZ133" s="27"/>
      <c r="EA133" s="27"/>
      <c r="EB133" s="27"/>
      <c r="EC133" s="27"/>
      <c r="ED133" s="27"/>
      <c r="EE133" s="27"/>
      <c r="EF133" s="27"/>
      <c r="EG133" s="27"/>
      <c r="EH133" s="27"/>
      <c r="EI133" s="27"/>
      <c r="EJ133" s="27"/>
      <c r="EK133" s="27"/>
      <c r="EL133" s="27"/>
      <c r="EM133" s="27"/>
      <c r="EN133" s="27"/>
      <c r="EO133" s="27"/>
      <c r="EP133" s="27"/>
      <c r="EQ133" s="27"/>
      <c r="ER133" s="27"/>
      <c r="ES133" s="27"/>
      <c r="ET133" s="27"/>
      <c r="EU133" s="27"/>
      <c r="EV133" s="27"/>
      <c r="EW133" s="27"/>
      <c r="EX133" s="27"/>
      <c r="EY133" s="27"/>
      <c r="EZ133" s="27"/>
      <c r="FA133" s="27"/>
      <c r="FB133" s="27"/>
      <c r="FC133" s="27"/>
      <c r="FD133" s="27"/>
      <c r="FE133" s="27"/>
      <c r="FF133" s="27"/>
      <c r="FG133" s="27"/>
      <c r="FH133" s="27"/>
      <c r="FI133" s="27"/>
      <c r="FJ133" s="27"/>
      <c r="FK133" s="27"/>
      <c r="FL133" s="27"/>
      <c r="FM133" s="27"/>
      <c r="FN133" s="27"/>
      <c r="FO133" s="27"/>
      <c r="FP133" s="27"/>
      <c r="FQ133" s="27"/>
      <c r="FR133" s="27"/>
      <c r="FS133" s="27"/>
      <c r="FT133" s="27"/>
      <c r="FU133" s="27"/>
      <c r="FV133" s="27"/>
      <c r="FW133" s="27"/>
      <c r="FX133" s="27"/>
      <c r="FY133" s="27"/>
      <c r="FZ133" s="27"/>
      <c r="GA133" s="27"/>
      <c r="GB133" s="27"/>
      <c r="GC133" s="27"/>
      <c r="GD133" s="27"/>
      <c r="GE133" s="27"/>
      <c r="GF133" s="27"/>
      <c r="GG133" s="27"/>
      <c r="GH133" s="27"/>
      <c r="GI133" s="27"/>
      <c r="GJ133" s="27"/>
      <c r="GK133" s="27"/>
      <c r="GL133" s="27"/>
      <c r="GM133" s="27"/>
      <c r="GN133" s="27"/>
      <c r="GO133" s="27"/>
      <c r="GP133" s="27"/>
      <c r="GQ133" s="27"/>
      <c r="GR133" s="27"/>
      <c r="GS133" s="27"/>
      <c r="GT133" s="27"/>
      <c r="GU133" s="27"/>
      <c r="GV133" s="27"/>
      <c r="GW133" s="27"/>
      <c r="GX133" s="27"/>
      <c r="GY133" s="27"/>
      <c r="GZ133" s="27"/>
      <c r="HA133" s="27"/>
      <c r="HB133" s="27"/>
      <c r="HC133" s="27"/>
      <c r="HD133" s="27"/>
      <c r="HE133" s="27"/>
      <c r="HF133" s="27"/>
      <c r="HG133" s="27"/>
      <c r="HH133" s="27"/>
      <c r="HI133" s="27"/>
      <c r="HJ133" s="27"/>
      <c r="HK133" s="27"/>
      <c r="HL133" s="27"/>
      <c r="HM133" s="27"/>
      <c r="HN133" s="27"/>
      <c r="HO133" s="27"/>
      <c r="HP133" s="27"/>
      <c r="HQ133" s="27"/>
      <c r="HR133" s="27"/>
      <c r="HS133" s="27"/>
      <c r="HT133" s="27"/>
      <c r="HU133" s="27"/>
      <c r="HV133" s="27"/>
      <c r="HW133" s="27"/>
      <c r="HX133" s="27"/>
      <c r="HY133" s="27"/>
      <c r="HZ133" s="27"/>
      <c r="IA133" s="27"/>
      <c r="IB133" s="27"/>
      <c r="IC133" s="27"/>
      <c r="ID133" s="27"/>
      <c r="IE133" s="27"/>
      <c r="IF133" s="27"/>
      <c r="IG133" s="27"/>
      <c r="IH133" s="27"/>
      <c r="II133" s="27"/>
      <c r="IJ133" s="27"/>
      <c r="IK133" s="27"/>
      <c r="IL133" s="27"/>
      <c r="IM133" s="27"/>
      <c r="IN133" s="27"/>
      <c r="IO133" s="27"/>
      <c r="IP133" s="27"/>
      <c r="IQ133" s="27"/>
      <c r="IR133" s="27"/>
    </row>
    <row r="134" spans="1:252" ht="14.1" customHeight="1" x14ac:dyDescent="0.2">
      <c r="A134" s="27"/>
      <c r="B134" s="27"/>
      <c r="C134" s="27"/>
      <c r="D134" s="27"/>
      <c r="E134" s="27"/>
      <c r="F134" s="27"/>
      <c r="G134" s="27"/>
      <c r="H134" s="27"/>
      <c r="I134" s="27"/>
      <c r="J134" s="27"/>
      <c r="K134" s="27"/>
      <c r="L134" s="27"/>
      <c r="M134" s="27"/>
      <c r="N134" s="27"/>
      <c r="O134" s="27"/>
      <c r="P134" s="27"/>
      <c r="Q134" s="27"/>
      <c r="R134" s="27"/>
      <c r="S134" s="27"/>
      <c r="T134" s="27"/>
      <c r="U134" s="27"/>
      <c r="V134" s="27"/>
      <c r="W134" s="27"/>
      <c r="X134" s="27"/>
      <c r="Y134" s="27"/>
      <c r="Z134" s="27"/>
      <c r="AA134" s="27"/>
      <c r="AB134" s="27"/>
      <c r="AC134" s="27"/>
      <c r="AD134" s="27"/>
      <c r="AE134" s="27"/>
      <c r="AF134" s="27"/>
      <c r="AG134" s="27"/>
      <c r="AH134" s="27"/>
      <c r="AI134" s="27"/>
      <c r="AJ134" s="27"/>
      <c r="AK134" s="27"/>
      <c r="AL134" s="27"/>
      <c r="AM134" s="27"/>
      <c r="AN134" s="27"/>
      <c r="AO134" s="27"/>
      <c r="AP134" s="27"/>
      <c r="AQ134" s="27"/>
      <c r="AR134" s="27"/>
      <c r="AS134" s="27"/>
      <c r="AT134" s="27"/>
      <c r="AU134" s="27"/>
      <c r="AV134" s="27"/>
      <c r="AW134" s="27"/>
      <c r="AX134" s="27"/>
      <c r="AY134" s="27"/>
      <c r="AZ134" s="27"/>
      <c r="BA134" s="27"/>
      <c r="BB134" s="27"/>
      <c r="BC134" s="27"/>
      <c r="BD134" s="27"/>
      <c r="BE134" s="27"/>
      <c r="BF134" s="27"/>
      <c r="BG134" s="27"/>
      <c r="BH134" s="27"/>
      <c r="BI134" s="27"/>
      <c r="BJ134" s="27"/>
      <c r="BK134" s="27"/>
      <c r="BL134" s="27"/>
      <c r="BM134" s="27"/>
      <c r="BN134" s="27"/>
      <c r="BO134" s="27"/>
      <c r="BP134" s="27"/>
      <c r="BQ134" s="27"/>
      <c r="BR134" s="27"/>
      <c r="BS134" s="27"/>
      <c r="BT134" s="27"/>
      <c r="BU134" s="27"/>
      <c r="BV134" s="27"/>
      <c r="BW134" s="27"/>
      <c r="BX134" s="27"/>
      <c r="BY134" s="27"/>
      <c r="BZ134" s="27"/>
      <c r="CA134" s="27"/>
      <c r="CB134" s="27"/>
      <c r="CC134" s="27"/>
      <c r="CD134" s="27"/>
      <c r="CE134" s="27"/>
      <c r="CF134" s="27"/>
      <c r="CG134" s="27"/>
      <c r="CH134" s="27"/>
      <c r="CI134" s="27"/>
      <c r="CJ134" s="27"/>
      <c r="CK134" s="27"/>
      <c r="CL134" s="27"/>
      <c r="CM134" s="27"/>
      <c r="CN134" s="27"/>
      <c r="CO134" s="27"/>
      <c r="CP134" s="27"/>
      <c r="CQ134" s="27"/>
      <c r="CR134" s="27"/>
      <c r="CS134" s="27"/>
      <c r="CT134" s="27"/>
      <c r="CU134" s="27"/>
      <c r="CV134" s="27"/>
      <c r="CW134" s="27"/>
      <c r="CX134" s="27"/>
      <c r="CY134" s="27"/>
      <c r="CZ134" s="27"/>
      <c r="DA134" s="27"/>
      <c r="DB134" s="27"/>
      <c r="DC134" s="27"/>
      <c r="DD134" s="27"/>
      <c r="DE134" s="27"/>
      <c r="DF134" s="27"/>
      <c r="DG134" s="27"/>
      <c r="DH134" s="27"/>
      <c r="DI134" s="27"/>
      <c r="DJ134" s="27"/>
      <c r="DK134" s="27"/>
      <c r="DL134" s="27"/>
      <c r="DM134" s="27"/>
      <c r="DN134" s="27"/>
      <c r="DO134" s="27"/>
      <c r="DP134" s="27"/>
      <c r="DQ134" s="27"/>
      <c r="DR134" s="27"/>
      <c r="DS134" s="27"/>
      <c r="DT134" s="27"/>
      <c r="DU134" s="27"/>
      <c r="DV134" s="27"/>
      <c r="DW134" s="27"/>
      <c r="DX134" s="27"/>
      <c r="DY134" s="27"/>
      <c r="DZ134" s="27"/>
      <c r="EA134" s="27"/>
      <c r="EB134" s="27"/>
      <c r="EC134" s="27"/>
      <c r="ED134" s="27"/>
      <c r="EE134" s="27"/>
      <c r="EF134" s="27"/>
      <c r="EG134" s="27"/>
      <c r="EH134" s="27"/>
      <c r="EI134" s="27"/>
      <c r="EJ134" s="27"/>
      <c r="EK134" s="27"/>
      <c r="EL134" s="27"/>
      <c r="EM134" s="27"/>
      <c r="EN134" s="27"/>
      <c r="EO134" s="27"/>
      <c r="EP134" s="27"/>
      <c r="EQ134" s="27"/>
      <c r="ER134" s="27"/>
      <c r="ES134" s="27"/>
      <c r="ET134" s="27"/>
      <c r="EU134" s="27"/>
      <c r="EV134" s="27"/>
      <c r="EW134" s="27"/>
      <c r="EX134" s="27"/>
      <c r="EY134" s="27"/>
      <c r="EZ134" s="27"/>
      <c r="FA134" s="27"/>
      <c r="FB134" s="27"/>
      <c r="FC134" s="27"/>
      <c r="FD134" s="27"/>
      <c r="FE134" s="27"/>
      <c r="FF134" s="27"/>
      <c r="FG134" s="27"/>
      <c r="FH134" s="27"/>
      <c r="FI134" s="27"/>
      <c r="FJ134" s="27"/>
      <c r="FK134" s="27"/>
      <c r="FL134" s="27"/>
      <c r="FM134" s="27"/>
      <c r="FN134" s="27"/>
      <c r="FO134" s="27"/>
      <c r="FP134" s="27"/>
      <c r="FQ134" s="27"/>
      <c r="FR134" s="27"/>
      <c r="FS134" s="27"/>
      <c r="FT134" s="27"/>
      <c r="FU134" s="27"/>
      <c r="FV134" s="27"/>
      <c r="FW134" s="27"/>
      <c r="FX134" s="27"/>
      <c r="FY134" s="27"/>
      <c r="FZ134" s="27"/>
      <c r="GA134" s="27"/>
      <c r="GB134" s="27"/>
      <c r="GC134" s="27"/>
      <c r="GD134" s="27"/>
      <c r="GE134" s="27"/>
      <c r="GF134" s="27"/>
      <c r="GG134" s="27"/>
      <c r="GH134" s="27"/>
      <c r="GI134" s="27"/>
      <c r="GJ134" s="27"/>
      <c r="GK134" s="27"/>
      <c r="GL134" s="27"/>
      <c r="GM134" s="27"/>
      <c r="GN134" s="27"/>
      <c r="GO134" s="27"/>
      <c r="GP134" s="27"/>
      <c r="GQ134" s="27"/>
      <c r="GR134" s="27"/>
      <c r="GS134" s="27"/>
      <c r="GT134" s="27"/>
      <c r="GU134" s="27"/>
      <c r="GV134" s="27"/>
      <c r="GW134" s="27"/>
      <c r="GX134" s="27"/>
      <c r="GY134" s="27"/>
      <c r="GZ134" s="27"/>
      <c r="HA134" s="27"/>
      <c r="HB134" s="27"/>
      <c r="HC134" s="27"/>
      <c r="HD134" s="27"/>
      <c r="HE134" s="27"/>
      <c r="HF134" s="27"/>
      <c r="HG134" s="27"/>
      <c r="HH134" s="27"/>
      <c r="HI134" s="27"/>
      <c r="HJ134" s="27"/>
      <c r="HK134" s="27"/>
      <c r="HL134" s="27"/>
      <c r="HM134" s="27"/>
      <c r="HN134" s="27"/>
      <c r="HO134" s="27"/>
      <c r="HP134" s="27"/>
      <c r="HQ134" s="27"/>
      <c r="HR134" s="27"/>
      <c r="HS134" s="27"/>
      <c r="HT134" s="27"/>
      <c r="HU134" s="27"/>
      <c r="HV134" s="27"/>
      <c r="HW134" s="27"/>
      <c r="HX134" s="27"/>
      <c r="HY134" s="27"/>
      <c r="HZ134" s="27"/>
      <c r="IA134" s="27"/>
      <c r="IB134" s="27"/>
      <c r="IC134" s="27"/>
      <c r="ID134" s="27"/>
      <c r="IE134" s="27"/>
      <c r="IF134" s="27"/>
      <c r="IG134" s="27"/>
      <c r="IH134" s="27"/>
      <c r="II134" s="27"/>
      <c r="IJ134" s="27"/>
      <c r="IK134" s="27"/>
      <c r="IL134" s="27"/>
      <c r="IM134" s="27"/>
      <c r="IN134" s="27"/>
      <c r="IO134" s="27"/>
      <c r="IP134" s="27"/>
      <c r="IQ134" s="27"/>
      <c r="IR134" s="27"/>
    </row>
    <row r="136" spans="1:252" s="1" customFormat="1" ht="12.75" customHeight="1" x14ac:dyDescent="0.25">
      <c r="A136" s="974" t="s">
        <v>406</v>
      </c>
      <c r="B136" s="974"/>
      <c r="C136" s="974"/>
      <c r="D136" s="974"/>
      <c r="E136" s="974"/>
      <c r="F136" s="974"/>
      <c r="G136" s="974"/>
      <c r="H136" s="974"/>
      <c r="I136" s="974"/>
    </row>
    <row r="137" spans="1:252" s="1" customFormat="1" ht="14.1" customHeight="1" x14ac:dyDescent="0.25">
      <c r="A137" s="974" t="s">
        <v>0</v>
      </c>
      <c r="B137" s="975" t="s">
        <v>1</v>
      </c>
      <c r="C137" s="974" t="s">
        <v>2</v>
      </c>
      <c r="D137" s="976" t="s">
        <v>260</v>
      </c>
      <c r="E137" s="969" t="s">
        <v>259</v>
      </c>
      <c r="F137" s="971" t="s">
        <v>261</v>
      </c>
      <c r="G137" s="972"/>
      <c r="H137" s="971" t="s">
        <v>262</v>
      </c>
      <c r="I137" s="972"/>
    </row>
    <row r="138" spans="1:252" s="3" customFormat="1" ht="27" customHeight="1" x14ac:dyDescent="0.25">
      <c r="A138" s="974"/>
      <c r="B138" s="975"/>
      <c r="C138" s="974"/>
      <c r="D138" s="976"/>
      <c r="E138" s="970"/>
      <c r="F138" s="2" t="s">
        <v>260</v>
      </c>
      <c r="G138" s="2" t="s">
        <v>259</v>
      </c>
      <c r="H138" s="2" t="s">
        <v>260</v>
      </c>
      <c r="I138" s="2" t="s">
        <v>259</v>
      </c>
    </row>
    <row r="139" spans="1:252" ht="5.65" customHeight="1" x14ac:dyDescent="0.25"/>
    <row r="140" spans="1:252" ht="14.1" customHeight="1" x14ac:dyDescent="0.25">
      <c r="A140" s="973" t="s">
        <v>194</v>
      </c>
      <c r="B140" s="973"/>
      <c r="C140" s="973"/>
      <c r="D140" s="973"/>
      <c r="E140" s="973"/>
      <c r="F140" s="973"/>
      <c r="G140" s="973"/>
      <c r="H140" s="973"/>
      <c r="I140" s="973"/>
    </row>
    <row r="141" spans="1:252" ht="14.1" customHeight="1" x14ac:dyDescent="0.25">
      <c r="A141" s="24" t="s">
        <v>195</v>
      </c>
      <c r="B141" s="24" t="s">
        <v>196</v>
      </c>
      <c r="C141" s="25" t="s">
        <v>197</v>
      </c>
      <c r="D141" s="26">
        <f>F141+H141</f>
        <v>0</v>
      </c>
      <c r="E141" s="26">
        <f>G141+I141</f>
        <v>0</v>
      </c>
      <c r="F141" s="26"/>
      <c r="G141" s="26"/>
      <c r="H141" s="26"/>
      <c r="I141" s="26"/>
    </row>
    <row r="142" spans="1:252" ht="14.1" customHeight="1" x14ac:dyDescent="0.25">
      <c r="A142" s="24" t="s">
        <v>198</v>
      </c>
      <c r="B142" s="24" t="s">
        <v>199</v>
      </c>
      <c r="C142" s="25" t="s">
        <v>200</v>
      </c>
      <c r="D142" s="26">
        <f t="shared" ref="D142:E148" si="16">F142+H142</f>
        <v>0</v>
      </c>
      <c r="E142" s="26">
        <f t="shared" si="16"/>
        <v>0</v>
      </c>
      <c r="F142" s="26"/>
      <c r="G142" s="26"/>
      <c r="H142" s="26"/>
      <c r="I142" s="26"/>
    </row>
    <row r="143" spans="1:252" ht="14.1" customHeight="1" x14ac:dyDescent="0.25">
      <c r="A143" s="24" t="s">
        <v>201</v>
      </c>
      <c r="B143" s="24" t="s">
        <v>202</v>
      </c>
      <c r="C143" s="25" t="s">
        <v>203</v>
      </c>
      <c r="D143" s="26">
        <f t="shared" si="16"/>
        <v>150</v>
      </c>
      <c r="E143" s="26">
        <f t="shared" si="16"/>
        <v>0</v>
      </c>
      <c r="F143" s="26">
        <v>150</v>
      </c>
      <c r="G143" s="26"/>
      <c r="H143" s="26"/>
      <c r="I143" s="26"/>
    </row>
    <row r="144" spans="1:252" ht="14.1" customHeight="1" x14ac:dyDescent="0.25">
      <c r="A144" s="24" t="s">
        <v>204</v>
      </c>
      <c r="B144" s="24" t="s">
        <v>205</v>
      </c>
      <c r="C144" s="25" t="s">
        <v>206</v>
      </c>
      <c r="D144" s="26">
        <f t="shared" si="16"/>
        <v>200</v>
      </c>
      <c r="E144" s="26">
        <f t="shared" si="16"/>
        <v>200</v>
      </c>
      <c r="F144" s="26">
        <v>200</v>
      </c>
      <c r="G144" s="26">
        <v>200</v>
      </c>
      <c r="H144" s="26"/>
      <c r="I144" s="26"/>
    </row>
    <row r="145" spans="1:9" ht="14.1" customHeight="1" x14ac:dyDescent="0.25">
      <c r="A145" s="24"/>
      <c r="B145" s="24" t="s">
        <v>207</v>
      </c>
      <c r="C145" s="25" t="s">
        <v>208</v>
      </c>
      <c r="D145" s="26">
        <f t="shared" si="16"/>
        <v>0</v>
      </c>
      <c r="E145" s="26">
        <f t="shared" si="16"/>
        <v>0</v>
      </c>
      <c r="F145" s="26"/>
      <c r="G145" s="26"/>
      <c r="H145" s="26"/>
      <c r="I145" s="26"/>
    </row>
    <row r="146" spans="1:9" ht="14.1" customHeight="1" x14ac:dyDescent="0.25">
      <c r="A146" s="24" t="s">
        <v>209</v>
      </c>
      <c r="B146" s="24" t="s">
        <v>210</v>
      </c>
      <c r="C146" s="25" t="s">
        <v>211</v>
      </c>
      <c r="D146" s="26">
        <f t="shared" si="16"/>
        <v>0</v>
      </c>
      <c r="E146" s="26">
        <f t="shared" si="16"/>
        <v>0</v>
      </c>
      <c r="F146" s="26"/>
      <c r="G146" s="26"/>
      <c r="H146" s="26"/>
      <c r="I146" s="26"/>
    </row>
    <row r="147" spans="1:9" ht="14.1" customHeight="1" x14ac:dyDescent="0.25">
      <c r="A147" s="24" t="s">
        <v>212</v>
      </c>
      <c r="B147" s="24" t="s">
        <v>213</v>
      </c>
      <c r="C147" s="25" t="s">
        <v>214</v>
      </c>
      <c r="D147" s="26">
        <f t="shared" si="16"/>
        <v>0</v>
      </c>
      <c r="E147" s="26">
        <f t="shared" si="16"/>
        <v>0</v>
      </c>
      <c r="F147" s="26"/>
      <c r="G147" s="26"/>
      <c r="H147" s="26"/>
      <c r="I147" s="26"/>
    </row>
    <row r="148" spans="1:9" ht="14.1" customHeight="1" x14ac:dyDescent="0.25">
      <c r="A148" s="24" t="s">
        <v>215</v>
      </c>
      <c r="B148" s="24" t="s">
        <v>216</v>
      </c>
      <c r="C148" s="25" t="s">
        <v>217</v>
      </c>
      <c r="D148" s="26">
        <f t="shared" si="16"/>
        <v>95</v>
      </c>
      <c r="E148" s="26">
        <f t="shared" si="16"/>
        <v>54</v>
      </c>
      <c r="F148" s="26">
        <v>95</v>
      </c>
      <c r="G148" s="26">
        <f>ROUND((G141+G142+G143+G144+G145)*0.27,0)</f>
        <v>54</v>
      </c>
      <c r="H148" s="26">
        <v>0</v>
      </c>
      <c r="I148" s="26">
        <f>ROUND((I141+I142+I143+I144+I145)*0.27,0)</f>
        <v>0</v>
      </c>
    </row>
    <row r="149" spans="1:9" s="3" customFormat="1" ht="14.1" customHeight="1" x14ac:dyDescent="0.25">
      <c r="A149" s="20" t="s">
        <v>218</v>
      </c>
      <c r="B149" s="20" t="s">
        <v>219</v>
      </c>
      <c r="C149" s="21" t="s">
        <v>220</v>
      </c>
      <c r="D149" s="23">
        <f t="shared" ref="D149:I149" si="17">SUM(D141:D148)</f>
        <v>445</v>
      </c>
      <c r="E149" s="23">
        <f t="shared" si="17"/>
        <v>254</v>
      </c>
      <c r="F149" s="23">
        <f t="shared" si="17"/>
        <v>445</v>
      </c>
      <c r="G149" s="23">
        <f t="shared" si="17"/>
        <v>254</v>
      </c>
      <c r="H149" s="23">
        <f t="shared" si="17"/>
        <v>0</v>
      </c>
      <c r="I149" s="23">
        <f t="shared" si="17"/>
        <v>0</v>
      </c>
    </row>
    <row r="150" spans="1:9" ht="14.1" customHeight="1" x14ac:dyDescent="0.25">
      <c r="A150" s="24" t="s">
        <v>221</v>
      </c>
      <c r="B150" s="24" t="s">
        <v>222</v>
      </c>
      <c r="C150" s="25" t="s">
        <v>223</v>
      </c>
      <c r="D150" s="26">
        <f t="shared" ref="D150:E154" si="18">F150+H150</f>
        <v>0</v>
      </c>
      <c r="E150" s="26">
        <f t="shared" si="18"/>
        <v>0</v>
      </c>
      <c r="F150" s="26"/>
      <c r="G150" s="26"/>
      <c r="H150" s="26"/>
      <c r="I150" s="26"/>
    </row>
    <row r="151" spans="1:9" ht="14.1" customHeight="1" x14ac:dyDescent="0.25">
      <c r="A151" s="24" t="s">
        <v>224</v>
      </c>
      <c r="B151" s="24" t="s">
        <v>225</v>
      </c>
      <c r="C151" s="25" t="s">
        <v>226</v>
      </c>
      <c r="D151" s="26">
        <f t="shared" si="18"/>
        <v>0</v>
      </c>
      <c r="E151" s="26">
        <f t="shared" si="18"/>
        <v>0</v>
      </c>
      <c r="F151" s="26"/>
      <c r="G151" s="26"/>
      <c r="H151" s="26"/>
      <c r="I151" s="26"/>
    </row>
    <row r="152" spans="1:9" ht="14.1" customHeight="1" x14ac:dyDescent="0.25">
      <c r="A152" s="24" t="s">
        <v>227</v>
      </c>
      <c r="B152" s="24" t="s">
        <v>228</v>
      </c>
      <c r="C152" s="25" t="s">
        <v>229</v>
      </c>
      <c r="D152" s="26">
        <f t="shared" si="18"/>
        <v>0</v>
      </c>
      <c r="E152" s="26">
        <f t="shared" si="18"/>
        <v>0</v>
      </c>
      <c r="F152" s="26"/>
      <c r="G152" s="26"/>
      <c r="H152" s="26"/>
      <c r="I152" s="26"/>
    </row>
    <row r="153" spans="1:9" ht="14.1" customHeight="1" x14ac:dyDescent="0.25">
      <c r="A153" s="24"/>
      <c r="B153" s="24" t="s">
        <v>230</v>
      </c>
      <c r="C153" s="25" t="s">
        <v>231</v>
      </c>
      <c r="D153" s="26">
        <f t="shared" si="18"/>
        <v>0</v>
      </c>
      <c r="E153" s="26">
        <f t="shared" si="18"/>
        <v>0</v>
      </c>
      <c r="F153" s="26"/>
      <c r="G153" s="26"/>
      <c r="H153" s="26"/>
      <c r="I153" s="26"/>
    </row>
    <row r="154" spans="1:9" ht="14.1" customHeight="1" x14ac:dyDescent="0.25">
      <c r="A154" s="24" t="s">
        <v>232</v>
      </c>
      <c r="B154" s="24" t="s">
        <v>233</v>
      </c>
      <c r="C154" s="25" t="s">
        <v>234</v>
      </c>
      <c r="D154" s="26">
        <f t="shared" si="18"/>
        <v>0</v>
      </c>
      <c r="E154" s="26">
        <f t="shared" si="18"/>
        <v>0</v>
      </c>
      <c r="F154" s="26">
        <v>0</v>
      </c>
      <c r="G154" s="26">
        <f>ROUND((G150+G151+G152+G153)*0.27,0)</f>
        <v>0</v>
      </c>
      <c r="H154" s="26">
        <v>0</v>
      </c>
      <c r="I154" s="26">
        <f>ROUND((I150+I151+I152+I153)*0.27,0)</f>
        <v>0</v>
      </c>
    </row>
    <row r="155" spans="1:9" s="3" customFormat="1" ht="14.1" customHeight="1" x14ac:dyDescent="0.25">
      <c r="A155" s="20" t="s">
        <v>235</v>
      </c>
      <c r="B155" s="20" t="s">
        <v>236</v>
      </c>
      <c r="C155" s="21" t="s">
        <v>237</v>
      </c>
      <c r="D155" s="23">
        <f t="shared" ref="D155:I155" si="19">SUM(D150:D154)</f>
        <v>0</v>
      </c>
      <c r="E155" s="23">
        <f t="shared" si="19"/>
        <v>0</v>
      </c>
      <c r="F155" s="23">
        <f t="shared" si="19"/>
        <v>0</v>
      </c>
      <c r="G155" s="23">
        <f t="shared" si="19"/>
        <v>0</v>
      </c>
      <c r="H155" s="23">
        <f t="shared" si="19"/>
        <v>0</v>
      </c>
      <c r="I155" s="23">
        <f t="shared" si="19"/>
        <v>0</v>
      </c>
    </row>
    <row r="156" spans="1:9" s="3" customFormat="1" ht="14.1" customHeight="1" x14ac:dyDescent="0.25">
      <c r="A156" s="977" t="s">
        <v>293</v>
      </c>
      <c r="B156" s="978"/>
      <c r="C156" s="979" t="s">
        <v>238</v>
      </c>
      <c r="D156" s="28">
        <f t="shared" ref="D156:I156" si="20">D149+D155</f>
        <v>445</v>
      </c>
      <c r="E156" s="28">
        <f t="shared" si="20"/>
        <v>254</v>
      </c>
      <c r="F156" s="28">
        <f t="shared" si="20"/>
        <v>445</v>
      </c>
      <c r="G156" s="28">
        <f t="shared" si="20"/>
        <v>254</v>
      </c>
      <c r="H156" s="28">
        <f t="shared" si="20"/>
        <v>0</v>
      </c>
      <c r="I156" s="28">
        <f t="shared" si="20"/>
        <v>0</v>
      </c>
    </row>
    <row r="157" spans="1:9" ht="6.75" customHeight="1" x14ac:dyDescent="0.25"/>
    <row r="158" spans="1:9" ht="14.1" customHeight="1" x14ac:dyDescent="0.25">
      <c r="A158" s="966" t="s">
        <v>294</v>
      </c>
      <c r="B158" s="967"/>
      <c r="C158" s="968"/>
      <c r="D158" s="29">
        <f t="shared" ref="D158:I158" si="21">D156+D132</f>
        <v>248635</v>
      </c>
      <c r="E158" s="29">
        <f t="shared" si="21"/>
        <v>264840</v>
      </c>
      <c r="F158" s="29">
        <f t="shared" si="21"/>
        <v>224933</v>
      </c>
      <c r="G158" s="29">
        <f t="shared" si="21"/>
        <v>241142</v>
      </c>
      <c r="H158" s="29">
        <f t="shared" si="21"/>
        <v>23702</v>
      </c>
      <c r="I158" s="29">
        <f t="shared" si="21"/>
        <v>23698</v>
      </c>
    </row>
    <row r="163" spans="1:9" s="1" customFormat="1" ht="12.75" customHeight="1" x14ac:dyDescent="0.25">
      <c r="A163" s="974" t="s">
        <v>405</v>
      </c>
      <c r="B163" s="974"/>
      <c r="C163" s="974"/>
      <c r="D163" s="974"/>
      <c r="E163" s="974"/>
      <c r="F163" s="974"/>
      <c r="G163" s="974"/>
      <c r="H163" s="974"/>
      <c r="I163" s="974"/>
    </row>
    <row r="164" spans="1:9" s="1" customFormat="1" ht="14.1" customHeight="1" x14ac:dyDescent="0.25">
      <c r="A164" s="974" t="s">
        <v>0</v>
      </c>
      <c r="B164" s="975" t="s">
        <v>1</v>
      </c>
      <c r="C164" s="974" t="s">
        <v>2</v>
      </c>
      <c r="D164" s="976" t="s">
        <v>260</v>
      </c>
      <c r="E164" s="969" t="s">
        <v>259</v>
      </c>
      <c r="F164" s="971" t="s">
        <v>261</v>
      </c>
      <c r="G164" s="972"/>
      <c r="H164" s="971" t="s">
        <v>262</v>
      </c>
      <c r="I164" s="972"/>
    </row>
    <row r="165" spans="1:9" s="3" customFormat="1" ht="23.25" customHeight="1" x14ac:dyDescent="0.25">
      <c r="A165" s="974"/>
      <c r="B165" s="975"/>
      <c r="C165" s="974"/>
      <c r="D165" s="976"/>
      <c r="E165" s="970"/>
      <c r="F165" s="2" t="s">
        <v>260</v>
      </c>
      <c r="G165" s="2" t="s">
        <v>259</v>
      </c>
      <c r="H165" s="2" t="s">
        <v>260</v>
      </c>
      <c r="I165" s="2" t="s">
        <v>259</v>
      </c>
    </row>
    <row r="166" spans="1:9" ht="5.65" customHeight="1" x14ac:dyDescent="0.25"/>
    <row r="167" spans="1:9" ht="14.1" customHeight="1" x14ac:dyDescent="0.25">
      <c r="A167" s="973" t="s">
        <v>239</v>
      </c>
      <c r="B167" s="973"/>
      <c r="C167" s="973"/>
      <c r="D167" s="973"/>
      <c r="E167" s="973"/>
      <c r="F167" s="973"/>
      <c r="G167" s="973"/>
      <c r="H167" s="973"/>
      <c r="I167" s="973"/>
    </row>
    <row r="168" spans="1:9" s="3" customFormat="1" ht="14.1" customHeight="1" x14ac:dyDescent="0.25">
      <c r="A168" s="20" t="s">
        <v>240</v>
      </c>
      <c r="B168" s="20"/>
      <c r="C168" s="21" t="s">
        <v>241</v>
      </c>
      <c r="D168" s="23">
        <f t="shared" ref="D168:I168" si="22">SUM(D169:D178)</f>
        <v>14338</v>
      </c>
      <c r="E168" s="23">
        <f t="shared" si="22"/>
        <v>7684</v>
      </c>
      <c r="F168" s="23">
        <f t="shared" si="22"/>
        <v>0</v>
      </c>
      <c r="G168" s="23">
        <f t="shared" si="22"/>
        <v>0</v>
      </c>
      <c r="H168" s="23">
        <f t="shared" si="22"/>
        <v>14338</v>
      </c>
      <c r="I168" s="23">
        <f t="shared" si="22"/>
        <v>7684</v>
      </c>
    </row>
    <row r="169" spans="1:9" ht="14.1" customHeight="1" x14ac:dyDescent="0.25">
      <c r="A169" s="24" t="s">
        <v>242</v>
      </c>
      <c r="B169" s="24"/>
      <c r="C169" s="25" t="s">
        <v>243</v>
      </c>
      <c r="D169" s="26">
        <f>F169+H169</f>
        <v>0</v>
      </c>
      <c r="E169" s="26">
        <f>G169+I169</f>
        <v>0</v>
      </c>
      <c r="F169" s="26"/>
      <c r="G169" s="26"/>
      <c r="H169" s="26"/>
      <c r="I169" s="26"/>
    </row>
    <row r="170" spans="1:9" ht="14.1" customHeight="1" x14ac:dyDescent="0.25">
      <c r="A170" s="24" t="s">
        <v>244</v>
      </c>
      <c r="B170" s="24"/>
      <c r="C170" s="25" t="s">
        <v>245</v>
      </c>
      <c r="D170" s="26">
        <f t="shared" ref="D170:E178" si="23">F170+H170</f>
        <v>0</v>
      </c>
      <c r="E170" s="26">
        <f t="shared" si="23"/>
        <v>0</v>
      </c>
      <c r="F170" s="26"/>
      <c r="G170" s="26"/>
      <c r="H170" s="26"/>
      <c r="I170" s="26"/>
    </row>
    <row r="171" spans="1:9" ht="14.1" customHeight="1" x14ac:dyDescent="0.25">
      <c r="A171" s="24" t="s">
        <v>246</v>
      </c>
      <c r="B171" s="24"/>
      <c r="C171" s="25" t="s">
        <v>247</v>
      </c>
      <c r="D171" s="26">
        <f t="shared" si="23"/>
        <v>0</v>
      </c>
      <c r="E171" s="26">
        <f t="shared" si="23"/>
        <v>0</v>
      </c>
      <c r="F171" s="26"/>
      <c r="G171" s="26"/>
      <c r="H171" s="26"/>
      <c r="I171" s="26"/>
    </row>
    <row r="172" spans="1:9" ht="14.1" customHeight="1" x14ac:dyDescent="0.25">
      <c r="A172" s="24" t="s">
        <v>248</v>
      </c>
      <c r="B172" s="24"/>
      <c r="C172" s="25" t="s">
        <v>249</v>
      </c>
      <c r="D172" s="26">
        <f t="shared" si="23"/>
        <v>0</v>
      </c>
      <c r="E172" s="26">
        <f t="shared" si="23"/>
        <v>0</v>
      </c>
      <c r="F172" s="26"/>
      <c r="G172" s="26"/>
      <c r="H172" s="26"/>
      <c r="I172" s="26"/>
    </row>
    <row r="173" spans="1:9" ht="14.1" customHeight="1" x14ac:dyDescent="0.25">
      <c r="A173" s="24" t="s">
        <v>296</v>
      </c>
      <c r="B173" s="24"/>
      <c r="C173" s="25" t="s">
        <v>297</v>
      </c>
      <c r="D173" s="26">
        <f t="shared" si="23"/>
        <v>11290</v>
      </c>
      <c r="E173" s="26">
        <f t="shared" si="23"/>
        <v>6050</v>
      </c>
      <c r="F173" s="26"/>
      <c r="G173" s="26"/>
      <c r="H173" s="26">
        <v>11290</v>
      </c>
      <c r="I173" s="26">
        <v>6050</v>
      </c>
    </row>
    <row r="174" spans="1:9" ht="14.1" customHeight="1" x14ac:dyDescent="0.25">
      <c r="A174" s="24" t="s">
        <v>250</v>
      </c>
      <c r="B174" s="24"/>
      <c r="C174" s="25" t="s">
        <v>251</v>
      </c>
      <c r="D174" s="26">
        <f t="shared" si="23"/>
        <v>3048</v>
      </c>
      <c r="E174" s="26">
        <f t="shared" si="23"/>
        <v>1634</v>
      </c>
      <c r="F174" s="26"/>
      <c r="G174" s="26">
        <f>ROUND((G169+G170+G171+G172+G173)*0.27,0)</f>
        <v>0</v>
      </c>
      <c r="H174" s="26">
        <v>3048</v>
      </c>
      <c r="I174" s="26">
        <f>ROUND((I169+I170+I171+I172+I173)*0.27,0)</f>
        <v>1634</v>
      </c>
    </row>
    <row r="175" spans="1:9" ht="14.1" customHeight="1" x14ac:dyDescent="0.25">
      <c r="A175" s="24" t="s">
        <v>298</v>
      </c>
      <c r="B175" s="24"/>
      <c r="C175" s="25" t="s">
        <v>299</v>
      </c>
      <c r="D175" s="26">
        <f t="shared" si="23"/>
        <v>0</v>
      </c>
      <c r="E175" s="26">
        <f t="shared" si="23"/>
        <v>0</v>
      </c>
      <c r="F175" s="26"/>
      <c r="G175" s="26"/>
      <c r="H175" s="26">
        <v>0</v>
      </c>
      <c r="I175" s="26"/>
    </row>
    <row r="176" spans="1:9" ht="14.1" customHeight="1" x14ac:dyDescent="0.25">
      <c r="A176" s="24" t="s">
        <v>252</v>
      </c>
      <c r="B176" s="24"/>
      <c r="C176" s="25" t="s">
        <v>253</v>
      </c>
      <c r="D176" s="26">
        <f t="shared" si="23"/>
        <v>0</v>
      </c>
      <c r="E176" s="26">
        <f t="shared" si="23"/>
        <v>0</v>
      </c>
      <c r="F176" s="26"/>
      <c r="G176" s="26"/>
      <c r="H176" s="26"/>
      <c r="I176" s="26"/>
    </row>
    <row r="177" spans="1:9" ht="14.1" customHeight="1" x14ac:dyDescent="0.25">
      <c r="A177" s="24" t="s">
        <v>300</v>
      </c>
      <c r="B177" s="24"/>
      <c r="C177" s="25" t="s">
        <v>301</v>
      </c>
      <c r="D177" s="26">
        <f t="shared" si="23"/>
        <v>0</v>
      </c>
      <c r="E177" s="26">
        <f t="shared" si="23"/>
        <v>0</v>
      </c>
      <c r="F177" s="26"/>
      <c r="G177" s="26"/>
      <c r="H177" s="26"/>
      <c r="I177" s="26"/>
    </row>
    <row r="178" spans="1:9" ht="14.1" customHeight="1" x14ac:dyDescent="0.25">
      <c r="A178" s="24" t="s">
        <v>254</v>
      </c>
      <c r="B178" s="24"/>
      <c r="C178" s="25" t="s">
        <v>255</v>
      </c>
      <c r="D178" s="26">
        <f t="shared" si="23"/>
        <v>0</v>
      </c>
      <c r="E178" s="26">
        <f t="shared" si="23"/>
        <v>0</v>
      </c>
      <c r="F178" s="26"/>
      <c r="G178" s="26"/>
      <c r="H178" s="26"/>
      <c r="I178" s="26"/>
    </row>
    <row r="179" spans="1:9" s="3" customFormat="1" ht="14.1" customHeight="1" x14ac:dyDescent="0.25">
      <c r="A179" s="20" t="s">
        <v>256</v>
      </c>
      <c r="B179" s="20"/>
      <c r="C179" s="21" t="s">
        <v>257</v>
      </c>
      <c r="D179" s="23">
        <f>F179+H179</f>
        <v>0</v>
      </c>
      <c r="E179" s="23">
        <f>G179+I179</f>
        <v>0</v>
      </c>
      <c r="F179" s="23">
        <v>0</v>
      </c>
      <c r="G179" s="23">
        <v>0</v>
      </c>
      <c r="H179" s="23">
        <v>0</v>
      </c>
      <c r="I179" s="23">
        <v>0</v>
      </c>
    </row>
    <row r="180" spans="1:9" s="3" customFormat="1" ht="14.1" customHeight="1" x14ac:dyDescent="0.25">
      <c r="A180" s="966" t="s">
        <v>295</v>
      </c>
      <c r="B180" s="967"/>
      <c r="C180" s="968"/>
      <c r="D180" s="29">
        <f t="shared" ref="D180:I180" si="24">D168+D179</f>
        <v>14338</v>
      </c>
      <c r="E180" s="29">
        <f t="shared" si="24"/>
        <v>7684</v>
      </c>
      <c r="F180" s="29">
        <f t="shared" si="24"/>
        <v>0</v>
      </c>
      <c r="G180" s="29">
        <f t="shared" si="24"/>
        <v>0</v>
      </c>
      <c r="H180" s="29">
        <f t="shared" si="24"/>
        <v>14338</v>
      </c>
      <c r="I180" s="29">
        <f t="shared" si="24"/>
        <v>7684</v>
      </c>
    </row>
  </sheetData>
  <sheetProtection selectLockedCells="1" selectUnlockedCells="1"/>
  <mergeCells count="41">
    <mergeCell ref="A137:A138"/>
    <mergeCell ref="E137:E138"/>
    <mergeCell ref="F137:G137"/>
    <mergeCell ref="H137:I137"/>
    <mergeCell ref="A52:I52"/>
    <mergeCell ref="A132:C132"/>
    <mergeCell ref="B137:B138"/>
    <mergeCell ref="A136:I136"/>
    <mergeCell ref="D137:D138"/>
    <mergeCell ref="C137:C138"/>
    <mergeCell ref="A180:C180"/>
    <mergeCell ref="A140:I140"/>
    <mergeCell ref="A156:C156"/>
    <mergeCell ref="A158:C158"/>
    <mergeCell ref="A163:I163"/>
    <mergeCell ref="H164:I164"/>
    <mergeCell ref="A167:I167"/>
    <mergeCell ref="F164:G164"/>
    <mergeCell ref="B164:B165"/>
    <mergeCell ref="D164:D165"/>
    <mergeCell ref="E164:E165"/>
    <mergeCell ref="A164:A165"/>
    <mergeCell ref="C164:C165"/>
    <mergeCell ref="A1:I1"/>
    <mergeCell ref="A2:A3"/>
    <mergeCell ref="B2:B3"/>
    <mergeCell ref="C2:C3"/>
    <mergeCell ref="D2:D3"/>
    <mergeCell ref="E2:E3"/>
    <mergeCell ref="D49:D50"/>
    <mergeCell ref="B49:B50"/>
    <mergeCell ref="A48:I48"/>
    <mergeCell ref="A49:A50"/>
    <mergeCell ref="F2:G2"/>
    <mergeCell ref="H2:I2"/>
    <mergeCell ref="F49:G49"/>
    <mergeCell ref="H49:I49"/>
    <mergeCell ref="E49:E50"/>
    <mergeCell ref="A5:I5"/>
    <mergeCell ref="A44:C44"/>
    <mergeCell ref="C49:C50"/>
  </mergeCells>
  <printOptions horizontalCentered="1"/>
  <pageMargins left="0.15748031496062992" right="0.15748031496062992" top="0.19685039370078741" bottom="0.15748031496062992" header="0.31496062992125984" footer="0.31496062992125984"/>
  <pageSetup paperSize="8" fitToHeight="0" orientation="portrait" useFirstPageNumber="1" copies="2" r:id="rId1"/>
  <headerFooter alignWithMargins="0"/>
  <rowBreaks count="2" manualBreakCount="2">
    <brk id="44" max="16383" man="1"/>
    <brk id="109" max="16383" man="1"/>
  </rowBreaks>
  <legacy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IV228"/>
  <sheetViews>
    <sheetView view="pageBreakPreview" zoomScale="145" zoomScaleNormal="100" zoomScaleSheetLayoutView="145" workbookViewId="0">
      <pane xSplit="5" ySplit="3" topLeftCell="N167" activePane="bottomRight" state="frozen"/>
      <selection pane="topRight" activeCell="F1" sqref="F1"/>
      <selection pane="bottomLeft" activeCell="A4" sqref="A4"/>
      <selection pane="bottomRight" activeCell="M159" sqref="M159"/>
    </sheetView>
  </sheetViews>
  <sheetFormatPr defaultColWidth="11.7109375" defaultRowHeight="14.1" customHeight="1" x14ac:dyDescent="0.25"/>
  <cols>
    <col min="1" max="1" width="5.7109375" style="4" customWidth="1"/>
    <col min="2" max="2" width="7.7109375" style="4" customWidth="1"/>
    <col min="3" max="3" width="31.7109375" style="5" customWidth="1"/>
    <col min="4" max="5" width="10.85546875" style="6" customWidth="1"/>
    <col min="6" max="6" width="9.85546875" style="6" bestFit="1" customWidth="1"/>
    <col min="7" max="7" width="9.85546875" style="6" customWidth="1"/>
    <col min="8" max="8" width="10.7109375" style="6" customWidth="1"/>
    <col min="9" max="21" width="12" style="6" customWidth="1"/>
    <col min="22" max="16384" width="11.7109375" style="5"/>
  </cols>
  <sheetData>
    <row r="1" spans="1:21" s="1" customFormat="1" ht="12.75" customHeight="1" x14ac:dyDescent="0.25">
      <c r="A1" s="974" t="s">
        <v>410</v>
      </c>
      <c r="B1" s="974"/>
      <c r="C1" s="974"/>
      <c r="D1" s="974"/>
      <c r="E1" s="974"/>
      <c r="F1" s="974"/>
      <c r="G1" s="974"/>
      <c r="H1" s="974"/>
      <c r="I1" s="974"/>
      <c r="J1" s="974"/>
      <c r="K1" s="974"/>
      <c r="L1" s="974" t="s">
        <v>410</v>
      </c>
      <c r="M1" s="974"/>
      <c r="N1" s="974"/>
      <c r="O1" s="974"/>
      <c r="P1" s="974"/>
      <c r="Q1" s="974"/>
      <c r="R1" s="974"/>
      <c r="S1" s="974"/>
      <c r="T1" s="974"/>
      <c r="U1" s="974"/>
    </row>
    <row r="2" spans="1:21" s="1" customFormat="1" ht="14.1" customHeight="1" x14ac:dyDescent="0.25">
      <c r="A2" s="1027" t="s">
        <v>0</v>
      </c>
      <c r="B2" s="1028" t="s">
        <v>1</v>
      </c>
      <c r="C2" s="1027" t="s">
        <v>2</v>
      </c>
      <c r="D2" s="970" t="s">
        <v>260</v>
      </c>
      <c r="E2" s="1030" t="s">
        <v>259</v>
      </c>
      <c r="F2" s="1025" t="s">
        <v>411</v>
      </c>
      <c r="G2" s="1029"/>
      <c r="H2" s="1025" t="s">
        <v>412</v>
      </c>
      <c r="I2" s="1026"/>
      <c r="J2" s="1037" t="s">
        <v>413</v>
      </c>
      <c r="K2" s="1023"/>
      <c r="L2" s="1037" t="s">
        <v>414</v>
      </c>
      <c r="M2" s="1037"/>
      <c r="N2" s="1023" t="s">
        <v>415</v>
      </c>
      <c r="O2" s="1024"/>
      <c r="P2" s="1031" t="s">
        <v>416</v>
      </c>
      <c r="Q2" s="1032"/>
      <c r="R2" s="1031" t="s">
        <v>417</v>
      </c>
      <c r="S2" s="1032"/>
      <c r="T2" s="1031"/>
      <c r="U2" s="1032"/>
    </row>
    <row r="3" spans="1:21" s="3" customFormat="1" ht="25.5" customHeight="1" x14ac:dyDescent="0.25">
      <c r="A3" s="974"/>
      <c r="B3" s="975"/>
      <c r="C3" s="974"/>
      <c r="D3" s="976"/>
      <c r="E3" s="970"/>
      <c r="F3" s="2" t="s">
        <v>263</v>
      </c>
      <c r="G3" s="2" t="s">
        <v>259</v>
      </c>
      <c r="H3" s="2" t="s">
        <v>260</v>
      </c>
      <c r="I3" s="48" t="s">
        <v>259</v>
      </c>
      <c r="J3" s="60" t="s">
        <v>260</v>
      </c>
      <c r="K3" s="75" t="s">
        <v>259</v>
      </c>
      <c r="L3" s="60" t="s">
        <v>260</v>
      </c>
      <c r="M3" s="60" t="s">
        <v>259</v>
      </c>
      <c r="N3" s="81" t="s">
        <v>260</v>
      </c>
      <c r="O3" s="47" t="s">
        <v>259</v>
      </c>
      <c r="P3" s="82" t="s">
        <v>260</v>
      </c>
      <c r="Q3" s="83" t="s">
        <v>259</v>
      </c>
      <c r="R3" s="82" t="s">
        <v>260</v>
      </c>
      <c r="S3" s="83" t="s">
        <v>259</v>
      </c>
      <c r="T3" s="82"/>
      <c r="U3" s="83"/>
    </row>
    <row r="4" spans="1:21" ht="5.65" customHeight="1" x14ac:dyDescent="0.25">
      <c r="J4" s="61"/>
      <c r="K4" s="76"/>
      <c r="L4" s="61"/>
      <c r="M4" s="61"/>
    </row>
    <row r="5" spans="1:21" ht="14.1" customHeight="1" x14ac:dyDescent="0.25">
      <c r="A5" s="973" t="s">
        <v>3</v>
      </c>
      <c r="B5" s="973"/>
      <c r="C5" s="973"/>
      <c r="D5" s="973"/>
      <c r="E5" s="973"/>
      <c r="F5" s="973"/>
      <c r="G5" s="973"/>
      <c r="H5" s="973"/>
      <c r="I5" s="973"/>
      <c r="J5" s="62"/>
      <c r="K5" s="77"/>
      <c r="L5" s="62"/>
      <c r="M5" s="77"/>
      <c r="N5" s="62"/>
      <c r="O5" s="62"/>
      <c r="P5" s="62"/>
      <c r="Q5" s="62"/>
      <c r="R5" s="62"/>
      <c r="S5" s="62"/>
      <c r="T5" s="62"/>
      <c r="U5" s="62"/>
    </row>
    <row r="6" spans="1:21" s="3" customFormat="1" ht="12.75" customHeight="1" x14ac:dyDescent="0.25">
      <c r="A6" s="7" t="s">
        <v>4</v>
      </c>
      <c r="B6" s="7" t="s">
        <v>5</v>
      </c>
      <c r="C6" s="8" t="s">
        <v>6</v>
      </c>
      <c r="D6" s="9">
        <f>F6+H6+J6+L6+N6+P6+R6</f>
        <v>85301</v>
      </c>
      <c r="E6" s="9">
        <f>G6+I6+K6+M6+O6+Q6+S6</f>
        <v>97071</v>
      </c>
      <c r="F6" s="10">
        <v>28010</v>
      </c>
      <c r="G6" s="10">
        <f>SUM(G7:G21)-G12-G15</f>
        <v>32136</v>
      </c>
      <c r="H6" s="10">
        <v>11302</v>
      </c>
      <c r="I6" s="50">
        <f>SUM(I7:I27)</f>
        <v>12350</v>
      </c>
      <c r="J6" s="63">
        <v>0</v>
      </c>
      <c r="K6" s="63">
        <v>0</v>
      </c>
      <c r="L6" s="63">
        <v>45989</v>
      </c>
      <c r="M6" s="50">
        <f>SUM(M7:M54)-M45</f>
        <v>52585</v>
      </c>
      <c r="N6" s="63">
        <v>0</v>
      </c>
      <c r="O6" s="63">
        <v>0</v>
      </c>
      <c r="P6" s="63">
        <v>0</v>
      </c>
      <c r="Q6" s="63">
        <v>0</v>
      </c>
      <c r="R6" s="63">
        <v>0</v>
      </c>
      <c r="S6" s="63"/>
      <c r="T6" s="63"/>
      <c r="U6" s="63"/>
    </row>
    <row r="7" spans="1:21" s="15" customFormat="1" ht="11.45" customHeight="1" x14ac:dyDescent="0.25">
      <c r="A7" s="11"/>
      <c r="B7" s="11"/>
      <c r="C7" s="12" t="s">
        <v>423</v>
      </c>
      <c r="D7" s="13"/>
      <c r="E7" s="13"/>
      <c r="F7" s="14"/>
      <c r="G7" s="14">
        <v>2445</v>
      </c>
      <c r="H7" s="14"/>
      <c r="I7" s="51"/>
      <c r="J7" s="64"/>
      <c r="K7" s="79"/>
      <c r="L7" s="64"/>
      <c r="M7" s="79"/>
      <c r="N7" s="64"/>
      <c r="O7" s="64"/>
      <c r="P7" s="64"/>
      <c r="Q7" s="64"/>
      <c r="R7" s="64"/>
      <c r="S7" s="64"/>
      <c r="T7" s="64"/>
      <c r="U7" s="64"/>
    </row>
    <row r="8" spans="1:21" s="15" customFormat="1" ht="11.45" customHeight="1" x14ac:dyDescent="0.25">
      <c r="A8" s="11"/>
      <c r="B8" s="11"/>
      <c r="C8" s="12" t="s">
        <v>421</v>
      </c>
      <c r="D8" s="13"/>
      <c r="E8" s="13"/>
      <c r="F8" s="14"/>
      <c r="G8" s="14">
        <v>2296</v>
      </c>
      <c r="H8" s="14"/>
      <c r="I8" s="51"/>
      <c r="J8" s="64"/>
      <c r="K8" s="79"/>
      <c r="L8" s="64"/>
      <c r="M8" s="79"/>
      <c r="N8" s="64"/>
      <c r="O8" s="64"/>
      <c r="P8" s="64"/>
      <c r="Q8" s="64"/>
      <c r="R8" s="64"/>
      <c r="S8" s="64"/>
      <c r="T8" s="64"/>
      <c r="U8" s="64"/>
    </row>
    <row r="9" spans="1:21" s="15" customFormat="1" ht="11.45" customHeight="1" x14ac:dyDescent="0.25">
      <c r="A9" s="11"/>
      <c r="B9" s="11"/>
      <c r="C9" s="12" t="s">
        <v>422</v>
      </c>
      <c r="D9" s="13"/>
      <c r="E9" s="13"/>
      <c r="F9" s="14"/>
      <c r="G9" s="14">
        <v>5564</v>
      </c>
      <c r="H9" s="14"/>
      <c r="I9" s="51"/>
      <c r="J9" s="64"/>
      <c r="K9" s="79"/>
      <c r="L9" s="64"/>
      <c r="M9" s="79"/>
      <c r="N9" s="64"/>
      <c r="O9" s="64"/>
      <c r="P9" s="64"/>
      <c r="Q9" s="64"/>
      <c r="R9" s="64"/>
      <c r="S9" s="64"/>
      <c r="T9" s="64"/>
      <c r="U9" s="64"/>
    </row>
    <row r="10" spans="1:21" s="15" customFormat="1" ht="11.45" customHeight="1" x14ac:dyDescent="0.25">
      <c r="A10" s="11"/>
      <c r="B10" s="11"/>
      <c r="C10" s="12" t="s">
        <v>424</v>
      </c>
      <c r="D10" s="13"/>
      <c r="E10" s="13"/>
      <c r="F10" s="14"/>
      <c r="G10" s="14">
        <v>2390</v>
      </c>
      <c r="H10" s="14"/>
      <c r="I10" s="51"/>
      <c r="J10" s="64"/>
      <c r="K10" s="79"/>
      <c r="L10" s="64"/>
      <c r="M10" s="79"/>
      <c r="N10" s="64"/>
      <c r="O10" s="64"/>
      <c r="P10" s="64"/>
      <c r="Q10" s="64"/>
      <c r="R10" s="64"/>
      <c r="S10" s="64"/>
      <c r="T10" s="64"/>
      <c r="U10" s="64"/>
    </row>
    <row r="11" spans="1:21" s="15" customFormat="1" ht="11.45" customHeight="1" x14ac:dyDescent="0.25">
      <c r="A11" s="11"/>
      <c r="B11" s="11"/>
      <c r="C11" s="12" t="s">
        <v>427</v>
      </c>
      <c r="D11" s="13"/>
      <c r="E11" s="13"/>
      <c r="F11" s="14"/>
      <c r="G11" s="14">
        <v>1345</v>
      </c>
      <c r="H11" s="14"/>
      <c r="I11" s="51"/>
      <c r="J11" s="64"/>
      <c r="K11" s="79"/>
      <c r="L11" s="64"/>
      <c r="M11" s="79"/>
      <c r="N11" s="64"/>
      <c r="O11" s="64"/>
      <c r="P11" s="64"/>
      <c r="Q11" s="64"/>
      <c r="R11" s="64"/>
      <c r="S11" s="64"/>
      <c r="T11" s="64"/>
      <c r="U11" s="64"/>
    </row>
    <row r="12" spans="1:21" s="15" customFormat="1" ht="11.45" customHeight="1" x14ac:dyDescent="0.25">
      <c r="A12" s="11"/>
      <c r="B12" s="11"/>
      <c r="C12" s="12" t="s">
        <v>426</v>
      </c>
      <c r="D12" s="13"/>
      <c r="E12" s="13"/>
      <c r="F12" s="14"/>
      <c r="G12" s="14">
        <v>965</v>
      </c>
      <c r="H12" s="14"/>
      <c r="I12" s="51"/>
      <c r="J12" s="64"/>
      <c r="K12" s="79"/>
      <c r="L12" s="64"/>
      <c r="M12" s="79"/>
      <c r="N12" s="64"/>
      <c r="O12" s="64"/>
      <c r="P12" s="64"/>
      <c r="Q12" s="64"/>
      <c r="R12" s="64"/>
      <c r="S12" s="64"/>
      <c r="T12" s="64"/>
      <c r="U12" s="64"/>
    </row>
    <row r="13" spans="1:21" s="15" customFormat="1" ht="11.45" customHeight="1" x14ac:dyDescent="0.25">
      <c r="A13" s="11"/>
      <c r="B13" s="11"/>
      <c r="C13" s="12" t="s">
        <v>428</v>
      </c>
      <c r="D13" s="13"/>
      <c r="E13" s="13"/>
      <c r="F13" s="14"/>
      <c r="G13" s="14">
        <v>1748</v>
      </c>
      <c r="H13" s="14"/>
      <c r="I13" s="51"/>
      <c r="J13" s="64"/>
      <c r="K13" s="79"/>
      <c r="L13" s="64"/>
      <c r="M13" s="79"/>
      <c r="N13" s="64"/>
      <c r="O13" s="64"/>
      <c r="P13" s="64"/>
      <c r="Q13" s="64"/>
      <c r="R13" s="64"/>
      <c r="S13" s="64"/>
      <c r="T13" s="64"/>
      <c r="U13" s="64"/>
    </row>
    <row r="14" spans="1:21" s="15" customFormat="1" ht="11.45" customHeight="1" x14ac:dyDescent="0.25">
      <c r="A14" s="11"/>
      <c r="B14" s="11"/>
      <c r="C14" s="12" t="s">
        <v>429</v>
      </c>
      <c r="D14" s="13"/>
      <c r="E14" s="13"/>
      <c r="F14" s="14"/>
      <c r="G14" s="14">
        <v>3000</v>
      </c>
      <c r="H14" s="14"/>
      <c r="I14" s="51"/>
      <c r="J14" s="64"/>
      <c r="K14" s="79"/>
      <c r="L14" s="64"/>
      <c r="M14" s="79"/>
      <c r="N14" s="64"/>
      <c r="O14" s="64"/>
      <c r="P14" s="64"/>
      <c r="Q14" s="64"/>
      <c r="R14" s="64"/>
      <c r="S14" s="64"/>
      <c r="T14" s="64"/>
      <c r="U14" s="64"/>
    </row>
    <row r="15" spans="1:21" s="15" customFormat="1" ht="11.45" customHeight="1" x14ac:dyDescent="0.25">
      <c r="A15" s="11"/>
      <c r="B15" s="11"/>
      <c r="C15" s="12" t="s">
        <v>431</v>
      </c>
      <c r="D15" s="13"/>
      <c r="E15" s="13"/>
      <c r="F15" s="14"/>
      <c r="G15" s="14">
        <v>1237</v>
      </c>
      <c r="H15" s="14"/>
      <c r="I15" s="51"/>
      <c r="J15" s="64"/>
      <c r="K15" s="79"/>
      <c r="L15" s="64"/>
      <c r="M15" s="79"/>
      <c r="N15" s="64"/>
      <c r="O15" s="64"/>
      <c r="P15" s="64"/>
      <c r="Q15" s="64"/>
      <c r="R15" s="64"/>
      <c r="S15" s="64"/>
      <c r="T15" s="64"/>
      <c r="U15" s="64"/>
    </row>
    <row r="16" spans="1:21" s="15" customFormat="1" ht="11.45" customHeight="1" x14ac:dyDescent="0.25">
      <c r="A16" s="11"/>
      <c r="B16" s="11"/>
      <c r="C16" s="12" t="s">
        <v>425</v>
      </c>
      <c r="D16" s="13"/>
      <c r="E16" s="13"/>
      <c r="F16" s="14"/>
      <c r="G16" s="14">
        <v>3253</v>
      </c>
      <c r="H16" s="14"/>
      <c r="I16" s="51"/>
      <c r="J16" s="64"/>
      <c r="K16" s="79"/>
      <c r="L16" s="64"/>
      <c r="M16" s="79"/>
      <c r="N16" s="64"/>
      <c r="O16" s="64"/>
      <c r="P16" s="64"/>
      <c r="Q16" s="64"/>
      <c r="R16" s="64"/>
      <c r="S16" s="64"/>
      <c r="T16" s="64"/>
      <c r="U16" s="64"/>
    </row>
    <row r="17" spans="1:21" s="15" customFormat="1" ht="11.45" customHeight="1" x14ac:dyDescent="0.25">
      <c r="A17" s="11"/>
      <c r="B17" s="11"/>
      <c r="C17" s="12" t="s">
        <v>433</v>
      </c>
      <c r="D17" s="13"/>
      <c r="E17" s="13"/>
      <c r="F17" s="14"/>
      <c r="G17" s="14">
        <v>1305</v>
      </c>
      <c r="H17" s="14"/>
      <c r="I17" s="51"/>
      <c r="J17" s="64"/>
      <c r="K17" s="79"/>
      <c r="L17" s="64"/>
      <c r="M17" s="79"/>
      <c r="N17" s="64"/>
      <c r="O17" s="64"/>
      <c r="P17" s="64"/>
      <c r="Q17" s="64"/>
      <c r="R17" s="64"/>
      <c r="S17" s="64"/>
      <c r="T17" s="64"/>
      <c r="U17" s="64"/>
    </row>
    <row r="18" spans="1:21" s="15" customFormat="1" ht="11.45" customHeight="1" x14ac:dyDescent="0.25">
      <c r="A18" s="11"/>
      <c r="B18" s="11"/>
      <c r="C18" s="12" t="s">
        <v>430</v>
      </c>
      <c r="D18" s="13"/>
      <c r="E18" s="13"/>
      <c r="F18" s="14"/>
      <c r="G18" s="14">
        <v>2679</v>
      </c>
      <c r="H18" s="14"/>
      <c r="I18" s="51"/>
      <c r="J18" s="64"/>
      <c r="K18" s="79"/>
      <c r="L18" s="64"/>
      <c r="M18" s="79"/>
      <c r="N18" s="64"/>
      <c r="O18" s="64"/>
      <c r="P18" s="64"/>
      <c r="Q18" s="64"/>
      <c r="R18" s="64"/>
      <c r="S18" s="64"/>
      <c r="T18" s="64"/>
      <c r="U18" s="64"/>
    </row>
    <row r="19" spans="1:21" s="15" customFormat="1" ht="11.45" customHeight="1" x14ac:dyDescent="0.25">
      <c r="A19" s="11"/>
      <c r="B19" s="11"/>
      <c r="C19" s="12" t="s">
        <v>432</v>
      </c>
      <c r="D19" s="13"/>
      <c r="E19" s="13"/>
      <c r="F19" s="14"/>
      <c r="G19" s="14">
        <v>1501</v>
      </c>
      <c r="H19" s="14"/>
      <c r="I19" s="51"/>
      <c r="J19" s="64"/>
      <c r="K19" s="79"/>
      <c r="L19" s="64"/>
      <c r="M19" s="79"/>
      <c r="N19" s="64"/>
      <c r="O19" s="64"/>
      <c r="P19" s="64"/>
      <c r="Q19" s="64"/>
      <c r="R19" s="64"/>
      <c r="S19" s="64"/>
      <c r="T19" s="64"/>
      <c r="U19" s="64"/>
    </row>
    <row r="20" spans="1:21" s="15" customFormat="1" ht="11.45" customHeight="1" x14ac:dyDescent="0.25">
      <c r="A20" s="11"/>
      <c r="B20" s="11"/>
      <c r="C20" s="12" t="s">
        <v>434</v>
      </c>
      <c r="D20" s="13"/>
      <c r="E20" s="13"/>
      <c r="F20" s="14"/>
      <c r="G20" s="14">
        <v>2439</v>
      </c>
      <c r="H20" s="14"/>
      <c r="I20" s="51"/>
      <c r="J20" s="64"/>
      <c r="K20" s="79"/>
      <c r="L20" s="64"/>
      <c r="M20" s="79"/>
      <c r="N20" s="64"/>
      <c r="O20" s="64"/>
      <c r="P20" s="64"/>
      <c r="Q20" s="64"/>
      <c r="R20" s="64"/>
      <c r="S20" s="64"/>
      <c r="T20" s="64"/>
      <c r="U20" s="64"/>
    </row>
    <row r="21" spans="1:21" s="15" customFormat="1" ht="11.45" customHeight="1" x14ac:dyDescent="0.25">
      <c r="A21" s="11"/>
      <c r="B21" s="11"/>
      <c r="C21" s="12" t="s">
        <v>435</v>
      </c>
      <c r="D21" s="13"/>
      <c r="E21" s="13"/>
      <c r="F21" s="14"/>
      <c r="G21" s="14">
        <v>2171</v>
      </c>
      <c r="H21" s="14"/>
      <c r="I21" s="51"/>
      <c r="J21" s="64"/>
      <c r="K21" s="79"/>
      <c r="L21" s="64"/>
      <c r="M21" s="79"/>
      <c r="N21" s="64"/>
      <c r="O21" s="64"/>
      <c r="P21" s="64"/>
      <c r="Q21" s="64"/>
      <c r="R21" s="64"/>
      <c r="S21" s="64"/>
      <c r="T21" s="64"/>
      <c r="U21" s="64"/>
    </row>
    <row r="22" spans="1:21" s="15" customFormat="1" ht="11.45" customHeight="1" x14ac:dyDescent="0.25">
      <c r="A22" s="11"/>
      <c r="B22" s="11"/>
      <c r="C22" s="12" t="s">
        <v>436</v>
      </c>
      <c r="D22" s="13"/>
      <c r="E22" s="13"/>
      <c r="F22" s="14"/>
      <c r="G22" s="14"/>
      <c r="H22" s="14"/>
      <c r="I22" s="51">
        <v>2292</v>
      </c>
      <c r="J22" s="64"/>
      <c r="K22" s="79"/>
      <c r="L22" s="64"/>
      <c r="M22" s="79"/>
      <c r="N22" s="64"/>
      <c r="O22" s="64"/>
      <c r="P22" s="64"/>
      <c r="Q22" s="64"/>
      <c r="R22" s="64"/>
      <c r="S22" s="64"/>
      <c r="T22" s="64"/>
      <c r="U22" s="64"/>
    </row>
    <row r="23" spans="1:21" s="15" customFormat="1" ht="11.45" customHeight="1" x14ac:dyDescent="0.25">
      <c r="A23" s="11"/>
      <c r="B23" s="11"/>
      <c r="C23" s="12" t="s">
        <v>437</v>
      </c>
      <c r="D23" s="13"/>
      <c r="E23" s="13"/>
      <c r="F23" s="14"/>
      <c r="G23" s="14"/>
      <c r="H23" s="14"/>
      <c r="I23" s="51">
        <v>2151</v>
      </c>
      <c r="J23" s="64"/>
      <c r="K23" s="79"/>
      <c r="L23" s="64"/>
      <c r="M23" s="79"/>
      <c r="N23" s="64"/>
      <c r="O23" s="64"/>
      <c r="P23" s="64"/>
      <c r="Q23" s="64"/>
      <c r="R23" s="64"/>
      <c r="S23" s="64"/>
      <c r="T23" s="64"/>
      <c r="U23" s="64"/>
    </row>
    <row r="24" spans="1:21" s="15" customFormat="1" ht="11.45" customHeight="1" x14ac:dyDescent="0.25">
      <c r="A24" s="11"/>
      <c r="B24" s="11"/>
      <c r="C24" s="12" t="s">
        <v>438</v>
      </c>
      <c r="D24" s="13"/>
      <c r="E24" s="13"/>
      <c r="F24" s="14"/>
      <c r="G24" s="14"/>
      <c r="H24" s="14"/>
      <c r="I24" s="51">
        <v>1907</v>
      </c>
      <c r="J24" s="64"/>
      <c r="K24" s="79"/>
      <c r="L24" s="64"/>
      <c r="M24" s="79"/>
      <c r="N24" s="64"/>
      <c r="O24" s="64"/>
      <c r="P24" s="64"/>
      <c r="Q24" s="64"/>
      <c r="R24" s="64"/>
      <c r="S24" s="64"/>
      <c r="T24" s="64"/>
      <c r="U24" s="64"/>
    </row>
    <row r="25" spans="1:21" s="15" customFormat="1" ht="11.45" customHeight="1" x14ac:dyDescent="0.25">
      <c r="A25" s="11"/>
      <c r="B25" s="11"/>
      <c r="C25" s="12" t="s">
        <v>439</v>
      </c>
      <c r="D25" s="13"/>
      <c r="E25" s="13"/>
      <c r="F25" s="14"/>
      <c r="G25" s="14"/>
      <c r="H25" s="14"/>
      <c r="I25" s="51">
        <v>2028</v>
      </c>
      <c r="J25" s="64"/>
      <c r="K25" s="79"/>
      <c r="L25" s="64"/>
      <c r="M25" s="79"/>
      <c r="N25" s="64"/>
      <c r="O25" s="64"/>
      <c r="P25" s="64"/>
      <c r="Q25" s="64"/>
      <c r="R25" s="64"/>
      <c r="S25" s="64"/>
      <c r="T25" s="64"/>
      <c r="U25" s="64"/>
    </row>
    <row r="26" spans="1:21" s="15" customFormat="1" ht="11.45" customHeight="1" x14ac:dyDescent="0.25">
      <c r="A26" s="11"/>
      <c r="B26" s="11"/>
      <c r="C26" s="12" t="s">
        <v>440</v>
      </c>
      <c r="D26" s="13"/>
      <c r="E26" s="13"/>
      <c r="F26" s="14"/>
      <c r="G26" s="14"/>
      <c r="H26" s="14"/>
      <c r="I26" s="51">
        <f>1843+7*12</f>
        <v>1927</v>
      </c>
      <c r="J26" s="64"/>
      <c r="K26" s="79"/>
      <c r="L26" s="64"/>
      <c r="M26" s="79"/>
      <c r="N26" s="64"/>
      <c r="O26" s="64"/>
      <c r="P26" s="64"/>
      <c r="Q26" s="64"/>
      <c r="R26" s="64"/>
      <c r="S26" s="64"/>
      <c r="T26" s="64"/>
      <c r="U26" s="64"/>
    </row>
    <row r="27" spans="1:21" s="15" customFormat="1" ht="11.45" customHeight="1" x14ac:dyDescent="0.25">
      <c r="A27" s="11"/>
      <c r="B27" s="11"/>
      <c r="C27" s="12" t="s">
        <v>441</v>
      </c>
      <c r="D27" s="13"/>
      <c r="E27" s="13"/>
      <c r="F27" s="14"/>
      <c r="G27" s="14"/>
      <c r="H27" s="14"/>
      <c r="I27" s="51">
        <v>2045</v>
      </c>
      <c r="J27" s="64"/>
      <c r="K27" s="79"/>
      <c r="L27" s="64"/>
      <c r="M27" s="79"/>
      <c r="N27" s="64"/>
      <c r="O27" s="64"/>
      <c r="P27" s="64"/>
      <c r="Q27" s="64"/>
      <c r="R27" s="64"/>
      <c r="S27" s="64"/>
      <c r="T27" s="64"/>
      <c r="U27" s="64"/>
    </row>
    <row r="28" spans="1:21" s="15" customFormat="1" ht="11.45" customHeight="1" x14ac:dyDescent="0.25">
      <c r="A28" s="11"/>
      <c r="B28" s="11"/>
      <c r="C28" s="12" t="s">
        <v>442</v>
      </c>
      <c r="D28" s="13"/>
      <c r="E28" s="13"/>
      <c r="F28" s="14"/>
      <c r="G28" s="14"/>
      <c r="H28" s="14"/>
      <c r="I28" s="51"/>
      <c r="J28" s="64"/>
      <c r="K28" s="79"/>
      <c r="L28" s="64"/>
      <c r="M28" s="79">
        <v>1901</v>
      </c>
      <c r="N28" s="64"/>
      <c r="O28" s="64"/>
      <c r="P28" s="64"/>
      <c r="Q28" s="64"/>
      <c r="R28" s="64"/>
      <c r="S28" s="64"/>
      <c r="T28" s="64"/>
      <c r="U28" s="64"/>
    </row>
    <row r="29" spans="1:21" s="15" customFormat="1" ht="11.45" customHeight="1" x14ac:dyDescent="0.25">
      <c r="A29" s="11"/>
      <c r="B29" s="11"/>
      <c r="C29" s="12" t="s">
        <v>443</v>
      </c>
      <c r="D29" s="13"/>
      <c r="E29" s="13"/>
      <c r="F29" s="14"/>
      <c r="G29" s="14"/>
      <c r="H29" s="14"/>
      <c r="I29" s="51"/>
      <c r="J29" s="64"/>
      <c r="K29" s="79"/>
      <c r="L29" s="64"/>
      <c r="M29" s="79">
        <v>1883</v>
      </c>
      <c r="N29" s="64"/>
      <c r="O29" s="64"/>
      <c r="P29" s="64"/>
      <c r="Q29" s="64"/>
      <c r="R29" s="64"/>
      <c r="S29" s="64"/>
      <c r="T29" s="64"/>
      <c r="U29" s="64"/>
    </row>
    <row r="30" spans="1:21" s="15" customFormat="1" ht="11.45" customHeight="1" x14ac:dyDescent="0.25">
      <c r="A30" s="11"/>
      <c r="B30" s="11"/>
      <c r="C30" s="12" t="s">
        <v>444</v>
      </c>
      <c r="D30" s="13"/>
      <c r="E30" s="13"/>
      <c r="F30" s="14"/>
      <c r="G30" s="14"/>
      <c r="H30" s="14"/>
      <c r="I30" s="51"/>
      <c r="J30" s="64"/>
      <c r="K30" s="79"/>
      <c r="L30" s="64"/>
      <c r="M30" s="79">
        <v>1883</v>
      </c>
      <c r="N30" s="64"/>
      <c r="O30" s="64"/>
      <c r="P30" s="64"/>
      <c r="Q30" s="64"/>
      <c r="R30" s="64"/>
      <c r="S30" s="64"/>
      <c r="T30" s="64"/>
      <c r="U30" s="64"/>
    </row>
    <row r="31" spans="1:21" s="15" customFormat="1" ht="11.45" customHeight="1" x14ac:dyDescent="0.25">
      <c r="A31" s="11"/>
      <c r="B31" s="11"/>
      <c r="C31" s="12" t="s">
        <v>445</v>
      </c>
      <c r="D31" s="13"/>
      <c r="E31" s="13"/>
      <c r="F31" s="14"/>
      <c r="G31" s="14"/>
      <c r="H31" s="14"/>
      <c r="I31" s="51"/>
      <c r="J31" s="64"/>
      <c r="K31" s="79"/>
      <c r="L31" s="64"/>
      <c r="M31" s="79">
        <v>1730</v>
      </c>
      <c r="N31" s="64"/>
      <c r="O31" s="64"/>
      <c r="P31" s="64"/>
      <c r="Q31" s="64"/>
      <c r="R31" s="64"/>
      <c r="S31" s="64"/>
      <c r="T31" s="64"/>
      <c r="U31" s="64"/>
    </row>
    <row r="32" spans="1:21" s="15" customFormat="1" ht="11.45" customHeight="1" x14ac:dyDescent="0.25">
      <c r="A32" s="11"/>
      <c r="B32" s="11"/>
      <c r="C32" s="12" t="s">
        <v>446</v>
      </c>
      <c r="D32" s="13"/>
      <c r="E32" s="13"/>
      <c r="F32" s="14"/>
      <c r="G32" s="14"/>
      <c r="H32" s="14"/>
      <c r="I32" s="51"/>
      <c r="J32" s="64"/>
      <c r="K32" s="79"/>
      <c r="L32" s="64"/>
      <c r="M32" s="79">
        <v>1830</v>
      </c>
      <c r="N32" s="64"/>
      <c r="O32" s="64"/>
      <c r="P32" s="64"/>
      <c r="Q32" s="64"/>
      <c r="R32" s="64"/>
      <c r="S32" s="64"/>
      <c r="T32" s="64"/>
      <c r="U32" s="64"/>
    </row>
    <row r="33" spans="1:21" s="15" customFormat="1" ht="11.45" customHeight="1" x14ac:dyDescent="0.25">
      <c r="A33" s="11"/>
      <c r="B33" s="11"/>
      <c r="C33" s="12" t="s">
        <v>447</v>
      </c>
      <c r="D33" s="13"/>
      <c r="E33" s="13"/>
      <c r="F33" s="14"/>
      <c r="G33" s="14"/>
      <c r="H33" s="14"/>
      <c r="I33" s="51"/>
      <c r="J33" s="64"/>
      <c r="K33" s="79"/>
      <c r="L33" s="64"/>
      <c r="M33" s="79">
        <v>2113</v>
      </c>
      <c r="N33" s="64"/>
      <c r="O33" s="64"/>
      <c r="P33" s="64"/>
      <c r="Q33" s="64"/>
      <c r="R33" s="64"/>
      <c r="S33" s="64"/>
      <c r="T33" s="64"/>
      <c r="U33" s="64"/>
    </row>
    <row r="34" spans="1:21" s="15" customFormat="1" ht="11.45" customHeight="1" x14ac:dyDescent="0.25">
      <c r="A34" s="11"/>
      <c r="B34" s="11"/>
      <c r="C34" s="12" t="s">
        <v>448</v>
      </c>
      <c r="D34" s="13"/>
      <c r="E34" s="13"/>
      <c r="F34" s="14"/>
      <c r="G34" s="14"/>
      <c r="H34" s="14"/>
      <c r="I34" s="51"/>
      <c r="J34" s="64"/>
      <c r="K34" s="79"/>
      <c r="L34" s="64"/>
      <c r="M34" s="79">
        <v>1865</v>
      </c>
      <c r="N34" s="64"/>
      <c r="O34" s="64"/>
      <c r="P34" s="64"/>
      <c r="Q34" s="64"/>
      <c r="R34" s="64"/>
      <c r="S34" s="64"/>
      <c r="T34" s="64"/>
      <c r="U34" s="64"/>
    </row>
    <row r="35" spans="1:21" s="15" customFormat="1" ht="11.45" customHeight="1" x14ac:dyDescent="0.25">
      <c r="A35" s="11"/>
      <c r="B35" s="11"/>
      <c r="C35" s="12" t="s">
        <v>449</v>
      </c>
      <c r="D35" s="13"/>
      <c r="E35" s="13"/>
      <c r="F35" s="14"/>
      <c r="G35" s="14"/>
      <c r="H35" s="14"/>
      <c r="I35" s="51"/>
      <c r="J35" s="64"/>
      <c r="K35" s="79"/>
      <c r="L35" s="64"/>
      <c r="M35" s="79">
        <v>1541</v>
      </c>
      <c r="N35" s="64"/>
      <c r="O35" s="64"/>
      <c r="P35" s="64"/>
      <c r="Q35" s="64"/>
      <c r="R35" s="64"/>
      <c r="S35" s="64"/>
      <c r="T35" s="64"/>
      <c r="U35" s="64"/>
    </row>
    <row r="36" spans="1:21" s="15" customFormat="1" ht="11.45" customHeight="1" x14ac:dyDescent="0.25">
      <c r="A36" s="11"/>
      <c r="B36" s="11"/>
      <c r="C36" s="12" t="s">
        <v>450</v>
      </c>
      <c r="D36" s="13"/>
      <c r="E36" s="13"/>
      <c r="F36" s="14"/>
      <c r="G36" s="14"/>
      <c r="H36" s="14"/>
      <c r="I36" s="51"/>
      <c r="J36" s="64"/>
      <c r="K36" s="79"/>
      <c r="L36" s="64"/>
      <c r="M36" s="79">
        <v>1768</v>
      </c>
      <c r="N36" s="64"/>
      <c r="O36" s="64"/>
      <c r="P36" s="64"/>
      <c r="Q36" s="64"/>
      <c r="R36" s="64"/>
      <c r="S36" s="64"/>
      <c r="T36" s="64"/>
      <c r="U36" s="64"/>
    </row>
    <row r="37" spans="1:21" s="15" customFormat="1" ht="11.45" customHeight="1" x14ac:dyDescent="0.25">
      <c r="A37" s="11"/>
      <c r="B37" s="11"/>
      <c r="C37" s="12" t="s">
        <v>451</v>
      </c>
      <c r="D37" s="13"/>
      <c r="E37" s="13"/>
      <c r="F37" s="14"/>
      <c r="G37" s="14"/>
      <c r="H37" s="14"/>
      <c r="I37" s="51"/>
      <c r="J37" s="64"/>
      <c r="K37" s="79"/>
      <c r="L37" s="64"/>
      <c r="M37" s="79">
        <v>1676</v>
      </c>
      <c r="N37" s="64"/>
      <c r="O37" s="64"/>
      <c r="P37" s="64"/>
      <c r="Q37" s="64"/>
      <c r="R37" s="64"/>
      <c r="S37" s="64"/>
      <c r="T37" s="64"/>
      <c r="U37" s="64"/>
    </row>
    <row r="38" spans="1:21" s="15" customFormat="1" ht="11.45" customHeight="1" x14ac:dyDescent="0.25">
      <c r="A38" s="11"/>
      <c r="B38" s="11"/>
      <c r="C38" s="12" t="s">
        <v>452</v>
      </c>
      <c r="D38" s="13"/>
      <c r="E38" s="13"/>
      <c r="F38" s="14"/>
      <c r="G38" s="14"/>
      <c r="H38" s="14"/>
      <c r="I38" s="51"/>
      <c r="J38" s="64"/>
      <c r="K38" s="79"/>
      <c r="L38" s="64"/>
      <c r="M38" s="79">
        <v>1761</v>
      </c>
      <c r="N38" s="64"/>
      <c r="O38" s="64"/>
      <c r="P38" s="64"/>
      <c r="Q38" s="64"/>
      <c r="R38" s="64"/>
      <c r="S38" s="64"/>
      <c r="T38" s="64"/>
      <c r="U38" s="64"/>
    </row>
    <row r="39" spans="1:21" s="15" customFormat="1" ht="11.45" customHeight="1" x14ac:dyDescent="0.25">
      <c r="A39" s="11"/>
      <c r="B39" s="11"/>
      <c r="C39" s="12" t="s">
        <v>453</v>
      </c>
      <c r="D39" s="13"/>
      <c r="E39" s="13"/>
      <c r="F39" s="14"/>
      <c r="G39" s="14"/>
      <c r="H39" s="14"/>
      <c r="I39" s="51"/>
      <c r="J39" s="64"/>
      <c r="K39" s="79"/>
      <c r="L39" s="64"/>
      <c r="M39" s="79">
        <v>2875</v>
      </c>
      <c r="N39" s="64"/>
      <c r="O39" s="64"/>
      <c r="P39" s="64"/>
      <c r="Q39" s="64"/>
      <c r="R39" s="64"/>
      <c r="S39" s="64"/>
      <c r="T39" s="64"/>
      <c r="U39" s="64"/>
    </row>
    <row r="40" spans="1:21" s="15" customFormat="1" ht="11.45" customHeight="1" x14ac:dyDescent="0.25">
      <c r="A40" s="11"/>
      <c r="B40" s="11"/>
      <c r="C40" s="12" t="s">
        <v>454</v>
      </c>
      <c r="D40" s="13"/>
      <c r="E40" s="13"/>
      <c r="F40" s="14"/>
      <c r="G40" s="14"/>
      <c r="H40" s="14"/>
      <c r="I40" s="51"/>
      <c r="J40" s="64"/>
      <c r="K40" s="79"/>
      <c r="L40" s="64"/>
      <c r="M40" s="79">
        <v>3111</v>
      </c>
      <c r="N40" s="64"/>
      <c r="O40" s="64"/>
      <c r="P40" s="64"/>
      <c r="Q40" s="64"/>
      <c r="R40" s="64"/>
      <c r="S40" s="64"/>
      <c r="T40" s="64"/>
      <c r="U40" s="64"/>
    </row>
    <row r="41" spans="1:21" s="15" customFormat="1" ht="11.45" customHeight="1" x14ac:dyDescent="0.25">
      <c r="A41" s="11"/>
      <c r="B41" s="11"/>
      <c r="C41" s="12" t="s">
        <v>455</v>
      </c>
      <c r="D41" s="13"/>
      <c r="E41" s="13"/>
      <c r="F41" s="14"/>
      <c r="G41" s="14"/>
      <c r="H41" s="14"/>
      <c r="I41" s="51"/>
      <c r="J41" s="64"/>
      <c r="K41" s="79"/>
      <c r="L41" s="64"/>
      <c r="M41" s="79">
        <v>1786</v>
      </c>
      <c r="N41" s="64"/>
      <c r="O41" s="64"/>
      <c r="P41" s="64"/>
      <c r="Q41" s="64"/>
      <c r="R41" s="64"/>
      <c r="S41" s="64"/>
      <c r="T41" s="64"/>
      <c r="U41" s="64"/>
    </row>
    <row r="42" spans="1:21" s="15" customFormat="1" ht="11.45" customHeight="1" x14ac:dyDescent="0.25">
      <c r="A42" s="11"/>
      <c r="B42" s="11"/>
      <c r="C42" s="12" t="s">
        <v>456</v>
      </c>
      <c r="D42" s="13"/>
      <c r="E42" s="13"/>
      <c r="F42" s="14"/>
      <c r="G42" s="14"/>
      <c r="H42" s="14"/>
      <c r="I42" s="51"/>
      <c r="J42" s="64"/>
      <c r="K42" s="79"/>
      <c r="L42" s="64"/>
      <c r="M42" s="79">
        <v>2574</v>
      </c>
      <c r="N42" s="64"/>
      <c r="O42" s="64"/>
      <c r="P42" s="64"/>
      <c r="Q42" s="64"/>
      <c r="R42" s="64"/>
      <c r="S42" s="64"/>
      <c r="T42" s="64"/>
      <c r="U42" s="64"/>
    </row>
    <row r="43" spans="1:21" s="15" customFormat="1" ht="11.45" customHeight="1" x14ac:dyDescent="0.25">
      <c r="A43" s="11"/>
      <c r="B43" s="11"/>
      <c r="C43" s="12" t="s">
        <v>457</v>
      </c>
      <c r="D43" s="13"/>
      <c r="E43" s="13"/>
      <c r="F43" s="14"/>
      <c r="G43" s="14"/>
      <c r="H43" s="14"/>
      <c r="I43" s="51"/>
      <c r="J43" s="64"/>
      <c r="K43" s="79"/>
      <c r="L43" s="64"/>
      <c r="M43" s="79">
        <v>2484</v>
      </c>
      <c r="N43" s="64"/>
      <c r="O43" s="64"/>
      <c r="P43" s="64"/>
      <c r="Q43" s="64"/>
      <c r="R43" s="64"/>
      <c r="S43" s="64"/>
      <c r="T43" s="64"/>
      <c r="U43" s="64"/>
    </row>
    <row r="44" spans="1:21" s="15" customFormat="1" ht="11.45" customHeight="1" x14ac:dyDescent="0.25">
      <c r="A44" s="11"/>
      <c r="B44" s="11"/>
      <c r="C44" s="12" t="s">
        <v>458</v>
      </c>
      <c r="D44" s="13"/>
      <c r="E44" s="13"/>
      <c r="F44" s="14"/>
      <c r="G44" s="14"/>
      <c r="H44" s="14"/>
      <c r="I44" s="51"/>
      <c r="J44" s="64"/>
      <c r="K44" s="79"/>
      <c r="L44" s="64"/>
      <c r="M44" s="79">
        <v>0</v>
      </c>
      <c r="N44" s="64"/>
      <c r="O44" s="64"/>
      <c r="P44" s="64"/>
      <c r="Q44" s="64"/>
      <c r="R44" s="64"/>
      <c r="S44" s="64"/>
      <c r="T44" s="64"/>
      <c r="U44" s="64"/>
    </row>
    <row r="45" spans="1:21" s="15" customFormat="1" ht="11.45" customHeight="1" x14ac:dyDescent="0.25">
      <c r="A45" s="11"/>
      <c r="B45" s="11"/>
      <c r="C45" s="12" t="s">
        <v>459</v>
      </c>
      <c r="D45" s="13"/>
      <c r="E45" s="13"/>
      <c r="F45" s="14"/>
      <c r="G45" s="14"/>
      <c r="H45" s="14"/>
      <c r="I45" s="51"/>
      <c r="J45" s="64"/>
      <c r="K45" s="79"/>
      <c r="L45" s="64"/>
      <c r="M45" s="79">
        <v>1687</v>
      </c>
      <c r="N45" s="64"/>
      <c r="O45" s="64"/>
      <c r="P45" s="64"/>
      <c r="Q45" s="64"/>
      <c r="R45" s="64"/>
      <c r="S45" s="64"/>
      <c r="T45" s="64"/>
      <c r="U45" s="64"/>
    </row>
    <row r="46" spans="1:21" s="15" customFormat="1" ht="11.45" customHeight="1" x14ac:dyDescent="0.25">
      <c r="A46" s="11"/>
      <c r="B46" s="11"/>
      <c r="C46" s="12" t="s">
        <v>461</v>
      </c>
      <c r="D46" s="13"/>
      <c r="E46" s="13"/>
      <c r="F46" s="14"/>
      <c r="G46" s="14"/>
      <c r="H46" s="14"/>
      <c r="I46" s="51"/>
      <c r="J46" s="64"/>
      <c r="K46" s="79"/>
      <c r="L46" s="64"/>
      <c r="M46" s="79">
        <v>2392</v>
      </c>
      <c r="N46" s="64"/>
      <c r="O46" s="64"/>
      <c r="P46" s="64"/>
      <c r="Q46" s="64"/>
      <c r="R46" s="64"/>
      <c r="S46" s="64"/>
      <c r="T46" s="64"/>
      <c r="U46" s="64"/>
    </row>
    <row r="47" spans="1:21" s="15" customFormat="1" ht="11.45" customHeight="1" x14ac:dyDescent="0.25">
      <c r="A47" s="11"/>
      <c r="B47" s="11"/>
      <c r="C47" s="12" t="s">
        <v>462</v>
      </c>
      <c r="D47" s="13"/>
      <c r="E47" s="13"/>
      <c r="F47" s="14"/>
      <c r="G47" s="14"/>
      <c r="H47" s="14"/>
      <c r="I47" s="51"/>
      <c r="J47" s="64"/>
      <c r="K47" s="79"/>
      <c r="L47" s="64"/>
      <c r="M47" s="79">
        <v>1717</v>
      </c>
      <c r="N47" s="64"/>
      <c r="O47" s="64"/>
      <c r="P47" s="64"/>
      <c r="Q47" s="64"/>
      <c r="R47" s="64"/>
      <c r="S47" s="64"/>
      <c r="T47" s="64"/>
      <c r="U47" s="64"/>
    </row>
    <row r="48" spans="1:21" s="15" customFormat="1" ht="11.45" customHeight="1" x14ac:dyDescent="0.25">
      <c r="A48" s="11"/>
      <c r="B48" s="11"/>
      <c r="C48" s="12" t="s">
        <v>460</v>
      </c>
      <c r="D48" s="13"/>
      <c r="E48" s="13"/>
      <c r="F48" s="14"/>
      <c r="G48" s="14"/>
      <c r="H48" s="14"/>
      <c r="I48" s="51"/>
      <c r="J48" s="64"/>
      <c r="K48" s="79"/>
      <c r="L48" s="64"/>
      <c r="M48" s="79">
        <v>1797</v>
      </c>
      <c r="N48" s="64"/>
      <c r="O48" s="64"/>
      <c r="P48" s="64"/>
      <c r="Q48" s="64"/>
      <c r="R48" s="64"/>
      <c r="S48" s="64"/>
      <c r="T48" s="64"/>
      <c r="U48" s="64"/>
    </row>
    <row r="49" spans="1:21" s="15" customFormat="1" ht="11.45" customHeight="1" x14ac:dyDescent="0.25">
      <c r="A49" s="11"/>
      <c r="B49" s="11"/>
      <c r="C49" s="12" t="s">
        <v>463</v>
      </c>
      <c r="D49" s="13"/>
      <c r="E49" s="13"/>
      <c r="F49" s="14"/>
      <c r="G49" s="14"/>
      <c r="H49" s="14"/>
      <c r="I49" s="51"/>
      <c r="J49" s="64"/>
      <c r="K49" s="79"/>
      <c r="L49" s="64"/>
      <c r="M49" s="79">
        <v>1830</v>
      </c>
      <c r="N49" s="64"/>
      <c r="O49" s="64"/>
      <c r="P49" s="64"/>
      <c r="Q49" s="64"/>
      <c r="R49" s="64"/>
      <c r="S49" s="64"/>
      <c r="T49" s="64"/>
      <c r="U49" s="64"/>
    </row>
    <row r="50" spans="1:21" s="15" customFormat="1" ht="11.45" customHeight="1" x14ac:dyDescent="0.25">
      <c r="A50" s="11"/>
      <c r="B50" s="11"/>
      <c r="C50" s="12" t="s">
        <v>464</v>
      </c>
      <c r="D50" s="13"/>
      <c r="E50" s="13"/>
      <c r="F50" s="14"/>
      <c r="G50" s="14"/>
      <c r="H50" s="14"/>
      <c r="I50" s="51"/>
      <c r="J50" s="64"/>
      <c r="K50" s="79"/>
      <c r="L50" s="64"/>
      <c r="M50" s="79">
        <v>2156</v>
      </c>
      <c r="N50" s="64"/>
      <c r="O50" s="64"/>
      <c r="P50" s="64"/>
      <c r="Q50" s="64"/>
      <c r="R50" s="64"/>
      <c r="S50" s="64"/>
      <c r="T50" s="64"/>
      <c r="U50" s="64"/>
    </row>
    <row r="51" spans="1:21" s="15" customFormat="1" ht="11.45" customHeight="1" x14ac:dyDescent="0.25">
      <c r="A51" s="11"/>
      <c r="B51" s="11"/>
      <c r="C51" s="12" t="s">
        <v>465</v>
      </c>
      <c r="D51" s="13"/>
      <c r="E51" s="13"/>
      <c r="F51" s="14"/>
      <c r="G51" s="14"/>
      <c r="H51" s="14"/>
      <c r="I51" s="51"/>
      <c r="J51" s="64"/>
      <c r="K51" s="79"/>
      <c r="L51" s="64"/>
      <c r="M51" s="79">
        <v>2264</v>
      </c>
      <c r="N51" s="64"/>
      <c r="O51" s="64"/>
      <c r="P51" s="64"/>
      <c r="Q51" s="64"/>
      <c r="R51" s="64"/>
      <c r="S51" s="64"/>
      <c r="T51" s="64"/>
      <c r="U51" s="64"/>
    </row>
    <row r="52" spans="1:21" s="15" customFormat="1" ht="11.45" customHeight="1" x14ac:dyDescent="0.25">
      <c r="A52" s="11"/>
      <c r="B52" s="11"/>
      <c r="C52" s="12" t="s">
        <v>466</v>
      </c>
      <c r="D52" s="13"/>
      <c r="E52" s="13"/>
      <c r="F52" s="14"/>
      <c r="G52" s="14"/>
      <c r="H52" s="14"/>
      <c r="I52" s="51"/>
      <c r="J52" s="64"/>
      <c r="K52" s="79"/>
      <c r="L52" s="64"/>
      <c r="M52" s="79">
        <v>1888</v>
      </c>
      <c r="N52" s="64"/>
      <c r="O52" s="64"/>
      <c r="P52" s="64"/>
      <c r="Q52" s="64"/>
      <c r="R52" s="64"/>
      <c r="S52" s="64"/>
      <c r="T52" s="64"/>
      <c r="U52" s="64"/>
    </row>
    <row r="53" spans="1:21" s="15" customFormat="1" ht="11.45" customHeight="1" x14ac:dyDescent="0.25">
      <c r="A53" s="11"/>
      <c r="B53" s="11"/>
      <c r="C53" s="12" t="s">
        <v>467</v>
      </c>
      <c r="D53" s="13"/>
      <c r="E53" s="13"/>
      <c r="F53" s="14"/>
      <c r="G53" s="14"/>
      <c r="H53" s="14"/>
      <c r="I53" s="51"/>
      <c r="J53" s="64"/>
      <c r="K53" s="79"/>
      <c r="L53" s="64"/>
      <c r="M53" s="79">
        <v>3600</v>
      </c>
      <c r="N53" s="64"/>
      <c r="O53" s="64"/>
      <c r="P53" s="64"/>
      <c r="Q53" s="64"/>
      <c r="R53" s="64"/>
      <c r="S53" s="64"/>
      <c r="T53" s="64"/>
      <c r="U53" s="64"/>
    </row>
    <row r="54" spans="1:21" s="15" customFormat="1" ht="11.45" customHeight="1" x14ac:dyDescent="0.25">
      <c r="A54" s="11"/>
      <c r="B54" s="11"/>
      <c r="C54" s="12" t="s">
        <v>1249</v>
      </c>
      <c r="D54" s="13"/>
      <c r="E54" s="13"/>
      <c r="F54" s="14"/>
      <c r="G54" s="14"/>
      <c r="H54" s="14"/>
      <c r="I54" s="51"/>
      <c r="J54" s="64"/>
      <c r="K54" s="79"/>
      <c r="L54" s="64"/>
      <c r="M54" s="79">
        <f>60*3*12</f>
        <v>2160</v>
      </c>
      <c r="N54" s="64"/>
      <c r="O54" s="64"/>
      <c r="P54" s="64"/>
      <c r="Q54" s="64"/>
      <c r="R54" s="64"/>
      <c r="S54" s="64"/>
      <c r="T54" s="64"/>
      <c r="U54" s="64"/>
    </row>
    <row r="55" spans="1:21" s="3" customFormat="1" ht="12.75" customHeight="1" x14ac:dyDescent="0.25">
      <c r="A55" s="7" t="s">
        <v>7</v>
      </c>
      <c r="B55" s="7" t="s">
        <v>8</v>
      </c>
      <c r="C55" s="8" t="s">
        <v>9</v>
      </c>
      <c r="D55" s="9">
        <f t="shared" ref="D55:E57" si="0">F55+H55+J55+L55+N55+P55+R55</f>
        <v>0</v>
      </c>
      <c r="E55" s="9">
        <f t="shared" si="0"/>
        <v>0</v>
      </c>
      <c r="F55" s="10">
        <v>0</v>
      </c>
      <c r="G55" s="10">
        <v>0</v>
      </c>
      <c r="H55" s="10">
        <v>0</v>
      </c>
      <c r="I55" s="50">
        <v>0</v>
      </c>
      <c r="J55" s="63">
        <v>0</v>
      </c>
      <c r="K55" s="63">
        <v>0</v>
      </c>
      <c r="L55" s="63">
        <v>0</v>
      </c>
      <c r="M55" s="78">
        <v>0</v>
      </c>
      <c r="N55" s="63">
        <v>0</v>
      </c>
      <c r="O55" s="63">
        <v>0</v>
      </c>
      <c r="P55" s="63">
        <v>0</v>
      </c>
      <c r="Q55" s="63">
        <v>0</v>
      </c>
      <c r="R55" s="63">
        <v>0</v>
      </c>
      <c r="S55" s="63"/>
      <c r="T55" s="63"/>
      <c r="U55" s="63"/>
    </row>
    <row r="56" spans="1:21" s="3" customFormat="1" ht="12.75" customHeight="1" x14ac:dyDescent="0.25">
      <c r="A56" s="7" t="s">
        <v>10</v>
      </c>
      <c r="B56" s="7" t="s">
        <v>11</v>
      </c>
      <c r="C56" s="8" t="s">
        <v>12</v>
      </c>
      <c r="D56" s="9">
        <f t="shared" si="0"/>
        <v>0</v>
      </c>
      <c r="E56" s="9">
        <f t="shared" si="0"/>
        <v>0</v>
      </c>
      <c r="F56" s="10">
        <v>0</v>
      </c>
      <c r="G56" s="10">
        <v>0</v>
      </c>
      <c r="H56" s="10">
        <v>0</v>
      </c>
      <c r="I56" s="50">
        <v>0</v>
      </c>
      <c r="J56" s="63">
        <v>0</v>
      </c>
      <c r="K56" s="63">
        <v>0</v>
      </c>
      <c r="L56" s="63">
        <v>0</v>
      </c>
      <c r="M56" s="78">
        <v>0</v>
      </c>
      <c r="N56" s="63">
        <v>0</v>
      </c>
      <c r="O56" s="63">
        <v>0</v>
      </c>
      <c r="P56" s="63">
        <v>0</v>
      </c>
      <c r="Q56" s="63">
        <v>0</v>
      </c>
      <c r="R56" s="63">
        <v>0</v>
      </c>
      <c r="S56" s="63"/>
      <c r="T56" s="63"/>
      <c r="U56" s="63"/>
    </row>
    <row r="57" spans="1:21" s="3" customFormat="1" ht="12.75" customHeight="1" x14ac:dyDescent="0.25">
      <c r="A57" s="7" t="s">
        <v>13</v>
      </c>
      <c r="B57" s="7" t="s">
        <v>14</v>
      </c>
      <c r="C57" s="8" t="s">
        <v>15</v>
      </c>
      <c r="D57" s="9">
        <f t="shared" si="0"/>
        <v>2600</v>
      </c>
      <c r="E57" s="9">
        <f t="shared" si="0"/>
        <v>2600</v>
      </c>
      <c r="F57" s="10">
        <f>SUM(F58:F59)</f>
        <v>900</v>
      </c>
      <c r="G57" s="10">
        <f>SUM(G58:G59)</f>
        <v>1000</v>
      </c>
      <c r="H57" s="10">
        <f>SUM(H58:H59)</f>
        <v>700</v>
      </c>
      <c r="I57" s="50">
        <f t="shared" ref="I57:P57" si="1">SUM(I58:I59)</f>
        <v>700</v>
      </c>
      <c r="J57" s="50">
        <f t="shared" si="1"/>
        <v>0</v>
      </c>
      <c r="K57" s="50">
        <f t="shared" si="1"/>
        <v>0</v>
      </c>
      <c r="L57" s="50">
        <f t="shared" si="1"/>
        <v>1000</v>
      </c>
      <c r="M57" s="50">
        <f t="shared" si="1"/>
        <v>900</v>
      </c>
      <c r="N57" s="50">
        <f t="shared" si="1"/>
        <v>0</v>
      </c>
      <c r="O57" s="50">
        <f t="shared" si="1"/>
        <v>0</v>
      </c>
      <c r="P57" s="50">
        <f t="shared" si="1"/>
        <v>0</v>
      </c>
      <c r="Q57" s="63">
        <v>0</v>
      </c>
      <c r="R57" s="50">
        <f>SUM(R58:R59)</f>
        <v>0</v>
      </c>
      <c r="S57" s="63"/>
      <c r="T57" s="50"/>
      <c r="U57" s="63"/>
    </row>
    <row r="58" spans="1:21" s="15" customFormat="1" ht="11.45" customHeight="1" x14ac:dyDescent="0.25">
      <c r="A58" s="11"/>
      <c r="B58" s="11"/>
      <c r="C58" s="12" t="s">
        <v>16</v>
      </c>
      <c r="D58" s="13"/>
      <c r="E58" s="13"/>
      <c r="F58" s="14">
        <v>700</v>
      </c>
      <c r="G58" s="14">
        <v>700</v>
      </c>
      <c r="H58" s="14">
        <v>500</v>
      </c>
      <c r="I58" s="51">
        <v>500</v>
      </c>
      <c r="J58" s="64"/>
      <c r="K58" s="79"/>
      <c r="L58" s="64">
        <v>800</v>
      </c>
      <c r="M58" s="79">
        <v>800</v>
      </c>
      <c r="N58" s="64"/>
      <c r="O58" s="64"/>
      <c r="P58" s="64"/>
      <c r="Q58" s="64"/>
      <c r="R58" s="64"/>
      <c r="S58" s="64"/>
      <c r="T58" s="64"/>
      <c r="U58" s="64"/>
    </row>
    <row r="59" spans="1:21" s="15" customFormat="1" ht="11.45" customHeight="1" x14ac:dyDescent="0.25">
      <c r="A59" s="11"/>
      <c r="B59" s="11"/>
      <c r="C59" s="12" t="s">
        <v>17</v>
      </c>
      <c r="D59" s="13"/>
      <c r="E59" s="13"/>
      <c r="F59" s="14">
        <v>200</v>
      </c>
      <c r="G59" s="14">
        <v>300</v>
      </c>
      <c r="H59" s="14">
        <v>200</v>
      </c>
      <c r="I59" s="51">
        <v>200</v>
      </c>
      <c r="J59" s="64"/>
      <c r="K59" s="79"/>
      <c r="L59" s="64">
        <v>200</v>
      </c>
      <c r="M59" s="79">
        <v>100</v>
      </c>
      <c r="N59" s="64"/>
      <c r="O59" s="64"/>
      <c r="P59" s="64"/>
      <c r="Q59" s="64"/>
      <c r="R59" s="64"/>
      <c r="S59" s="64"/>
      <c r="T59" s="64"/>
      <c r="U59" s="64"/>
    </row>
    <row r="60" spans="1:21" s="3" customFormat="1" ht="12.75" customHeight="1" x14ac:dyDescent="0.25">
      <c r="A60" s="7" t="s">
        <v>18</v>
      </c>
      <c r="B60" s="7" t="s">
        <v>19</v>
      </c>
      <c r="C60" s="8" t="s">
        <v>20</v>
      </c>
      <c r="D60" s="9">
        <f>F60+H60+J60+L60+N60+P60+R60</f>
        <v>0</v>
      </c>
      <c r="E60" s="9">
        <f>G60+I60+K60+M60+O60+Q60+S60</f>
        <v>0</v>
      </c>
      <c r="F60" s="10">
        <v>0</v>
      </c>
      <c r="G60" s="10">
        <v>0</v>
      </c>
      <c r="H60" s="10">
        <v>0</v>
      </c>
      <c r="I60" s="50">
        <v>0</v>
      </c>
      <c r="J60" s="63">
        <v>0</v>
      </c>
      <c r="K60" s="63">
        <v>0</v>
      </c>
      <c r="L60" s="63">
        <v>0</v>
      </c>
      <c r="M60" s="78">
        <v>0</v>
      </c>
      <c r="N60" s="63">
        <v>0</v>
      </c>
      <c r="O60" s="63">
        <v>0</v>
      </c>
      <c r="P60" s="63">
        <v>0</v>
      </c>
      <c r="Q60" s="63">
        <v>0</v>
      </c>
      <c r="R60" s="63">
        <v>0</v>
      </c>
      <c r="S60" s="63"/>
      <c r="T60" s="63"/>
      <c r="U60" s="63"/>
    </row>
    <row r="61" spans="1:21" s="3" customFormat="1" ht="12.75" customHeight="1" x14ac:dyDescent="0.25">
      <c r="A61" s="7" t="s">
        <v>21</v>
      </c>
      <c r="B61" s="7" t="s">
        <v>22</v>
      </c>
      <c r="C61" s="8" t="s">
        <v>23</v>
      </c>
      <c r="D61" s="9">
        <f>F61+H61+J61+L61+N61+P61+R61</f>
        <v>4040</v>
      </c>
      <c r="E61" s="9">
        <f>G61+I61+K61+M61+O61+Q61+S61</f>
        <v>2290</v>
      </c>
      <c r="F61" s="10">
        <v>0</v>
      </c>
      <c r="G61" s="10">
        <f>SUM(G62:G64)</f>
        <v>290</v>
      </c>
      <c r="H61" s="10">
        <v>1040</v>
      </c>
      <c r="I61" s="50">
        <f>SUM(I62:I64)</f>
        <v>1000</v>
      </c>
      <c r="J61" s="63">
        <v>0</v>
      </c>
      <c r="K61" s="63">
        <v>0</v>
      </c>
      <c r="L61" s="63">
        <f>SUM(L62:L63)</f>
        <v>3000</v>
      </c>
      <c r="M61" s="63">
        <f>SUM(M62:M65)</f>
        <v>1000</v>
      </c>
      <c r="N61" s="63">
        <f>SUM(N62:N63)</f>
        <v>0</v>
      </c>
      <c r="O61" s="63">
        <v>0</v>
      </c>
      <c r="P61" s="63">
        <f>SUM(P62:P63)</f>
        <v>0</v>
      </c>
      <c r="Q61" s="63">
        <v>0</v>
      </c>
      <c r="R61" s="63">
        <f>SUM(R62:R63)</f>
        <v>0</v>
      </c>
      <c r="S61" s="63"/>
      <c r="T61" s="63"/>
      <c r="U61" s="63"/>
    </row>
    <row r="62" spans="1:21" s="3" customFormat="1" ht="12.75" customHeight="1" x14ac:dyDescent="0.25">
      <c r="A62" s="11"/>
      <c r="B62" s="11"/>
      <c r="C62" s="12" t="s">
        <v>1269</v>
      </c>
      <c r="D62" s="13"/>
      <c r="E62" s="13"/>
      <c r="F62" s="14"/>
      <c r="G62" s="14">
        <v>290</v>
      </c>
      <c r="H62" s="14"/>
      <c r="I62" s="51"/>
      <c r="J62" s="64"/>
      <c r="K62" s="79"/>
      <c r="L62" s="64">
        <v>3000</v>
      </c>
      <c r="M62" s="79"/>
      <c r="N62" s="64"/>
      <c r="O62" s="64"/>
      <c r="P62" s="64"/>
      <c r="Q62" s="64"/>
      <c r="R62" s="64"/>
      <c r="S62" s="64"/>
      <c r="T62" s="64"/>
      <c r="U62" s="64"/>
    </row>
    <row r="63" spans="1:21" s="3" customFormat="1" ht="12.75" customHeight="1" x14ac:dyDescent="0.25">
      <c r="A63" s="11"/>
      <c r="B63" s="11"/>
      <c r="C63" s="12" t="s">
        <v>418</v>
      </c>
      <c r="D63" s="13"/>
      <c r="E63" s="13"/>
      <c r="F63" s="14"/>
      <c r="G63" s="14"/>
      <c r="H63" s="14"/>
      <c r="I63" s="51">
        <v>1000</v>
      </c>
      <c r="J63" s="64"/>
      <c r="K63" s="79"/>
      <c r="L63" s="64"/>
      <c r="M63" s="79"/>
      <c r="N63" s="64"/>
      <c r="O63" s="64"/>
      <c r="P63" s="64"/>
      <c r="Q63" s="64"/>
      <c r="R63" s="64"/>
      <c r="S63" s="64"/>
      <c r="T63" s="64"/>
      <c r="U63" s="64"/>
    </row>
    <row r="64" spans="1:21" s="3" customFormat="1" ht="12.75" hidden="1" customHeight="1" x14ac:dyDescent="0.25">
      <c r="A64" s="11"/>
      <c r="B64" s="11"/>
      <c r="C64" s="12" t="s">
        <v>419</v>
      </c>
      <c r="D64" s="13"/>
      <c r="E64" s="13"/>
      <c r="F64" s="14"/>
      <c r="G64" s="14"/>
      <c r="H64" s="51"/>
      <c r="I64" s="51">
        <v>0</v>
      </c>
      <c r="J64" s="88"/>
      <c r="K64" s="79"/>
      <c r="L64" s="88"/>
      <c r="M64" s="79"/>
      <c r="N64" s="88"/>
      <c r="O64" s="64"/>
      <c r="P64" s="88"/>
      <c r="Q64" s="64"/>
      <c r="R64" s="88"/>
      <c r="S64" s="64"/>
      <c r="T64" s="88"/>
      <c r="U64" s="64"/>
    </row>
    <row r="65" spans="1:21" s="3" customFormat="1" ht="12.75" customHeight="1" x14ac:dyDescent="0.25">
      <c r="A65" s="11"/>
      <c r="B65" s="11"/>
      <c r="C65" s="12" t="s">
        <v>1270</v>
      </c>
      <c r="D65" s="13"/>
      <c r="E65" s="13"/>
      <c r="F65" s="14"/>
      <c r="G65" s="14"/>
      <c r="H65" s="51"/>
      <c r="I65" s="51"/>
      <c r="J65" s="88"/>
      <c r="K65" s="88"/>
      <c r="L65" s="88"/>
      <c r="M65" s="79">
        <v>1000</v>
      </c>
      <c r="N65" s="88"/>
      <c r="O65" s="64"/>
      <c r="P65" s="88"/>
      <c r="Q65" s="64"/>
      <c r="R65" s="88"/>
      <c r="S65" s="64"/>
      <c r="T65" s="88"/>
      <c r="U65" s="64"/>
    </row>
    <row r="66" spans="1:21" s="3" customFormat="1" ht="12.75" customHeight="1" x14ac:dyDescent="0.25">
      <c r="A66" s="7" t="s">
        <v>24</v>
      </c>
      <c r="B66" s="7" t="s">
        <v>25</v>
      </c>
      <c r="C66" s="8" t="s">
        <v>26</v>
      </c>
      <c r="D66" s="9">
        <f>F66+H66+J66+L66+N66+P66+R66</f>
        <v>3936</v>
      </c>
      <c r="E66" s="9">
        <f>G66+I66+K66+M66+O66+Q66+S66</f>
        <v>3936</v>
      </c>
      <c r="F66" s="10">
        <f>F67</f>
        <v>1056</v>
      </c>
      <c r="G66" s="10">
        <f>G67</f>
        <v>1056</v>
      </c>
      <c r="H66" s="50">
        <f t="shared" ref="H66:R66" si="2">H67</f>
        <v>576</v>
      </c>
      <c r="I66" s="50">
        <f t="shared" si="2"/>
        <v>576</v>
      </c>
      <c r="J66" s="50">
        <f t="shared" si="2"/>
        <v>0</v>
      </c>
      <c r="K66" s="50">
        <f t="shared" si="2"/>
        <v>0</v>
      </c>
      <c r="L66" s="50">
        <f t="shared" si="2"/>
        <v>2304</v>
      </c>
      <c r="M66" s="50">
        <f t="shared" si="2"/>
        <v>2304</v>
      </c>
      <c r="N66" s="50">
        <f t="shared" si="2"/>
        <v>0</v>
      </c>
      <c r="O66" s="63">
        <v>0</v>
      </c>
      <c r="P66" s="50">
        <f t="shared" si="2"/>
        <v>0</v>
      </c>
      <c r="Q66" s="63">
        <v>0</v>
      </c>
      <c r="R66" s="50">
        <f t="shared" si="2"/>
        <v>0</v>
      </c>
      <c r="S66" s="63"/>
      <c r="T66" s="50"/>
      <c r="U66" s="63"/>
    </row>
    <row r="67" spans="1:21" s="15" customFormat="1" ht="11.45" customHeight="1" x14ac:dyDescent="0.25">
      <c r="A67" s="11"/>
      <c r="B67" s="11"/>
      <c r="C67" s="12" t="s">
        <v>278</v>
      </c>
      <c r="D67" s="13"/>
      <c r="E67" s="13"/>
      <c r="F67" s="14">
        <v>1056</v>
      </c>
      <c r="G67" s="14">
        <v>1056</v>
      </c>
      <c r="H67" s="14">
        <v>576</v>
      </c>
      <c r="I67" s="51">
        <v>576</v>
      </c>
      <c r="J67" s="64"/>
      <c r="K67" s="79"/>
      <c r="L67" s="64">
        <v>2304</v>
      </c>
      <c r="M67" s="79">
        <v>2304</v>
      </c>
      <c r="N67" s="64"/>
      <c r="O67" s="64"/>
      <c r="P67" s="64"/>
      <c r="Q67" s="64"/>
      <c r="R67" s="64"/>
      <c r="S67" s="64"/>
      <c r="T67" s="64"/>
      <c r="U67" s="64"/>
    </row>
    <row r="68" spans="1:21" s="3" customFormat="1" ht="12.75" customHeight="1" x14ac:dyDescent="0.25">
      <c r="A68" s="7" t="s">
        <v>27</v>
      </c>
      <c r="B68" s="7" t="s">
        <v>28</v>
      </c>
      <c r="C68" s="8" t="s">
        <v>29</v>
      </c>
      <c r="D68" s="9">
        <f t="shared" ref="D68:E70" si="3">F68+H68+J68+L68+N68+P68+R68</f>
        <v>0</v>
      </c>
      <c r="E68" s="9">
        <f t="shared" si="3"/>
        <v>0</v>
      </c>
      <c r="F68" s="10">
        <v>0</v>
      </c>
      <c r="G68" s="10">
        <v>0</v>
      </c>
      <c r="H68" s="10">
        <v>0</v>
      </c>
      <c r="I68" s="50">
        <v>0</v>
      </c>
      <c r="J68" s="63">
        <v>0</v>
      </c>
      <c r="K68" s="78">
        <v>0</v>
      </c>
      <c r="L68" s="63">
        <v>0</v>
      </c>
      <c r="M68" s="78">
        <v>0</v>
      </c>
      <c r="N68" s="63">
        <v>0</v>
      </c>
      <c r="O68" s="63">
        <v>0</v>
      </c>
      <c r="P68" s="63">
        <v>0</v>
      </c>
      <c r="Q68" s="63">
        <v>0</v>
      </c>
      <c r="R68" s="63">
        <v>0</v>
      </c>
      <c r="S68" s="63"/>
      <c r="T68" s="63"/>
      <c r="U68" s="63"/>
    </row>
    <row r="69" spans="1:21" s="3" customFormat="1" ht="12.75" customHeight="1" x14ac:dyDescent="0.25">
      <c r="A69" s="7" t="s">
        <v>30</v>
      </c>
      <c r="B69" s="7" t="s">
        <v>31</v>
      </c>
      <c r="C69" s="8" t="s">
        <v>32</v>
      </c>
      <c r="D69" s="9">
        <f t="shared" si="3"/>
        <v>1480</v>
      </c>
      <c r="E69" s="9">
        <f t="shared" si="3"/>
        <v>1670</v>
      </c>
      <c r="F69" s="10">
        <v>600</v>
      </c>
      <c r="G69" s="10">
        <v>850</v>
      </c>
      <c r="H69" s="10">
        <v>100</v>
      </c>
      <c r="I69" s="50">
        <v>70</v>
      </c>
      <c r="J69" s="63">
        <v>0</v>
      </c>
      <c r="K69" s="78">
        <v>0</v>
      </c>
      <c r="L69" s="63">
        <v>780</v>
      </c>
      <c r="M69" s="78">
        <v>750</v>
      </c>
      <c r="N69" s="63">
        <v>0</v>
      </c>
      <c r="O69" s="63">
        <v>0</v>
      </c>
      <c r="P69" s="63">
        <v>0</v>
      </c>
      <c r="Q69" s="63">
        <v>0</v>
      </c>
      <c r="R69" s="63">
        <v>0</v>
      </c>
      <c r="S69" s="63"/>
      <c r="T69" s="63"/>
      <c r="U69" s="63"/>
    </row>
    <row r="70" spans="1:21" s="3" customFormat="1" ht="12.75" customHeight="1" x14ac:dyDescent="0.25">
      <c r="A70" s="7" t="s">
        <v>33</v>
      </c>
      <c r="B70" s="7" t="s">
        <v>34</v>
      </c>
      <c r="C70" s="8" t="s">
        <v>35</v>
      </c>
      <c r="D70" s="9">
        <f t="shared" si="3"/>
        <v>700</v>
      </c>
      <c r="E70" s="9">
        <f t="shared" si="3"/>
        <v>792</v>
      </c>
      <c r="F70" s="10">
        <v>180</v>
      </c>
      <c r="G70" s="10">
        <f>G71+G72</f>
        <v>372</v>
      </c>
      <c r="H70" s="10">
        <v>120</v>
      </c>
      <c r="I70" s="50">
        <f>I71+I72</f>
        <v>132</v>
      </c>
      <c r="J70" s="63">
        <v>0</v>
      </c>
      <c r="K70" s="78">
        <v>0</v>
      </c>
      <c r="L70" s="63">
        <v>400</v>
      </c>
      <c r="M70" s="78">
        <f>M71+M72</f>
        <v>288</v>
      </c>
      <c r="N70" s="63">
        <v>0</v>
      </c>
      <c r="O70" s="63">
        <v>0</v>
      </c>
      <c r="P70" s="63">
        <v>0</v>
      </c>
      <c r="Q70" s="63">
        <v>0</v>
      </c>
      <c r="R70" s="63">
        <v>0</v>
      </c>
      <c r="S70" s="63"/>
      <c r="T70" s="63"/>
      <c r="U70" s="63"/>
    </row>
    <row r="71" spans="1:21" s="3" customFormat="1" ht="12.75" customHeight="1" x14ac:dyDescent="0.25">
      <c r="A71" s="11"/>
      <c r="B71" s="11"/>
      <c r="C71" s="12" t="s">
        <v>420</v>
      </c>
      <c r="D71" s="13"/>
      <c r="E71" s="13"/>
      <c r="F71" s="14"/>
      <c r="G71" s="14">
        <v>240</v>
      </c>
      <c r="H71" s="14"/>
      <c r="I71" s="51">
        <v>60</v>
      </c>
      <c r="J71" s="64"/>
      <c r="K71" s="79"/>
      <c r="L71" s="64"/>
      <c r="M71" s="79"/>
      <c r="N71" s="64"/>
      <c r="O71" s="64"/>
      <c r="P71" s="64"/>
      <c r="Q71" s="64"/>
      <c r="R71" s="64"/>
      <c r="S71" s="64"/>
      <c r="T71" s="64"/>
      <c r="U71" s="64"/>
    </row>
    <row r="72" spans="1:21" s="3" customFormat="1" ht="12.75" customHeight="1" x14ac:dyDescent="0.25">
      <c r="A72" s="11"/>
      <c r="B72" s="11"/>
      <c r="C72" s="12" t="s">
        <v>1266</v>
      </c>
      <c r="D72" s="13"/>
      <c r="E72" s="13"/>
      <c r="F72" s="14"/>
      <c r="G72" s="14">
        <v>132</v>
      </c>
      <c r="H72" s="14"/>
      <c r="I72" s="51">
        <v>72</v>
      </c>
      <c r="J72" s="64"/>
      <c r="K72" s="79"/>
      <c r="L72" s="64"/>
      <c r="M72" s="79">
        <v>288</v>
      </c>
      <c r="N72" s="64"/>
      <c r="O72" s="64"/>
      <c r="P72" s="64"/>
      <c r="Q72" s="64"/>
      <c r="R72" s="64"/>
      <c r="S72" s="64"/>
      <c r="T72" s="64"/>
      <c r="U72" s="64"/>
    </row>
    <row r="73" spans="1:21" s="3" customFormat="1" ht="12.75" customHeight="1" x14ac:dyDescent="0.25">
      <c r="A73" s="7" t="s">
        <v>36</v>
      </c>
      <c r="B73" s="7" t="s">
        <v>37</v>
      </c>
      <c r="C73" s="8" t="s">
        <v>38</v>
      </c>
      <c r="D73" s="9">
        <f>F73+H73+J73+L73+N73+P73+R73</f>
        <v>0</v>
      </c>
      <c r="E73" s="9">
        <f>G73+I73+K73+M73+O73+Q73+S73</f>
        <v>0</v>
      </c>
      <c r="F73" s="10">
        <v>0</v>
      </c>
      <c r="G73" s="10">
        <v>0</v>
      </c>
      <c r="H73" s="10">
        <v>0</v>
      </c>
      <c r="I73" s="50">
        <v>0</v>
      </c>
      <c r="J73" s="63">
        <v>0</v>
      </c>
      <c r="K73" s="78">
        <v>0</v>
      </c>
      <c r="L73" s="63">
        <v>0</v>
      </c>
      <c r="M73" s="78">
        <v>0</v>
      </c>
      <c r="N73" s="63">
        <v>0</v>
      </c>
      <c r="O73" s="63">
        <v>0</v>
      </c>
      <c r="P73" s="63">
        <v>0</v>
      </c>
      <c r="Q73" s="63">
        <v>0</v>
      </c>
      <c r="R73" s="63">
        <v>0</v>
      </c>
      <c r="S73" s="63"/>
      <c r="T73" s="63"/>
      <c r="U73" s="63"/>
    </row>
    <row r="74" spans="1:21" s="3" customFormat="1" ht="12.75" customHeight="1" x14ac:dyDescent="0.25">
      <c r="A74" s="7" t="s">
        <v>39</v>
      </c>
      <c r="B74" s="7" t="s">
        <v>40</v>
      </c>
      <c r="C74" s="8" t="s">
        <v>41</v>
      </c>
      <c r="D74" s="9">
        <f>F74+H74+J74+L74+N74+P74+R74</f>
        <v>460</v>
      </c>
      <c r="E74" s="9">
        <f>G74+I74+K74+M74+O74+Q74+S74</f>
        <v>390</v>
      </c>
      <c r="F74" s="10">
        <f>F75</f>
        <v>150</v>
      </c>
      <c r="G74" s="10">
        <f>G75</f>
        <v>130</v>
      </c>
      <c r="H74" s="10">
        <v>60</v>
      </c>
      <c r="I74" s="50">
        <f>I75</f>
        <v>50</v>
      </c>
      <c r="J74" s="63">
        <v>0</v>
      </c>
      <c r="K74" s="78">
        <v>0</v>
      </c>
      <c r="L74" s="63">
        <v>250</v>
      </c>
      <c r="M74" s="78">
        <f>M75</f>
        <v>210</v>
      </c>
      <c r="N74" s="63">
        <v>0</v>
      </c>
      <c r="O74" s="63">
        <v>0</v>
      </c>
      <c r="P74" s="63">
        <v>0</v>
      </c>
      <c r="Q74" s="63">
        <v>0</v>
      </c>
      <c r="R74" s="63">
        <v>0</v>
      </c>
      <c r="S74" s="63"/>
      <c r="T74" s="63"/>
      <c r="U74" s="63"/>
    </row>
    <row r="75" spans="1:21" s="3" customFormat="1" ht="12.75" customHeight="1" x14ac:dyDescent="0.25">
      <c r="A75" s="11"/>
      <c r="B75" s="11"/>
      <c r="C75" s="12" t="s">
        <v>280</v>
      </c>
      <c r="D75" s="13"/>
      <c r="E75" s="13"/>
      <c r="F75" s="14">
        <v>150</v>
      </c>
      <c r="G75" s="14">
        <f>ROUND(G6*0.004,0)+1</f>
        <v>130</v>
      </c>
      <c r="H75" s="14"/>
      <c r="I75" s="14">
        <f>ROUND(I6*0.004,0)+1</f>
        <v>50</v>
      </c>
      <c r="J75" s="64"/>
      <c r="K75" s="79"/>
      <c r="L75" s="64"/>
      <c r="M75" s="14">
        <f>ROUND(M6*0.004,0)</f>
        <v>210</v>
      </c>
      <c r="N75" s="64"/>
      <c r="O75" s="64"/>
      <c r="P75" s="64"/>
      <c r="Q75" s="64"/>
      <c r="R75" s="64"/>
      <c r="S75" s="64"/>
      <c r="T75" s="64"/>
      <c r="U75" s="64"/>
    </row>
    <row r="76" spans="1:21" s="3" customFormat="1" ht="12.75" customHeight="1" x14ac:dyDescent="0.25">
      <c r="A76" s="7" t="s">
        <v>42</v>
      </c>
      <c r="B76" s="7" t="s">
        <v>43</v>
      </c>
      <c r="C76" s="8" t="s">
        <v>44</v>
      </c>
      <c r="D76" s="9">
        <f>F76+H76+J76+L76+N76+P76+R76</f>
        <v>500</v>
      </c>
      <c r="E76" s="9">
        <f>G76+I76+K76+M76+O76+Q76+S76</f>
        <v>3413</v>
      </c>
      <c r="F76" s="10">
        <v>200</v>
      </c>
      <c r="G76" s="10">
        <f>G77+G78</f>
        <v>1164</v>
      </c>
      <c r="H76" s="10">
        <v>0</v>
      </c>
      <c r="I76" s="50">
        <f>I77+I78</f>
        <v>371</v>
      </c>
      <c r="J76" s="63">
        <v>0</v>
      </c>
      <c r="K76" s="78">
        <v>0</v>
      </c>
      <c r="L76" s="63">
        <v>300</v>
      </c>
      <c r="M76" s="50">
        <f>M77+M78</f>
        <v>1878</v>
      </c>
      <c r="N76" s="63">
        <v>0</v>
      </c>
      <c r="O76" s="63">
        <v>0</v>
      </c>
      <c r="P76" s="63">
        <v>0</v>
      </c>
      <c r="Q76" s="63">
        <v>0</v>
      </c>
      <c r="R76" s="63">
        <v>0</v>
      </c>
      <c r="S76" s="63"/>
      <c r="T76" s="63"/>
      <c r="U76" s="63"/>
    </row>
    <row r="77" spans="1:21" s="15" customFormat="1" ht="11.45" customHeight="1" x14ac:dyDescent="0.25">
      <c r="A77" s="11"/>
      <c r="B77" s="11"/>
      <c r="C77" s="12" t="s">
        <v>408</v>
      </c>
      <c r="D77" s="13"/>
      <c r="E77" s="13"/>
      <c r="F77" s="14"/>
      <c r="G77" s="14">
        <v>200</v>
      </c>
      <c r="H77" s="14"/>
      <c r="I77" s="51"/>
      <c r="J77" s="64"/>
      <c r="K77" s="79"/>
      <c r="L77" s="64"/>
      <c r="M77" s="79">
        <v>300</v>
      </c>
      <c r="N77" s="64"/>
      <c r="O77" s="64"/>
      <c r="P77" s="64"/>
      <c r="Q77" s="64"/>
      <c r="R77" s="64"/>
      <c r="S77" s="64"/>
      <c r="T77" s="64"/>
      <c r="U77" s="64"/>
    </row>
    <row r="78" spans="1:21" s="15" customFormat="1" ht="11.45" customHeight="1" x14ac:dyDescent="0.25">
      <c r="A78" s="11"/>
      <c r="B78" s="11"/>
      <c r="C78" s="12" t="s">
        <v>1268</v>
      </c>
      <c r="D78" s="13"/>
      <c r="E78" s="13"/>
      <c r="F78" s="14"/>
      <c r="G78" s="14">
        <f>ROUND(G6*0.03,0)</f>
        <v>964</v>
      </c>
      <c r="H78" s="14"/>
      <c r="I78" s="14">
        <f>ROUND(I6*0.03,0)</f>
        <v>371</v>
      </c>
      <c r="J78" s="88"/>
      <c r="K78" s="88"/>
      <c r="L78" s="88"/>
      <c r="M78" s="14">
        <f>ROUND(M6*0.03,0)</f>
        <v>1578</v>
      </c>
      <c r="N78" s="88"/>
      <c r="O78" s="88"/>
      <c r="P78" s="88"/>
      <c r="Q78" s="88"/>
      <c r="R78" s="88"/>
      <c r="S78" s="64"/>
      <c r="T78" s="88"/>
      <c r="U78" s="64"/>
    </row>
    <row r="79" spans="1:21" s="3" customFormat="1" ht="12.75" customHeight="1" x14ac:dyDescent="0.25">
      <c r="A79" s="16" t="s">
        <v>45</v>
      </c>
      <c r="B79" s="16" t="s">
        <v>46</v>
      </c>
      <c r="C79" s="17" t="s">
        <v>47</v>
      </c>
      <c r="D79" s="18">
        <f t="shared" ref="D79:Q79" si="4">D6+D55+D56+D57+D60+D61+D66+D68+D69+D70+D73+D74+D76</f>
        <v>99017</v>
      </c>
      <c r="E79" s="18">
        <f t="shared" si="4"/>
        <v>112162</v>
      </c>
      <c r="F79" s="18">
        <f t="shared" si="4"/>
        <v>31096</v>
      </c>
      <c r="G79" s="18">
        <f t="shared" si="4"/>
        <v>36998</v>
      </c>
      <c r="H79" s="18">
        <f t="shared" si="4"/>
        <v>13898</v>
      </c>
      <c r="I79" s="52">
        <f t="shared" si="4"/>
        <v>15249</v>
      </c>
      <c r="J79" s="52">
        <f t="shared" si="4"/>
        <v>0</v>
      </c>
      <c r="K79" s="52">
        <f t="shared" si="4"/>
        <v>0</v>
      </c>
      <c r="L79" s="52">
        <f t="shared" si="4"/>
        <v>54023</v>
      </c>
      <c r="M79" s="52">
        <f t="shared" si="4"/>
        <v>59915</v>
      </c>
      <c r="N79" s="52">
        <f t="shared" si="4"/>
        <v>0</v>
      </c>
      <c r="O79" s="52">
        <f t="shared" si="4"/>
        <v>0</v>
      </c>
      <c r="P79" s="52">
        <f t="shared" si="4"/>
        <v>0</v>
      </c>
      <c r="Q79" s="52">
        <f t="shared" si="4"/>
        <v>0</v>
      </c>
      <c r="R79" s="52">
        <f>R6+R55+R56+R57+R60+R61+R66+R68+R69+R70+R73+R74+R76</f>
        <v>0</v>
      </c>
      <c r="S79" s="65"/>
      <c r="T79" s="52"/>
      <c r="U79" s="65"/>
    </row>
    <row r="80" spans="1:21" s="3" customFormat="1" ht="12.75" customHeight="1" x14ac:dyDescent="0.25">
      <c r="A80" s="7" t="s">
        <v>48</v>
      </c>
      <c r="B80" s="7" t="s">
        <v>49</v>
      </c>
      <c r="C80" s="8" t="s">
        <v>50</v>
      </c>
      <c r="D80" s="9">
        <f>F80+H80+J80+L80+N80+P80+R80</f>
        <v>0</v>
      </c>
      <c r="E80" s="9">
        <f>G80+I80+K80+M80+O80+Q80+S80</f>
        <v>0</v>
      </c>
      <c r="F80" s="10">
        <v>0</v>
      </c>
      <c r="G80" s="10">
        <v>0</v>
      </c>
      <c r="H80" s="10">
        <v>0</v>
      </c>
      <c r="I80" s="50">
        <v>0</v>
      </c>
      <c r="J80" s="63">
        <v>0</v>
      </c>
      <c r="K80" s="78">
        <v>0</v>
      </c>
      <c r="L80" s="63">
        <v>0</v>
      </c>
      <c r="M80" s="78">
        <v>0</v>
      </c>
      <c r="N80" s="63">
        <v>0</v>
      </c>
      <c r="O80" s="63">
        <v>0</v>
      </c>
      <c r="P80" s="63">
        <v>0</v>
      </c>
      <c r="Q80" s="63">
        <v>0</v>
      </c>
      <c r="R80" s="63">
        <v>0</v>
      </c>
      <c r="S80" s="63"/>
      <c r="T80" s="63"/>
      <c r="U80" s="63"/>
    </row>
    <row r="81" spans="1:21" s="3" customFormat="1" ht="12.75" customHeight="1" x14ac:dyDescent="0.25">
      <c r="A81" s="7" t="s">
        <v>51</v>
      </c>
      <c r="B81" s="7" t="s">
        <v>52</v>
      </c>
      <c r="C81" s="8" t="s">
        <v>53</v>
      </c>
      <c r="D81" s="9">
        <f>F81+H81+J81+L81+N81+P81+R81</f>
        <v>6576</v>
      </c>
      <c r="E81" s="9">
        <f>G81+I81+K81+M81+O81+Q81+S81</f>
        <v>6000</v>
      </c>
      <c r="F81" s="10">
        <f>F82</f>
        <v>5000</v>
      </c>
      <c r="G81" s="10">
        <f>G82</f>
        <v>5000</v>
      </c>
      <c r="H81" s="10">
        <f>H82</f>
        <v>0</v>
      </c>
      <c r="I81" s="50">
        <f>I82</f>
        <v>0</v>
      </c>
      <c r="J81" s="63">
        <v>0</v>
      </c>
      <c r="K81" s="78">
        <v>0</v>
      </c>
      <c r="L81" s="63">
        <f>L82</f>
        <v>1576</v>
      </c>
      <c r="M81" s="63">
        <f>M82</f>
        <v>1000</v>
      </c>
      <c r="N81" s="63">
        <f>N82</f>
        <v>0</v>
      </c>
      <c r="O81" s="63">
        <v>0</v>
      </c>
      <c r="P81" s="63">
        <f>P82</f>
        <v>0</v>
      </c>
      <c r="Q81" s="63">
        <v>0</v>
      </c>
      <c r="R81" s="63">
        <f>R82</f>
        <v>0</v>
      </c>
      <c r="S81" s="63"/>
      <c r="T81" s="63"/>
      <c r="U81" s="63"/>
    </row>
    <row r="82" spans="1:21" s="15" customFormat="1" ht="11.45" customHeight="1" x14ac:dyDescent="0.25">
      <c r="A82" s="11"/>
      <c r="B82" s="11"/>
      <c r="C82" s="12" t="s">
        <v>282</v>
      </c>
      <c r="D82" s="13"/>
      <c r="E82" s="13"/>
      <c r="F82" s="14">
        <v>5000</v>
      </c>
      <c r="G82" s="14">
        <v>5000</v>
      </c>
      <c r="H82" s="14"/>
      <c r="I82" s="51"/>
      <c r="J82" s="64"/>
      <c r="K82" s="79"/>
      <c r="L82" s="64">
        <v>1576</v>
      </c>
      <c r="M82" s="79">
        <v>1000</v>
      </c>
      <c r="N82" s="64"/>
      <c r="O82" s="64"/>
      <c r="P82" s="64"/>
      <c r="Q82" s="64"/>
      <c r="R82" s="64"/>
      <c r="S82" s="64"/>
      <c r="T82" s="64"/>
      <c r="U82" s="64"/>
    </row>
    <row r="83" spans="1:21" s="3" customFormat="1" ht="12.75" customHeight="1" x14ac:dyDescent="0.25">
      <c r="A83" s="7" t="s">
        <v>54</v>
      </c>
      <c r="B83" s="7" t="s">
        <v>55</v>
      </c>
      <c r="C83" s="8" t="s">
        <v>285</v>
      </c>
      <c r="D83" s="9">
        <f>F83+H83+J83+L83+N83+P83+R83</f>
        <v>190</v>
      </c>
      <c r="E83" s="9">
        <f>G83+I83+K83+M83+O83+Q83+S83</f>
        <v>0</v>
      </c>
      <c r="F83" s="10">
        <f>F84</f>
        <v>150</v>
      </c>
      <c r="G83" s="10">
        <f>G84</f>
        <v>0</v>
      </c>
      <c r="H83" s="10">
        <f>H84</f>
        <v>20</v>
      </c>
      <c r="I83" s="50">
        <f>I84</f>
        <v>0</v>
      </c>
      <c r="J83" s="63">
        <v>0</v>
      </c>
      <c r="K83" s="78">
        <v>0</v>
      </c>
      <c r="L83" s="63">
        <f>L84</f>
        <v>20</v>
      </c>
      <c r="M83" s="63">
        <f>M84</f>
        <v>0</v>
      </c>
      <c r="N83" s="63">
        <f>N84</f>
        <v>0</v>
      </c>
      <c r="O83" s="63">
        <v>0</v>
      </c>
      <c r="P83" s="63">
        <f>P84</f>
        <v>0</v>
      </c>
      <c r="Q83" s="63">
        <f>Q84</f>
        <v>0</v>
      </c>
      <c r="R83" s="63">
        <f>R84</f>
        <v>0</v>
      </c>
      <c r="S83" s="63"/>
      <c r="T83" s="63"/>
      <c r="U83" s="63"/>
    </row>
    <row r="84" spans="1:21" s="15" customFormat="1" ht="11.45" customHeight="1" x14ac:dyDescent="0.25">
      <c r="A84" s="11"/>
      <c r="B84" s="11"/>
      <c r="C84" s="12" t="s">
        <v>283</v>
      </c>
      <c r="D84" s="13"/>
      <c r="E84" s="13"/>
      <c r="F84" s="14">
        <v>150</v>
      </c>
      <c r="G84" s="14">
        <v>0</v>
      </c>
      <c r="H84" s="14">
        <v>20</v>
      </c>
      <c r="I84" s="51"/>
      <c r="J84" s="64"/>
      <c r="K84" s="79"/>
      <c r="L84" s="64">
        <v>20</v>
      </c>
      <c r="M84" s="79">
        <v>0</v>
      </c>
      <c r="N84" s="64"/>
      <c r="O84" s="64"/>
      <c r="P84" s="64"/>
      <c r="Q84" s="64"/>
      <c r="R84" s="64"/>
      <c r="S84" s="64"/>
      <c r="T84" s="64"/>
      <c r="U84" s="64"/>
    </row>
    <row r="85" spans="1:21" s="3" customFormat="1" ht="12.75" customHeight="1" x14ac:dyDescent="0.25">
      <c r="A85" s="16" t="s">
        <v>56</v>
      </c>
      <c r="B85" s="16" t="s">
        <v>57</v>
      </c>
      <c r="C85" s="17" t="s">
        <v>58</v>
      </c>
      <c r="D85" s="18">
        <f>D80+D81+D83</f>
        <v>6766</v>
      </c>
      <c r="E85" s="18">
        <f t="shared" ref="E85:Q85" si="5">E80+E81+E83</f>
        <v>6000</v>
      </c>
      <c r="F85" s="18">
        <f t="shared" si="5"/>
        <v>5150</v>
      </c>
      <c r="G85" s="18">
        <f t="shared" si="5"/>
        <v>5000</v>
      </c>
      <c r="H85" s="18">
        <f t="shared" si="5"/>
        <v>20</v>
      </c>
      <c r="I85" s="52">
        <f t="shared" si="5"/>
        <v>0</v>
      </c>
      <c r="J85" s="52">
        <f t="shared" si="5"/>
        <v>0</v>
      </c>
      <c r="K85" s="52">
        <f t="shared" si="5"/>
        <v>0</v>
      </c>
      <c r="L85" s="52">
        <f t="shared" si="5"/>
        <v>1596</v>
      </c>
      <c r="M85" s="52">
        <f t="shared" si="5"/>
        <v>1000</v>
      </c>
      <c r="N85" s="52">
        <f t="shared" si="5"/>
        <v>0</v>
      </c>
      <c r="O85" s="52">
        <f t="shared" si="5"/>
        <v>0</v>
      </c>
      <c r="P85" s="52">
        <f t="shared" si="5"/>
        <v>0</v>
      </c>
      <c r="Q85" s="52">
        <f t="shared" si="5"/>
        <v>0</v>
      </c>
      <c r="R85" s="52">
        <f>R80+R81+R83</f>
        <v>0</v>
      </c>
      <c r="S85" s="65"/>
      <c r="T85" s="52"/>
      <c r="U85" s="65"/>
    </row>
    <row r="86" spans="1:21" s="3" customFormat="1" ht="12.75" customHeight="1" x14ac:dyDescent="0.25">
      <c r="A86" s="20" t="s">
        <v>59</v>
      </c>
      <c r="B86" s="20" t="s">
        <v>60</v>
      </c>
      <c r="C86" s="21" t="s">
        <v>286</v>
      </c>
      <c r="D86" s="22">
        <f>D79+D85</f>
        <v>105783</v>
      </c>
      <c r="E86" s="22">
        <f t="shared" ref="E86:Q86" si="6">E79+E85</f>
        <v>118162</v>
      </c>
      <c r="F86" s="22">
        <f t="shared" si="6"/>
        <v>36246</v>
      </c>
      <c r="G86" s="22">
        <f t="shared" si="6"/>
        <v>41998</v>
      </c>
      <c r="H86" s="22">
        <f t="shared" si="6"/>
        <v>13918</v>
      </c>
      <c r="I86" s="53">
        <f t="shared" si="6"/>
        <v>15249</v>
      </c>
      <c r="J86" s="53">
        <f t="shared" si="6"/>
        <v>0</v>
      </c>
      <c r="K86" s="53">
        <f t="shared" si="6"/>
        <v>0</v>
      </c>
      <c r="L86" s="53">
        <f t="shared" si="6"/>
        <v>55619</v>
      </c>
      <c r="M86" s="53">
        <f t="shared" si="6"/>
        <v>60915</v>
      </c>
      <c r="N86" s="53">
        <f t="shared" si="6"/>
        <v>0</v>
      </c>
      <c r="O86" s="53">
        <f t="shared" si="6"/>
        <v>0</v>
      </c>
      <c r="P86" s="53">
        <f t="shared" si="6"/>
        <v>0</v>
      </c>
      <c r="Q86" s="53">
        <f t="shared" si="6"/>
        <v>0</v>
      </c>
      <c r="R86" s="53">
        <f>R79+R85</f>
        <v>0</v>
      </c>
      <c r="S86" s="66"/>
      <c r="T86" s="53"/>
      <c r="U86" s="66"/>
    </row>
    <row r="87" spans="1:21" s="15" customFormat="1" ht="11.45" customHeight="1" x14ac:dyDescent="0.25">
      <c r="A87" s="11"/>
      <c r="B87" s="11"/>
      <c r="C87" s="12" t="s">
        <v>284</v>
      </c>
      <c r="D87" s="13">
        <f>H87+F87+L87+N87+P87+R87+J87</f>
        <v>26651</v>
      </c>
      <c r="E87" s="13">
        <f>I87+G87+M87+O87+Q87+S87+K87</f>
        <v>30063</v>
      </c>
      <c r="F87" s="13">
        <v>9196</v>
      </c>
      <c r="G87" s="13">
        <f>ROUND((G6+G55+G56+G57+G60+G61+G74+G76+G81)*0.27,0)</f>
        <v>10724</v>
      </c>
      <c r="H87" s="13">
        <f>ROUND((H6+H55+H56+H57+H60+H61+H81+H83)*0.27,0)</f>
        <v>3527</v>
      </c>
      <c r="I87" s="54">
        <f>ROUND((I6+I55+I56+I57+I60+I61+I81)*0.27,0)</f>
        <v>3794</v>
      </c>
      <c r="J87" s="67"/>
      <c r="K87" s="54">
        <f>ROUND((K6+K55+K56+K57+K60+K61+K81)*0.27,0)</f>
        <v>0</v>
      </c>
      <c r="L87" s="67">
        <v>13928</v>
      </c>
      <c r="M87" s="13">
        <f>ROUND((M6+M55+M56+M57+M60+M61+M74+M76+M81)*0.27,0)</f>
        <v>15545</v>
      </c>
      <c r="N87" s="67"/>
      <c r="O87" s="67"/>
      <c r="P87" s="67"/>
      <c r="Q87" s="67"/>
      <c r="R87" s="67"/>
      <c r="S87" s="67"/>
      <c r="T87" s="67"/>
      <c r="U87" s="67"/>
    </row>
    <row r="88" spans="1:21" s="15" customFormat="1" ht="11.45" customHeight="1" x14ac:dyDescent="0.25">
      <c r="A88" s="11"/>
      <c r="B88" s="11"/>
      <c r="C88" s="12" t="s">
        <v>61</v>
      </c>
      <c r="D88" s="13">
        <f t="shared" ref="D88:E90" si="7">H88+F88+L88+N88+P88+R88+J88</f>
        <v>716</v>
      </c>
      <c r="E88" s="13">
        <f t="shared" si="7"/>
        <v>656</v>
      </c>
      <c r="F88" s="14">
        <v>224</v>
      </c>
      <c r="G88" s="13">
        <f>ROUND(G66*1.19*0.14+(G83)*1.19*0.27,0)</f>
        <v>176</v>
      </c>
      <c r="H88" s="14">
        <v>102</v>
      </c>
      <c r="I88" s="13">
        <f>ROUND(I66*1.19*0.14+(I83)*1.19*0.27,0)</f>
        <v>96</v>
      </c>
      <c r="J88" s="64"/>
      <c r="K88" s="13">
        <f>ROUND(K66*1.19*0.14+(K83)*1.19*0.27,0)</f>
        <v>0</v>
      </c>
      <c r="L88" s="64">
        <v>390</v>
      </c>
      <c r="M88" s="13">
        <f>ROUND(M66*1.19*0.14+(M83)*1.19*0.27,0)</f>
        <v>384</v>
      </c>
      <c r="N88" s="64"/>
      <c r="O88" s="64"/>
      <c r="P88" s="64"/>
      <c r="Q88" s="64"/>
      <c r="R88" s="64"/>
      <c r="S88" s="64"/>
      <c r="T88" s="64"/>
      <c r="U88" s="64"/>
    </row>
    <row r="89" spans="1:21" s="15" customFormat="1" ht="11.45" customHeight="1" x14ac:dyDescent="0.25">
      <c r="A89" s="11"/>
      <c r="B89" s="11"/>
      <c r="C89" s="12" t="s">
        <v>62</v>
      </c>
      <c r="D89" s="13">
        <f t="shared" si="7"/>
        <v>2000</v>
      </c>
      <c r="E89" s="13">
        <f t="shared" si="7"/>
        <v>2000</v>
      </c>
      <c r="F89" s="14">
        <v>2000</v>
      </c>
      <c r="G89" s="14">
        <v>2000</v>
      </c>
      <c r="H89" s="14"/>
      <c r="I89" s="51"/>
      <c r="J89" s="64"/>
      <c r="K89" s="79"/>
      <c r="L89" s="64">
        <v>0</v>
      </c>
      <c r="M89" s="79">
        <v>0</v>
      </c>
      <c r="N89" s="64"/>
      <c r="O89" s="64"/>
      <c r="P89" s="64"/>
      <c r="Q89" s="64"/>
      <c r="R89" s="64"/>
      <c r="S89" s="64"/>
      <c r="T89" s="64"/>
      <c r="U89" s="64"/>
    </row>
    <row r="90" spans="1:21" s="15" customFormat="1" ht="11.45" customHeight="1" x14ac:dyDescent="0.25">
      <c r="A90" s="11"/>
      <c r="B90" s="11"/>
      <c r="C90" s="12" t="s">
        <v>63</v>
      </c>
      <c r="D90" s="13">
        <f t="shared" si="7"/>
        <v>785</v>
      </c>
      <c r="E90" s="13">
        <f t="shared" si="7"/>
        <v>750</v>
      </c>
      <c r="F90" s="14">
        <v>230</v>
      </c>
      <c r="G90" s="14">
        <f>ROUND((G84+G67)*1.19*0.16,0)</f>
        <v>201</v>
      </c>
      <c r="H90" s="14">
        <v>113</v>
      </c>
      <c r="I90" s="14">
        <f>ROUND((I84+I67)*1.19*0.16,0)</f>
        <v>110</v>
      </c>
      <c r="J90" s="64"/>
      <c r="K90" s="14">
        <f>ROUND((K84+K67)*1.19*0.16,0)</f>
        <v>0</v>
      </c>
      <c r="L90" s="64">
        <v>442</v>
      </c>
      <c r="M90" s="14">
        <f>ROUND((M84+M67)*1.19*0.16,0)</f>
        <v>439</v>
      </c>
      <c r="N90" s="64"/>
      <c r="O90" s="64"/>
      <c r="P90" s="64"/>
      <c r="Q90" s="64"/>
      <c r="R90" s="64"/>
      <c r="S90" s="64"/>
      <c r="T90" s="64"/>
      <c r="U90" s="64"/>
    </row>
    <row r="91" spans="1:21" s="3" customFormat="1" ht="12.75" customHeight="1" x14ac:dyDescent="0.25">
      <c r="A91" s="20" t="s">
        <v>64</v>
      </c>
      <c r="B91" s="20" t="s">
        <v>65</v>
      </c>
      <c r="C91" s="21" t="s">
        <v>287</v>
      </c>
      <c r="D91" s="22">
        <f>D87+D88+D89+D90</f>
        <v>30152</v>
      </c>
      <c r="E91" s="22">
        <f t="shared" ref="E91:Q91" si="8">E87+E88+E89+E90</f>
        <v>33469</v>
      </c>
      <c r="F91" s="22">
        <f t="shared" si="8"/>
        <v>11650</v>
      </c>
      <c r="G91" s="22">
        <f t="shared" si="8"/>
        <v>13101</v>
      </c>
      <c r="H91" s="22">
        <f t="shared" si="8"/>
        <v>3742</v>
      </c>
      <c r="I91" s="53">
        <f t="shared" si="8"/>
        <v>4000</v>
      </c>
      <c r="J91" s="53">
        <f t="shared" si="8"/>
        <v>0</v>
      </c>
      <c r="K91" s="53">
        <f t="shared" si="8"/>
        <v>0</v>
      </c>
      <c r="L91" s="22">
        <f t="shared" si="8"/>
        <v>14760</v>
      </c>
      <c r="M91" s="22">
        <f t="shared" si="8"/>
        <v>16368</v>
      </c>
      <c r="N91" s="22">
        <f t="shared" si="8"/>
        <v>0</v>
      </c>
      <c r="O91" s="22">
        <f t="shared" si="8"/>
        <v>0</v>
      </c>
      <c r="P91" s="22">
        <f t="shared" si="8"/>
        <v>0</v>
      </c>
      <c r="Q91" s="22">
        <f t="shared" si="8"/>
        <v>0</v>
      </c>
      <c r="R91" s="22">
        <f>R87+R88+R89+R90</f>
        <v>0</v>
      </c>
      <c r="S91" s="66"/>
      <c r="T91" s="22"/>
      <c r="U91" s="66"/>
    </row>
    <row r="92" spans="1:21" s="3" customFormat="1" ht="14.1" customHeight="1" x14ac:dyDescent="0.25">
      <c r="A92" s="1034" t="s">
        <v>66</v>
      </c>
      <c r="B92" s="1035"/>
      <c r="C92" s="1036"/>
      <c r="D92" s="84">
        <f>D86+D91</f>
        <v>135935</v>
      </c>
      <c r="E92" s="84">
        <f t="shared" ref="E92:Q92" si="9">E86+E91</f>
        <v>151631</v>
      </c>
      <c r="F92" s="84">
        <f t="shared" si="9"/>
        <v>47896</v>
      </c>
      <c r="G92" s="84">
        <f t="shared" si="9"/>
        <v>55099</v>
      </c>
      <c r="H92" s="84">
        <f t="shared" si="9"/>
        <v>17660</v>
      </c>
      <c r="I92" s="85">
        <f t="shared" si="9"/>
        <v>19249</v>
      </c>
      <c r="J92" s="85">
        <f t="shared" si="9"/>
        <v>0</v>
      </c>
      <c r="K92" s="85">
        <f t="shared" si="9"/>
        <v>0</v>
      </c>
      <c r="L92" s="84">
        <f t="shared" si="9"/>
        <v>70379</v>
      </c>
      <c r="M92" s="84">
        <f t="shared" si="9"/>
        <v>77283</v>
      </c>
      <c r="N92" s="84">
        <f t="shared" si="9"/>
        <v>0</v>
      </c>
      <c r="O92" s="84">
        <f t="shared" si="9"/>
        <v>0</v>
      </c>
      <c r="P92" s="84">
        <f t="shared" si="9"/>
        <v>0</v>
      </c>
      <c r="Q92" s="84">
        <f t="shared" si="9"/>
        <v>0</v>
      </c>
      <c r="R92" s="84">
        <f>R86+R91</f>
        <v>0</v>
      </c>
      <c r="S92" s="86"/>
      <c r="T92" s="84"/>
      <c r="U92" s="86"/>
    </row>
    <row r="93" spans="1:21" s="3" customFormat="1" ht="14.1" customHeight="1" x14ac:dyDescent="0.2">
      <c r="A93" s="73"/>
      <c r="B93" s="73"/>
      <c r="C93" s="73"/>
      <c r="D93" s="73"/>
      <c r="E93" s="73"/>
      <c r="F93" s="73"/>
      <c r="G93" s="73"/>
      <c r="H93" s="73"/>
      <c r="I93" s="73"/>
      <c r="J93" s="73"/>
      <c r="K93" s="73"/>
      <c r="L93" s="73"/>
      <c r="M93" s="73"/>
      <c r="N93" s="73"/>
      <c r="O93" s="73"/>
      <c r="P93" s="73"/>
      <c r="Q93" s="73"/>
      <c r="R93" s="73"/>
      <c r="S93" s="73"/>
      <c r="T93" s="73"/>
      <c r="U93" s="73"/>
    </row>
    <row r="94" spans="1:21" s="3" customFormat="1" ht="14.1" customHeight="1" x14ac:dyDescent="0.2">
      <c r="A94" s="73"/>
      <c r="B94" s="73"/>
      <c r="C94" s="73"/>
      <c r="D94" s="73"/>
      <c r="E94" s="73"/>
      <c r="F94" s="73"/>
      <c r="G94" s="73"/>
      <c r="H94" s="73"/>
      <c r="I94" s="73"/>
      <c r="J94" s="73"/>
      <c r="K94" s="73"/>
      <c r="L94" s="73"/>
      <c r="M94" s="73"/>
      <c r="N94" s="73"/>
      <c r="O94" s="73"/>
      <c r="P94" s="73"/>
      <c r="Q94" s="73"/>
      <c r="R94" s="73"/>
      <c r="S94" s="73"/>
      <c r="T94" s="73"/>
      <c r="U94" s="73"/>
    </row>
    <row r="95" spans="1:21" s="3" customFormat="1" ht="14.1" customHeight="1" x14ac:dyDescent="0.2">
      <c r="A95" s="87"/>
      <c r="B95" s="87"/>
      <c r="C95" s="87"/>
      <c r="D95" s="87"/>
      <c r="E95" s="87"/>
      <c r="F95" s="87"/>
      <c r="G95" s="87"/>
      <c r="H95" s="87"/>
      <c r="I95" s="87"/>
      <c r="J95" s="87"/>
      <c r="K95" s="87"/>
      <c r="L95" s="87"/>
      <c r="M95" s="87"/>
      <c r="N95" s="87"/>
      <c r="O95" s="87"/>
      <c r="P95" s="87"/>
      <c r="Q95" s="87"/>
      <c r="R95" s="87"/>
      <c r="S95" s="87"/>
      <c r="T95" s="87"/>
      <c r="U95" s="87"/>
    </row>
    <row r="96" spans="1:21" s="1" customFormat="1" ht="12.75" customHeight="1" x14ac:dyDescent="0.25">
      <c r="A96" s="974" t="s">
        <v>410</v>
      </c>
      <c r="B96" s="974"/>
      <c r="C96" s="974"/>
      <c r="D96" s="974"/>
      <c r="E96" s="974"/>
      <c r="F96" s="974"/>
      <c r="G96" s="974"/>
      <c r="H96" s="974"/>
      <c r="I96" s="974"/>
      <c r="J96" s="974"/>
      <c r="K96" s="974"/>
      <c r="L96" s="974" t="s">
        <v>410</v>
      </c>
      <c r="M96" s="974"/>
      <c r="N96" s="974"/>
      <c r="O96" s="974"/>
      <c r="P96" s="974"/>
      <c r="Q96" s="974"/>
      <c r="R96" s="974"/>
      <c r="S96" s="974"/>
      <c r="T96" s="974"/>
      <c r="U96" s="974"/>
    </row>
    <row r="97" spans="1:21" s="1" customFormat="1" ht="14.1" customHeight="1" x14ac:dyDescent="0.25">
      <c r="A97" s="1027" t="s">
        <v>0</v>
      </c>
      <c r="B97" s="1028" t="s">
        <v>1</v>
      </c>
      <c r="C97" s="1027" t="s">
        <v>2</v>
      </c>
      <c r="D97" s="970" t="s">
        <v>260</v>
      </c>
      <c r="E97" s="1030" t="s">
        <v>259</v>
      </c>
      <c r="F97" s="1025" t="s">
        <v>411</v>
      </c>
      <c r="G97" s="1029"/>
      <c r="H97" s="1025" t="s">
        <v>412</v>
      </c>
      <c r="I97" s="1026"/>
      <c r="J97" s="1023" t="s">
        <v>413</v>
      </c>
      <c r="K97" s="1033"/>
      <c r="L97" s="1023" t="s">
        <v>414</v>
      </c>
      <c r="M97" s="1033"/>
      <c r="N97" s="1023" t="s">
        <v>415</v>
      </c>
      <c r="O97" s="1024"/>
      <c r="P97" s="1031" t="s">
        <v>416</v>
      </c>
      <c r="Q97" s="1032"/>
      <c r="R97" s="1031" t="s">
        <v>417</v>
      </c>
      <c r="S97" s="1032"/>
      <c r="T97" s="1031"/>
      <c r="U97" s="1032"/>
    </row>
    <row r="98" spans="1:21" s="3" customFormat="1" ht="33" customHeight="1" x14ac:dyDescent="0.25">
      <c r="A98" s="974"/>
      <c r="B98" s="975"/>
      <c r="C98" s="974"/>
      <c r="D98" s="976"/>
      <c r="E98" s="970"/>
      <c r="F98" s="2" t="s">
        <v>260</v>
      </c>
      <c r="G98" s="2" t="s">
        <v>259</v>
      </c>
      <c r="H98" s="2" t="s">
        <v>260</v>
      </c>
      <c r="I98" s="48" t="s">
        <v>259</v>
      </c>
      <c r="J98" s="2" t="s">
        <v>260</v>
      </c>
      <c r="K98" s="48" t="s">
        <v>259</v>
      </c>
      <c r="L98" s="60" t="s">
        <v>260</v>
      </c>
      <c r="M98" s="75" t="s">
        <v>259</v>
      </c>
      <c r="N98" s="81" t="s">
        <v>260</v>
      </c>
      <c r="O98" s="47" t="s">
        <v>259</v>
      </c>
      <c r="P98" s="82" t="s">
        <v>260</v>
      </c>
      <c r="Q98" s="83" t="s">
        <v>259</v>
      </c>
      <c r="R98" s="82" t="s">
        <v>260</v>
      </c>
      <c r="S98" s="83" t="s">
        <v>259</v>
      </c>
      <c r="T98" s="82"/>
      <c r="U98" s="83"/>
    </row>
    <row r="99" spans="1:21" ht="5.65" customHeight="1" x14ac:dyDescent="0.25">
      <c r="J99" s="61"/>
      <c r="K99" s="76"/>
      <c r="L99" s="61"/>
      <c r="M99" s="76"/>
      <c r="N99" s="61"/>
      <c r="O99" s="61"/>
      <c r="P99" s="61"/>
      <c r="Q99" s="61"/>
      <c r="R99" s="61"/>
      <c r="S99" s="61"/>
      <c r="T99" s="61"/>
      <c r="U99" s="61"/>
    </row>
    <row r="100" spans="1:21" ht="14.1" customHeight="1" x14ac:dyDescent="0.25">
      <c r="A100" s="973" t="s">
        <v>288</v>
      </c>
      <c r="B100" s="973"/>
      <c r="C100" s="973"/>
      <c r="D100" s="973"/>
      <c r="E100" s="973"/>
      <c r="F100" s="973"/>
      <c r="G100" s="973"/>
      <c r="H100" s="973"/>
      <c r="I100" s="973"/>
      <c r="J100" s="62"/>
      <c r="K100" s="77"/>
      <c r="L100" s="62"/>
      <c r="M100" s="77"/>
      <c r="N100" s="62"/>
      <c r="O100" s="62"/>
      <c r="P100" s="62"/>
      <c r="Q100" s="62"/>
      <c r="R100" s="62"/>
      <c r="S100" s="62"/>
      <c r="T100" s="62"/>
      <c r="U100" s="62"/>
    </row>
    <row r="101" spans="1:21" s="3" customFormat="1" ht="14.1" customHeight="1" x14ac:dyDescent="0.25">
      <c r="A101" s="7" t="s">
        <v>67</v>
      </c>
      <c r="B101" s="7" t="s">
        <v>68</v>
      </c>
      <c r="C101" s="8" t="s">
        <v>69</v>
      </c>
      <c r="D101" s="9">
        <f>F101+H101+J101+L101+N101+P101+R101</f>
        <v>210</v>
      </c>
      <c r="E101" s="9">
        <f>G101+I101+K101+M101+O101+Q101+S101</f>
        <v>225</v>
      </c>
      <c r="F101" s="10">
        <f t="shared" ref="F101:P101" si="10">SUM(F102:F107)</f>
        <v>100</v>
      </c>
      <c r="G101" s="10">
        <f t="shared" si="10"/>
        <v>100</v>
      </c>
      <c r="H101" s="10">
        <f t="shared" si="10"/>
        <v>10</v>
      </c>
      <c r="I101" s="50">
        <f t="shared" si="10"/>
        <v>25</v>
      </c>
      <c r="J101" s="50">
        <f t="shared" si="10"/>
        <v>0</v>
      </c>
      <c r="K101" s="50">
        <f t="shared" si="10"/>
        <v>0</v>
      </c>
      <c r="L101" s="63">
        <f t="shared" si="10"/>
        <v>100</v>
      </c>
      <c r="M101" s="63">
        <f t="shared" si="10"/>
        <v>100</v>
      </c>
      <c r="N101" s="63">
        <f t="shared" si="10"/>
        <v>0</v>
      </c>
      <c r="O101" s="63">
        <f t="shared" si="10"/>
        <v>0</v>
      </c>
      <c r="P101" s="63">
        <f t="shared" si="10"/>
        <v>0</v>
      </c>
      <c r="Q101" s="63">
        <v>0</v>
      </c>
      <c r="R101" s="63">
        <f>SUM(R102:R107)</f>
        <v>0</v>
      </c>
      <c r="S101" s="63"/>
      <c r="T101" s="63"/>
      <c r="U101" s="63"/>
    </row>
    <row r="102" spans="1:21" ht="14.1" customHeight="1" x14ac:dyDescent="0.25">
      <c r="A102" s="24"/>
      <c r="B102" s="24"/>
      <c r="C102" s="25" t="s">
        <v>70</v>
      </c>
      <c r="D102" s="26"/>
      <c r="E102" s="26"/>
      <c r="F102" s="26">
        <v>10</v>
      </c>
      <c r="G102" s="26"/>
      <c r="H102" s="26">
        <v>10</v>
      </c>
      <c r="I102" s="56"/>
      <c r="J102" s="61"/>
      <c r="K102" s="76"/>
      <c r="L102" s="61">
        <v>40</v>
      </c>
      <c r="M102" s="76">
        <v>10</v>
      </c>
      <c r="N102" s="61"/>
      <c r="O102" s="61"/>
      <c r="P102" s="61"/>
      <c r="Q102" s="61"/>
      <c r="R102" s="61"/>
      <c r="S102" s="61"/>
      <c r="T102" s="61"/>
      <c r="U102" s="61"/>
    </row>
    <row r="103" spans="1:21" ht="14.1" customHeight="1" x14ac:dyDescent="0.25">
      <c r="A103" s="24"/>
      <c r="B103" s="24"/>
      <c r="C103" s="25" t="s">
        <v>71</v>
      </c>
      <c r="D103" s="26"/>
      <c r="E103" s="26"/>
      <c r="F103" s="26"/>
      <c r="G103" s="26"/>
      <c r="H103" s="26"/>
      <c r="I103" s="56"/>
      <c r="J103" s="61"/>
      <c r="K103" s="76"/>
      <c r="L103" s="61"/>
      <c r="M103" s="76"/>
      <c r="N103" s="61"/>
      <c r="O103" s="61"/>
      <c r="P103" s="61"/>
      <c r="Q103" s="61"/>
      <c r="R103" s="61"/>
      <c r="S103" s="61"/>
      <c r="T103" s="61"/>
      <c r="U103" s="61"/>
    </row>
    <row r="104" spans="1:21" ht="14.1" customHeight="1" x14ac:dyDescent="0.25">
      <c r="A104" s="24"/>
      <c r="B104" s="24"/>
      <c r="C104" s="25" t="s">
        <v>72</v>
      </c>
      <c r="D104" s="26"/>
      <c r="E104" s="26"/>
      <c r="F104" s="26">
        <v>80</v>
      </c>
      <c r="G104" s="26">
        <v>80</v>
      </c>
      <c r="H104" s="26"/>
      <c r="I104" s="56"/>
      <c r="J104" s="61"/>
      <c r="K104" s="76"/>
      <c r="L104" s="61">
        <v>50</v>
      </c>
      <c r="M104" s="76">
        <v>50</v>
      </c>
      <c r="N104" s="61"/>
      <c r="O104" s="61"/>
      <c r="P104" s="61"/>
      <c r="Q104" s="61"/>
      <c r="R104" s="61"/>
      <c r="S104" s="61"/>
      <c r="T104" s="61"/>
      <c r="U104" s="61"/>
    </row>
    <row r="105" spans="1:21" ht="14.1" customHeight="1" x14ac:dyDescent="0.25">
      <c r="A105" s="24"/>
      <c r="B105" s="24"/>
      <c r="C105" s="25" t="s">
        <v>73</v>
      </c>
      <c r="D105" s="26"/>
      <c r="E105" s="26"/>
      <c r="F105" s="26">
        <v>10</v>
      </c>
      <c r="G105" s="26"/>
      <c r="H105" s="26"/>
      <c r="I105" s="56"/>
      <c r="J105" s="61"/>
      <c r="K105" s="76"/>
      <c r="L105" s="61">
        <v>10</v>
      </c>
      <c r="M105" s="76">
        <v>10</v>
      </c>
      <c r="N105" s="61"/>
      <c r="O105" s="61"/>
      <c r="P105" s="61"/>
      <c r="Q105" s="61"/>
      <c r="R105" s="61"/>
      <c r="S105" s="61"/>
      <c r="T105" s="61"/>
      <c r="U105" s="61"/>
    </row>
    <row r="106" spans="1:21" ht="14.1" customHeight="1" x14ac:dyDescent="0.25">
      <c r="A106" s="24"/>
      <c r="B106" s="24"/>
      <c r="C106" s="25" t="s">
        <v>74</v>
      </c>
      <c r="D106" s="26"/>
      <c r="E106" s="26"/>
      <c r="F106" s="26"/>
      <c r="G106" s="26"/>
      <c r="H106" s="26"/>
      <c r="I106" s="56"/>
      <c r="J106" s="61"/>
      <c r="K106" s="76"/>
      <c r="L106" s="61"/>
      <c r="M106" s="76"/>
      <c r="N106" s="61"/>
      <c r="O106" s="61"/>
      <c r="P106" s="61"/>
      <c r="Q106" s="61"/>
      <c r="R106" s="61"/>
      <c r="S106" s="61"/>
      <c r="T106" s="61"/>
      <c r="U106" s="61"/>
    </row>
    <row r="107" spans="1:21" ht="14.1" customHeight="1" x14ac:dyDescent="0.25">
      <c r="A107" s="24"/>
      <c r="B107" s="24"/>
      <c r="C107" s="25" t="s">
        <v>75</v>
      </c>
      <c r="D107" s="26"/>
      <c r="E107" s="26"/>
      <c r="F107" s="26"/>
      <c r="G107" s="26">
        <v>20</v>
      </c>
      <c r="H107" s="26"/>
      <c r="I107" s="56">
        <v>25</v>
      </c>
      <c r="J107" s="61"/>
      <c r="K107" s="76"/>
      <c r="L107" s="61"/>
      <c r="M107" s="76">
        <v>30</v>
      </c>
      <c r="N107" s="61"/>
      <c r="O107" s="61"/>
      <c r="P107" s="61"/>
      <c r="Q107" s="61"/>
      <c r="R107" s="61"/>
      <c r="S107" s="61"/>
      <c r="T107" s="61"/>
      <c r="U107" s="61"/>
    </row>
    <row r="108" spans="1:21" s="3" customFormat="1" ht="14.1" customHeight="1" x14ac:dyDescent="0.25">
      <c r="A108" s="7" t="s">
        <v>76</v>
      </c>
      <c r="B108" s="7" t="s">
        <v>77</v>
      </c>
      <c r="C108" s="8" t="s">
        <v>78</v>
      </c>
      <c r="D108" s="9">
        <f>F108+H108+J108+L108+N108+P108+R108</f>
        <v>10455</v>
      </c>
      <c r="E108" s="9">
        <f>G108+I108+K108+M108+O108+Q108+S108</f>
        <v>11405</v>
      </c>
      <c r="F108" s="10">
        <f t="shared" ref="F108:P108" si="11">SUM(F109:F114)</f>
        <v>1100</v>
      </c>
      <c r="G108" s="10">
        <f t="shared" si="11"/>
        <v>1500</v>
      </c>
      <c r="H108" s="10">
        <f t="shared" si="11"/>
        <v>405</v>
      </c>
      <c r="I108" s="50">
        <f t="shared" si="11"/>
        <v>405</v>
      </c>
      <c r="J108" s="50">
        <f t="shared" si="11"/>
        <v>650</v>
      </c>
      <c r="K108" s="50">
        <f t="shared" si="11"/>
        <v>500</v>
      </c>
      <c r="L108" s="63">
        <f t="shared" si="11"/>
        <v>2365</v>
      </c>
      <c r="M108" s="63">
        <f t="shared" si="11"/>
        <v>2565</v>
      </c>
      <c r="N108" s="63">
        <f t="shared" si="11"/>
        <v>5935</v>
      </c>
      <c r="O108" s="63">
        <f t="shared" si="11"/>
        <v>6435</v>
      </c>
      <c r="P108" s="63">
        <f t="shared" si="11"/>
        <v>0</v>
      </c>
      <c r="Q108" s="63">
        <v>0</v>
      </c>
      <c r="R108" s="63">
        <f>SUM(R109:R114)</f>
        <v>0</v>
      </c>
      <c r="S108" s="63"/>
      <c r="T108" s="63"/>
      <c r="U108" s="63"/>
    </row>
    <row r="109" spans="1:21" ht="14.1" customHeight="1" x14ac:dyDescent="0.25">
      <c r="A109" s="24"/>
      <c r="B109" s="24"/>
      <c r="C109" s="25" t="s">
        <v>79</v>
      </c>
      <c r="D109" s="26"/>
      <c r="E109" s="26"/>
      <c r="F109" s="26"/>
      <c r="G109" s="26"/>
      <c r="H109" s="26"/>
      <c r="I109" s="56"/>
      <c r="J109" s="61"/>
      <c r="K109" s="76"/>
      <c r="L109" s="61"/>
      <c r="M109" s="76"/>
      <c r="N109" s="61">
        <v>5935</v>
      </c>
      <c r="O109" s="61">
        <v>5935</v>
      </c>
      <c r="P109" s="61"/>
      <c r="Q109" s="61"/>
      <c r="R109" s="61"/>
      <c r="S109" s="61"/>
      <c r="T109" s="61"/>
      <c r="U109" s="61"/>
    </row>
    <row r="110" spans="1:21" ht="14.1" customHeight="1" x14ac:dyDescent="0.25">
      <c r="A110" s="24"/>
      <c r="B110" s="24"/>
      <c r="C110" s="25" t="s">
        <v>80</v>
      </c>
      <c r="D110" s="26"/>
      <c r="E110" s="26"/>
      <c r="F110" s="26">
        <v>150</v>
      </c>
      <c r="G110" s="26">
        <v>200</v>
      </c>
      <c r="H110" s="26">
        <v>100</v>
      </c>
      <c r="I110" s="56">
        <v>100</v>
      </c>
      <c r="J110" s="61"/>
      <c r="K110" s="76"/>
      <c r="L110" s="61">
        <v>200</v>
      </c>
      <c r="M110" s="76">
        <v>200</v>
      </c>
      <c r="N110" s="61"/>
      <c r="O110" s="61"/>
      <c r="P110" s="61"/>
      <c r="Q110" s="61"/>
      <c r="R110" s="61"/>
      <c r="S110" s="61"/>
      <c r="T110" s="61"/>
      <c r="U110" s="61"/>
    </row>
    <row r="111" spans="1:21" ht="14.1" customHeight="1" x14ac:dyDescent="0.25">
      <c r="A111" s="24"/>
      <c r="B111" s="24"/>
      <c r="C111" s="25" t="s">
        <v>81</v>
      </c>
      <c r="D111" s="26"/>
      <c r="E111" s="26"/>
      <c r="F111" s="26"/>
      <c r="G111" s="26"/>
      <c r="H111" s="26"/>
      <c r="I111" s="56"/>
      <c r="J111" s="61"/>
      <c r="K111" s="76"/>
      <c r="L111" s="61"/>
      <c r="M111" s="76"/>
      <c r="N111" s="61"/>
      <c r="O111" s="61"/>
      <c r="P111" s="61"/>
      <c r="Q111" s="61"/>
      <c r="R111" s="61"/>
      <c r="S111" s="61"/>
      <c r="T111" s="61"/>
      <c r="U111" s="61"/>
    </row>
    <row r="112" spans="1:21" ht="14.1" customHeight="1" x14ac:dyDescent="0.25">
      <c r="A112" s="24"/>
      <c r="B112" s="24"/>
      <c r="C112" s="25" t="s">
        <v>82</v>
      </c>
      <c r="D112" s="26"/>
      <c r="E112" s="26"/>
      <c r="F112" s="26"/>
      <c r="G112" s="26"/>
      <c r="H112" s="26">
        <v>5</v>
      </c>
      <c r="I112" s="56">
        <v>5</v>
      </c>
      <c r="J112" s="61">
        <v>600</v>
      </c>
      <c r="K112" s="76">
        <v>450</v>
      </c>
      <c r="L112" s="61">
        <v>15</v>
      </c>
      <c r="M112" s="76">
        <v>15</v>
      </c>
      <c r="N112" s="61"/>
      <c r="O112" s="61"/>
      <c r="P112" s="61"/>
      <c r="Q112" s="61"/>
      <c r="R112" s="61"/>
      <c r="S112" s="61"/>
      <c r="T112" s="61"/>
      <c r="U112" s="61"/>
    </row>
    <row r="113" spans="1:21" ht="14.1" customHeight="1" x14ac:dyDescent="0.25">
      <c r="A113" s="24"/>
      <c r="B113" s="24"/>
      <c r="C113" s="25" t="s">
        <v>83</v>
      </c>
      <c r="D113" s="26"/>
      <c r="E113" s="26"/>
      <c r="F113" s="26"/>
      <c r="G113" s="26"/>
      <c r="H113" s="26"/>
      <c r="I113" s="56"/>
      <c r="J113" s="61"/>
      <c r="K113" s="76"/>
      <c r="L113" s="61">
        <v>150</v>
      </c>
      <c r="M113" s="76">
        <v>600</v>
      </c>
      <c r="N113" s="61"/>
      <c r="O113" s="61"/>
      <c r="P113" s="61"/>
      <c r="Q113" s="61"/>
      <c r="R113" s="61"/>
      <c r="S113" s="61"/>
      <c r="T113" s="61"/>
      <c r="U113" s="61"/>
    </row>
    <row r="114" spans="1:21" ht="14.1" customHeight="1" x14ac:dyDescent="0.25">
      <c r="A114" s="24"/>
      <c r="B114" s="24"/>
      <c r="C114" s="25" t="s">
        <v>84</v>
      </c>
      <c r="D114" s="26"/>
      <c r="E114" s="26"/>
      <c r="F114" s="26">
        <v>950</v>
      </c>
      <c r="G114" s="26">
        <v>1300</v>
      </c>
      <c r="H114" s="26">
        <v>300</v>
      </c>
      <c r="I114" s="56">
        <v>300</v>
      </c>
      <c r="J114" s="61">
        <v>50</v>
      </c>
      <c r="K114" s="76">
        <v>50</v>
      </c>
      <c r="L114" s="61">
        <v>2000</v>
      </c>
      <c r="M114" s="76">
        <v>1750</v>
      </c>
      <c r="N114" s="61"/>
      <c r="O114" s="61">
        <v>500</v>
      </c>
      <c r="P114" s="61"/>
      <c r="Q114" s="61"/>
      <c r="R114" s="61"/>
      <c r="S114" s="61"/>
      <c r="T114" s="61"/>
      <c r="U114" s="61"/>
    </row>
    <row r="115" spans="1:21" s="3" customFormat="1" ht="14.1" customHeight="1" x14ac:dyDescent="0.25">
      <c r="A115" s="7" t="s">
        <v>85</v>
      </c>
      <c r="B115" s="7" t="s">
        <v>86</v>
      </c>
      <c r="C115" s="8" t="s">
        <v>87</v>
      </c>
      <c r="D115" s="9">
        <f>F115+H115+J115+L115+N115+P115+R115</f>
        <v>0</v>
      </c>
      <c r="E115" s="9">
        <f>G115+I115+K115+M115+O115+Q115+S115</f>
        <v>0</v>
      </c>
      <c r="F115" s="10">
        <f>SUM(F116:F117)</f>
        <v>0</v>
      </c>
      <c r="G115" s="10">
        <f t="shared" ref="G115:P115" si="12">SUM(G116:G117)</f>
        <v>0</v>
      </c>
      <c r="H115" s="10">
        <f t="shared" si="12"/>
        <v>0</v>
      </c>
      <c r="I115" s="50">
        <f t="shared" si="12"/>
        <v>0</v>
      </c>
      <c r="J115" s="50">
        <f t="shared" si="12"/>
        <v>0</v>
      </c>
      <c r="K115" s="50">
        <f t="shared" si="12"/>
        <v>0</v>
      </c>
      <c r="L115" s="50">
        <f t="shared" si="12"/>
        <v>0</v>
      </c>
      <c r="M115" s="50">
        <f t="shared" si="12"/>
        <v>0</v>
      </c>
      <c r="N115" s="50">
        <f t="shared" si="12"/>
        <v>0</v>
      </c>
      <c r="O115" s="50">
        <f t="shared" si="12"/>
        <v>0</v>
      </c>
      <c r="P115" s="50">
        <f t="shared" si="12"/>
        <v>0</v>
      </c>
      <c r="Q115" s="63">
        <v>0</v>
      </c>
      <c r="R115" s="50">
        <f>SUM(R116:R117)</f>
        <v>0</v>
      </c>
      <c r="S115" s="63"/>
      <c r="T115" s="50"/>
      <c r="U115" s="63"/>
    </row>
    <row r="116" spans="1:21" ht="14.1" customHeight="1" x14ac:dyDescent="0.25">
      <c r="A116" s="24"/>
      <c r="B116" s="24"/>
      <c r="C116" s="25" t="s">
        <v>88</v>
      </c>
      <c r="D116" s="26"/>
      <c r="E116" s="26"/>
      <c r="F116" s="26"/>
      <c r="G116" s="26"/>
      <c r="H116" s="26"/>
      <c r="I116" s="56"/>
      <c r="J116" s="61"/>
      <c r="K116" s="76"/>
      <c r="L116" s="61"/>
      <c r="M116" s="76"/>
      <c r="N116" s="61"/>
      <c r="O116" s="61"/>
      <c r="P116" s="61"/>
      <c r="Q116" s="61"/>
      <c r="R116" s="61"/>
      <c r="S116" s="61"/>
      <c r="T116" s="61"/>
      <c r="U116" s="61"/>
    </row>
    <row r="117" spans="1:21" ht="14.1" customHeight="1" x14ac:dyDescent="0.25">
      <c r="A117" s="24"/>
      <c r="B117" s="24"/>
      <c r="C117" s="25" t="s">
        <v>89</v>
      </c>
      <c r="D117" s="26"/>
      <c r="E117" s="26"/>
      <c r="F117" s="26"/>
      <c r="G117" s="26"/>
      <c r="H117" s="26"/>
      <c r="I117" s="56"/>
      <c r="J117" s="61"/>
      <c r="K117" s="76"/>
      <c r="L117" s="61"/>
      <c r="M117" s="76"/>
      <c r="N117" s="61"/>
      <c r="O117" s="61"/>
      <c r="P117" s="61"/>
      <c r="Q117" s="61"/>
      <c r="R117" s="61"/>
      <c r="S117" s="61"/>
      <c r="T117" s="61"/>
      <c r="U117" s="61"/>
    </row>
    <row r="118" spans="1:21" s="3" customFormat="1" ht="14.1" customHeight="1" x14ac:dyDescent="0.25">
      <c r="A118" s="16" t="s">
        <v>90</v>
      </c>
      <c r="B118" s="16" t="s">
        <v>91</v>
      </c>
      <c r="C118" s="17" t="s">
        <v>92</v>
      </c>
      <c r="D118" s="19">
        <f>D101+D108</f>
        <v>10665</v>
      </c>
      <c r="E118" s="19">
        <f t="shared" ref="E118:Q118" si="13">E101+E108</f>
        <v>11630</v>
      </c>
      <c r="F118" s="19">
        <f t="shared" si="13"/>
        <v>1200</v>
      </c>
      <c r="G118" s="19">
        <f t="shared" si="13"/>
        <v>1600</v>
      </c>
      <c r="H118" s="19">
        <f t="shared" si="13"/>
        <v>415</v>
      </c>
      <c r="I118" s="57">
        <f t="shared" si="13"/>
        <v>430</v>
      </c>
      <c r="J118" s="57">
        <f t="shared" si="13"/>
        <v>650</v>
      </c>
      <c r="K118" s="57">
        <f t="shared" si="13"/>
        <v>500</v>
      </c>
      <c r="L118" s="57">
        <f t="shared" si="13"/>
        <v>2465</v>
      </c>
      <c r="M118" s="57">
        <f t="shared" si="13"/>
        <v>2665</v>
      </c>
      <c r="N118" s="57">
        <f t="shared" si="13"/>
        <v>5935</v>
      </c>
      <c r="O118" s="57">
        <f t="shared" si="13"/>
        <v>6435</v>
      </c>
      <c r="P118" s="57">
        <f t="shared" si="13"/>
        <v>0</v>
      </c>
      <c r="Q118" s="57">
        <f t="shared" si="13"/>
        <v>0</v>
      </c>
      <c r="R118" s="57">
        <f>R101+R108</f>
        <v>0</v>
      </c>
      <c r="S118" s="69"/>
      <c r="T118" s="57"/>
      <c r="U118" s="69"/>
    </row>
    <row r="119" spans="1:21" s="3" customFormat="1" ht="14.1" customHeight="1" x14ac:dyDescent="0.25">
      <c r="A119" s="7" t="s">
        <v>93</v>
      </c>
      <c r="B119" s="7" t="s">
        <v>94</v>
      </c>
      <c r="C119" s="8" t="s">
        <v>95</v>
      </c>
      <c r="D119" s="9">
        <f>F119+H119+J119+L119+N119+P119+R119</f>
        <v>1255</v>
      </c>
      <c r="E119" s="9">
        <f>G119+I119+K119+M119+O119+Q119+S119</f>
        <v>1216</v>
      </c>
      <c r="F119" s="10">
        <f>SUM(F120:F125)</f>
        <v>965</v>
      </c>
      <c r="G119" s="10">
        <f>SUM(G120:G125)</f>
        <v>996</v>
      </c>
      <c r="H119" s="10">
        <f t="shared" ref="H119:P119" si="14">SUM(H120:H125)</f>
        <v>160</v>
      </c>
      <c r="I119" s="50">
        <f t="shared" si="14"/>
        <v>120</v>
      </c>
      <c r="J119" s="50">
        <f t="shared" si="14"/>
        <v>0</v>
      </c>
      <c r="K119" s="50">
        <f t="shared" si="14"/>
        <v>0</v>
      </c>
      <c r="L119" s="50">
        <f t="shared" si="14"/>
        <v>130</v>
      </c>
      <c r="M119" s="50">
        <f t="shared" si="14"/>
        <v>100</v>
      </c>
      <c r="N119" s="50">
        <f t="shared" si="14"/>
        <v>0</v>
      </c>
      <c r="O119" s="50">
        <f t="shared" si="14"/>
        <v>0</v>
      </c>
      <c r="P119" s="50">
        <f t="shared" si="14"/>
        <v>0</v>
      </c>
      <c r="Q119" s="63">
        <v>0</v>
      </c>
      <c r="R119" s="50">
        <f>SUM(R120:R125)</f>
        <v>0</v>
      </c>
      <c r="S119" s="63"/>
      <c r="T119" s="50"/>
      <c r="U119" s="63"/>
    </row>
    <row r="120" spans="1:21" ht="14.1" customHeight="1" x14ac:dyDescent="0.25">
      <c r="A120" s="24"/>
      <c r="B120" s="24"/>
      <c r="C120" s="25" t="s">
        <v>96</v>
      </c>
      <c r="D120" s="26"/>
      <c r="E120" s="26"/>
      <c r="F120" s="26"/>
      <c r="G120" s="26"/>
      <c r="H120" s="26"/>
      <c r="I120" s="56"/>
      <c r="J120" s="61"/>
      <c r="K120" s="76"/>
      <c r="L120" s="61"/>
      <c r="M120" s="76"/>
      <c r="N120" s="61"/>
      <c r="O120" s="61"/>
      <c r="P120" s="61"/>
      <c r="Q120" s="61"/>
      <c r="R120" s="61"/>
      <c r="S120" s="61"/>
      <c r="T120" s="61"/>
      <c r="U120" s="61"/>
    </row>
    <row r="121" spans="1:21" ht="14.1" customHeight="1" x14ac:dyDescent="0.25">
      <c r="A121" s="24"/>
      <c r="B121" s="24"/>
      <c r="C121" s="25" t="s">
        <v>97</v>
      </c>
      <c r="D121" s="26"/>
      <c r="E121" s="26"/>
      <c r="F121" s="26">
        <v>10</v>
      </c>
      <c r="G121" s="26">
        <v>10</v>
      </c>
      <c r="H121" s="26">
        <v>100</v>
      </c>
      <c r="I121" s="56">
        <v>120</v>
      </c>
      <c r="J121" s="61"/>
      <c r="K121" s="76"/>
      <c r="L121" s="61"/>
      <c r="M121" s="76"/>
      <c r="N121" s="61"/>
      <c r="O121" s="61"/>
      <c r="P121" s="61"/>
      <c r="Q121" s="61"/>
      <c r="R121" s="61"/>
      <c r="S121" s="61"/>
      <c r="T121" s="61"/>
      <c r="U121" s="61"/>
    </row>
    <row r="122" spans="1:21" ht="14.1" customHeight="1" x14ac:dyDescent="0.25">
      <c r="A122" s="24"/>
      <c r="B122" s="24"/>
      <c r="C122" s="25" t="s">
        <v>98</v>
      </c>
      <c r="D122" s="26"/>
      <c r="E122" s="26"/>
      <c r="F122" s="26">
        <v>300</v>
      </c>
      <c r="G122" s="26">
        <v>300</v>
      </c>
      <c r="H122" s="26"/>
      <c r="I122" s="56"/>
      <c r="J122" s="61"/>
      <c r="K122" s="76"/>
      <c r="L122" s="61"/>
      <c r="M122" s="76"/>
      <c r="N122" s="61"/>
      <c r="O122" s="61"/>
      <c r="P122" s="61"/>
      <c r="Q122" s="61"/>
      <c r="R122" s="61"/>
      <c r="S122" s="61"/>
      <c r="T122" s="61"/>
      <c r="U122" s="61"/>
    </row>
    <row r="123" spans="1:21" ht="14.1" customHeight="1" x14ac:dyDescent="0.25">
      <c r="A123" s="24"/>
      <c r="B123" s="24"/>
      <c r="C123" s="25" t="s">
        <v>99</v>
      </c>
      <c r="D123" s="26"/>
      <c r="E123" s="26"/>
      <c r="F123" s="26">
        <v>150</v>
      </c>
      <c r="G123" s="26">
        <v>150</v>
      </c>
      <c r="H123" s="26">
        <v>20</v>
      </c>
      <c r="I123" s="56"/>
      <c r="J123" s="61"/>
      <c r="K123" s="76"/>
      <c r="L123" s="61">
        <v>50</v>
      </c>
      <c r="M123" s="76">
        <v>100</v>
      </c>
      <c r="N123" s="61"/>
      <c r="O123" s="61"/>
      <c r="P123" s="61"/>
      <c r="Q123" s="61"/>
      <c r="R123" s="61"/>
      <c r="S123" s="61"/>
      <c r="T123" s="61"/>
      <c r="U123" s="61"/>
    </row>
    <row r="124" spans="1:21" ht="14.1" customHeight="1" x14ac:dyDescent="0.25">
      <c r="A124" s="24"/>
      <c r="B124" s="24"/>
      <c r="C124" s="25" t="s">
        <v>100</v>
      </c>
      <c r="D124" s="26"/>
      <c r="E124" s="26"/>
      <c r="F124" s="26">
        <v>125</v>
      </c>
      <c r="G124" s="26">
        <v>125</v>
      </c>
      <c r="H124" s="26">
        <v>40</v>
      </c>
      <c r="I124" s="56"/>
      <c r="J124" s="61"/>
      <c r="K124" s="76"/>
      <c r="L124" s="61">
        <v>50</v>
      </c>
      <c r="M124" s="76"/>
      <c r="N124" s="61"/>
      <c r="O124" s="61"/>
      <c r="P124" s="61"/>
      <c r="Q124" s="61"/>
      <c r="R124" s="61"/>
      <c r="S124" s="61"/>
      <c r="T124" s="61"/>
      <c r="U124" s="61"/>
    </row>
    <row r="125" spans="1:21" ht="14.1" customHeight="1" x14ac:dyDescent="0.25">
      <c r="A125" s="24"/>
      <c r="B125" s="24"/>
      <c r="C125" s="25" t="s">
        <v>101</v>
      </c>
      <c r="D125" s="26"/>
      <c r="E125" s="26"/>
      <c r="F125" s="26">
        <v>380</v>
      </c>
      <c r="G125" s="26">
        <v>411</v>
      </c>
      <c r="H125" s="26"/>
      <c r="I125" s="56"/>
      <c r="J125" s="61"/>
      <c r="K125" s="76"/>
      <c r="L125" s="61">
        <v>30</v>
      </c>
      <c r="M125" s="76"/>
      <c r="N125" s="61"/>
      <c r="O125" s="61"/>
      <c r="P125" s="61"/>
      <c r="Q125" s="61"/>
      <c r="R125" s="61"/>
      <c r="S125" s="61"/>
      <c r="T125" s="61"/>
      <c r="U125" s="61"/>
    </row>
    <row r="126" spans="1:21" s="3" customFormat="1" ht="14.1" customHeight="1" x14ac:dyDescent="0.25">
      <c r="A126" s="7" t="s">
        <v>102</v>
      </c>
      <c r="B126" s="7" t="s">
        <v>103</v>
      </c>
      <c r="C126" s="8" t="s">
        <v>104</v>
      </c>
      <c r="D126" s="9">
        <f>F126+H126+J126+L126+N126+P126+R126</f>
        <v>850</v>
      </c>
      <c r="E126" s="9">
        <f>G126+I126+K126+M126+O126+Q126+S126</f>
        <v>640</v>
      </c>
      <c r="F126" s="10">
        <f>SUM(F127:F128)</f>
        <v>750</v>
      </c>
      <c r="G126" s="10">
        <f t="shared" ref="G126:P126" si="15">SUM(G127:G128)</f>
        <v>450</v>
      </c>
      <c r="H126" s="10">
        <f t="shared" si="15"/>
        <v>30</v>
      </c>
      <c r="I126" s="50">
        <f t="shared" si="15"/>
        <v>90</v>
      </c>
      <c r="J126" s="50">
        <f t="shared" si="15"/>
        <v>0</v>
      </c>
      <c r="K126" s="50">
        <f t="shared" si="15"/>
        <v>0</v>
      </c>
      <c r="L126" s="50">
        <f t="shared" si="15"/>
        <v>70</v>
      </c>
      <c r="M126" s="50">
        <f t="shared" si="15"/>
        <v>100</v>
      </c>
      <c r="N126" s="50">
        <f t="shared" si="15"/>
        <v>0</v>
      </c>
      <c r="O126" s="50">
        <f t="shared" si="15"/>
        <v>0</v>
      </c>
      <c r="P126" s="50">
        <f t="shared" si="15"/>
        <v>0</v>
      </c>
      <c r="Q126" s="63">
        <v>0</v>
      </c>
      <c r="R126" s="50">
        <f>SUM(R127:R128)</f>
        <v>0</v>
      </c>
      <c r="S126" s="63"/>
      <c r="T126" s="50"/>
      <c r="U126" s="63"/>
    </row>
    <row r="127" spans="1:21" ht="14.1" customHeight="1" x14ac:dyDescent="0.25">
      <c r="A127" s="24"/>
      <c r="B127" s="24"/>
      <c r="C127" s="25" t="s">
        <v>105</v>
      </c>
      <c r="D127" s="26"/>
      <c r="E127" s="26"/>
      <c r="F127" s="26">
        <v>750</v>
      </c>
      <c r="G127" s="26">
        <v>450</v>
      </c>
      <c r="H127" s="26">
        <v>30</v>
      </c>
      <c r="I127" s="56">
        <v>90</v>
      </c>
      <c r="J127" s="61"/>
      <c r="K127" s="76"/>
      <c r="L127" s="61">
        <v>70</v>
      </c>
      <c r="M127" s="76">
        <v>100</v>
      </c>
      <c r="N127" s="61"/>
      <c r="O127" s="61"/>
      <c r="P127" s="61"/>
      <c r="Q127" s="61"/>
      <c r="R127" s="61"/>
      <c r="S127" s="61"/>
      <c r="T127" s="61"/>
      <c r="U127" s="61"/>
    </row>
    <row r="128" spans="1:21" ht="14.1" customHeight="1" x14ac:dyDescent="0.25">
      <c r="A128" s="24"/>
      <c r="B128" s="24"/>
      <c r="C128" s="25" t="s">
        <v>106</v>
      </c>
      <c r="D128" s="26"/>
      <c r="E128" s="26"/>
      <c r="F128" s="26"/>
      <c r="G128" s="26"/>
      <c r="H128" s="26"/>
      <c r="I128" s="56"/>
      <c r="J128" s="61"/>
      <c r="K128" s="76"/>
      <c r="L128" s="61"/>
      <c r="M128" s="76"/>
      <c r="N128" s="61"/>
      <c r="O128" s="61"/>
      <c r="P128" s="61"/>
      <c r="Q128" s="61"/>
      <c r="R128" s="61"/>
      <c r="S128" s="61"/>
      <c r="T128" s="61"/>
      <c r="U128" s="61"/>
    </row>
    <row r="129" spans="1:21" s="3" customFormat="1" ht="14.1" customHeight="1" x14ac:dyDescent="0.25">
      <c r="A129" s="16" t="s">
        <v>107</v>
      </c>
      <c r="B129" s="16" t="s">
        <v>108</v>
      </c>
      <c r="C129" s="17" t="s">
        <v>109</v>
      </c>
      <c r="D129" s="19">
        <f>D119+D126</f>
        <v>2105</v>
      </c>
      <c r="E129" s="19">
        <f t="shared" ref="E129:Q129" si="16">E119+E126</f>
        <v>1856</v>
      </c>
      <c r="F129" s="19">
        <f t="shared" si="16"/>
        <v>1715</v>
      </c>
      <c r="G129" s="19">
        <f t="shared" si="16"/>
        <v>1446</v>
      </c>
      <c r="H129" s="19">
        <f t="shared" si="16"/>
        <v>190</v>
      </c>
      <c r="I129" s="57">
        <f t="shared" si="16"/>
        <v>210</v>
      </c>
      <c r="J129" s="57">
        <f t="shared" si="16"/>
        <v>0</v>
      </c>
      <c r="K129" s="57">
        <f t="shared" si="16"/>
        <v>0</v>
      </c>
      <c r="L129" s="57">
        <f t="shared" si="16"/>
        <v>200</v>
      </c>
      <c r="M129" s="57">
        <f t="shared" si="16"/>
        <v>200</v>
      </c>
      <c r="N129" s="57">
        <f t="shared" si="16"/>
        <v>0</v>
      </c>
      <c r="O129" s="57">
        <f t="shared" si="16"/>
        <v>0</v>
      </c>
      <c r="P129" s="57">
        <f t="shared" si="16"/>
        <v>0</v>
      </c>
      <c r="Q129" s="57">
        <f t="shared" si="16"/>
        <v>0</v>
      </c>
      <c r="R129" s="57">
        <f>R119+R126</f>
        <v>0</v>
      </c>
      <c r="S129" s="69"/>
      <c r="T129" s="57"/>
      <c r="U129" s="69"/>
    </row>
    <row r="130" spans="1:21" s="3" customFormat="1" ht="14.1" customHeight="1" x14ac:dyDescent="0.25">
      <c r="A130" s="7" t="s">
        <v>110</v>
      </c>
      <c r="B130" s="7" t="s">
        <v>111</v>
      </c>
      <c r="C130" s="8" t="s">
        <v>112</v>
      </c>
      <c r="D130" s="9">
        <f>F130+H130+J130+L130+N130+P130+R130</f>
        <v>5460</v>
      </c>
      <c r="E130" s="9">
        <f>G130+I130+K130+M130+O130+Q130+S130</f>
        <v>5410</v>
      </c>
      <c r="F130" s="10">
        <f>SUM(F131:F133)</f>
        <v>700</v>
      </c>
      <c r="G130" s="10">
        <f t="shared" ref="G130:P130" si="17">SUM(G131:G133)</f>
        <v>870</v>
      </c>
      <c r="H130" s="10">
        <f t="shared" si="17"/>
        <v>460</v>
      </c>
      <c r="I130" s="50">
        <f t="shared" si="17"/>
        <v>440</v>
      </c>
      <c r="J130" s="50">
        <f t="shared" si="17"/>
        <v>0</v>
      </c>
      <c r="K130" s="50">
        <f t="shared" si="17"/>
        <v>0</v>
      </c>
      <c r="L130" s="50">
        <f t="shared" si="17"/>
        <v>4300</v>
      </c>
      <c r="M130" s="50">
        <f t="shared" si="17"/>
        <v>4100</v>
      </c>
      <c r="N130" s="50">
        <f t="shared" si="17"/>
        <v>0</v>
      </c>
      <c r="O130" s="50">
        <f t="shared" si="17"/>
        <v>0</v>
      </c>
      <c r="P130" s="50">
        <f t="shared" si="17"/>
        <v>0</v>
      </c>
      <c r="Q130" s="63">
        <v>0</v>
      </c>
      <c r="R130" s="50">
        <f>SUM(R131:R133)</f>
        <v>0</v>
      </c>
      <c r="S130" s="63"/>
      <c r="T130" s="50"/>
      <c r="U130" s="63"/>
    </row>
    <row r="131" spans="1:21" ht="14.1" customHeight="1" x14ac:dyDescent="0.25">
      <c r="A131" s="24"/>
      <c r="B131" s="24"/>
      <c r="C131" s="25" t="s">
        <v>113</v>
      </c>
      <c r="D131" s="26"/>
      <c r="E131" s="26"/>
      <c r="F131" s="26">
        <v>150</v>
      </c>
      <c r="G131" s="26">
        <v>120</v>
      </c>
      <c r="H131" s="26">
        <v>80</v>
      </c>
      <c r="I131" s="56">
        <v>80</v>
      </c>
      <c r="J131" s="61"/>
      <c r="K131" s="76"/>
      <c r="L131" s="61">
        <v>800</v>
      </c>
      <c r="M131" s="76">
        <v>700</v>
      </c>
      <c r="N131" s="61"/>
      <c r="O131" s="61"/>
      <c r="P131" s="61"/>
      <c r="Q131" s="61"/>
      <c r="R131" s="61"/>
      <c r="S131" s="61"/>
      <c r="T131" s="61"/>
      <c r="U131" s="61"/>
    </row>
    <row r="132" spans="1:21" ht="14.1" customHeight="1" x14ac:dyDescent="0.25">
      <c r="A132" s="24"/>
      <c r="B132" s="24"/>
      <c r="C132" s="25" t="s">
        <v>114</v>
      </c>
      <c r="D132" s="26"/>
      <c r="E132" s="26"/>
      <c r="F132" s="26">
        <v>450</v>
      </c>
      <c r="G132" s="26">
        <v>650</v>
      </c>
      <c r="H132" s="26">
        <v>180</v>
      </c>
      <c r="I132" s="56">
        <v>160</v>
      </c>
      <c r="J132" s="61"/>
      <c r="K132" s="76"/>
      <c r="L132" s="61">
        <v>3000</v>
      </c>
      <c r="M132" s="76">
        <v>3000</v>
      </c>
      <c r="N132" s="61"/>
      <c r="O132" s="61"/>
      <c r="P132" s="61"/>
      <c r="Q132" s="61"/>
      <c r="R132" s="61"/>
      <c r="S132" s="61"/>
      <c r="T132" s="61"/>
      <c r="U132" s="61"/>
    </row>
    <row r="133" spans="1:21" ht="14.1" customHeight="1" x14ac:dyDescent="0.25">
      <c r="A133" s="24"/>
      <c r="B133" s="24"/>
      <c r="C133" s="25" t="s">
        <v>115</v>
      </c>
      <c r="D133" s="26"/>
      <c r="E133" s="26"/>
      <c r="F133" s="26">
        <v>100</v>
      </c>
      <c r="G133" s="26">
        <v>100</v>
      </c>
      <c r="H133" s="26">
        <v>200</v>
      </c>
      <c r="I133" s="56">
        <v>200</v>
      </c>
      <c r="J133" s="61"/>
      <c r="K133" s="76"/>
      <c r="L133" s="61">
        <v>500</v>
      </c>
      <c r="M133" s="76">
        <v>400</v>
      </c>
      <c r="N133" s="61"/>
      <c r="O133" s="61"/>
      <c r="P133" s="61"/>
      <c r="Q133" s="61"/>
      <c r="R133" s="61"/>
      <c r="S133" s="61"/>
      <c r="T133" s="61"/>
      <c r="U133" s="61"/>
    </row>
    <row r="134" spans="1:21" s="3" customFormat="1" ht="14.1" customHeight="1" x14ac:dyDescent="0.25">
      <c r="A134" s="7" t="s">
        <v>116</v>
      </c>
      <c r="B134" s="7" t="s">
        <v>117</v>
      </c>
      <c r="C134" s="8" t="s">
        <v>118</v>
      </c>
      <c r="D134" s="9">
        <f>F134+H134+J134+L134+N134+P134+R134</f>
        <v>10100</v>
      </c>
      <c r="E134" s="9">
        <f>G134+I134+K134+M134+O134+Q134+S134</f>
        <v>10100</v>
      </c>
      <c r="F134" s="10">
        <v>0</v>
      </c>
      <c r="G134" s="10">
        <f>G135</f>
        <v>0</v>
      </c>
      <c r="H134" s="10">
        <v>0</v>
      </c>
      <c r="I134" s="50">
        <f>I135</f>
        <v>0</v>
      </c>
      <c r="J134" s="50">
        <f>J135</f>
        <v>10100</v>
      </c>
      <c r="K134" s="50">
        <f>K135</f>
        <v>10100</v>
      </c>
      <c r="L134" s="50">
        <f>L135</f>
        <v>0</v>
      </c>
      <c r="M134" s="78">
        <v>0</v>
      </c>
      <c r="N134" s="50">
        <f>N135</f>
        <v>0</v>
      </c>
      <c r="O134" s="50">
        <f>O135</f>
        <v>0</v>
      </c>
      <c r="P134" s="50">
        <f>P135</f>
        <v>0</v>
      </c>
      <c r="Q134" s="63">
        <v>0</v>
      </c>
      <c r="R134" s="50">
        <f>R135</f>
        <v>0</v>
      </c>
      <c r="S134" s="63"/>
      <c r="T134" s="50"/>
      <c r="U134" s="63"/>
    </row>
    <row r="135" spans="1:21" s="3" customFormat="1" ht="14.1" customHeight="1" x14ac:dyDescent="0.25">
      <c r="A135" s="24"/>
      <c r="B135" s="24"/>
      <c r="C135" s="25"/>
      <c r="D135" s="26"/>
      <c r="E135" s="26"/>
      <c r="F135" s="26"/>
      <c r="G135" s="26"/>
      <c r="H135" s="26"/>
      <c r="I135" s="56"/>
      <c r="J135" s="61">
        <v>10100</v>
      </c>
      <c r="K135" s="76">
        <v>10100</v>
      </c>
      <c r="L135" s="61"/>
      <c r="M135" s="76"/>
      <c r="N135" s="61"/>
      <c r="O135" s="61"/>
      <c r="P135" s="61"/>
      <c r="Q135" s="61"/>
      <c r="R135" s="61"/>
      <c r="S135" s="61"/>
      <c r="T135" s="61"/>
      <c r="U135" s="61"/>
    </row>
    <row r="136" spans="1:21" s="3" customFormat="1" ht="14.1" customHeight="1" x14ac:dyDescent="0.25">
      <c r="A136" s="7" t="s">
        <v>119</v>
      </c>
      <c r="B136" s="7" t="s">
        <v>120</v>
      </c>
      <c r="C136" s="8" t="s">
        <v>121</v>
      </c>
      <c r="D136" s="9">
        <f>F136+H136+J136+L136+N136+P136+R136</f>
        <v>265</v>
      </c>
      <c r="E136" s="9">
        <f>G136+I136+K136+M136+O136+Q136+S136</f>
        <v>400</v>
      </c>
      <c r="F136" s="10">
        <f>SUM(F137:F138)</f>
        <v>265</v>
      </c>
      <c r="G136" s="10">
        <f t="shared" ref="G136:P136" si="18">SUM(G137:G138)</f>
        <v>400</v>
      </c>
      <c r="H136" s="10">
        <f t="shared" si="18"/>
        <v>0</v>
      </c>
      <c r="I136" s="50">
        <f t="shared" si="18"/>
        <v>0</v>
      </c>
      <c r="J136" s="50">
        <f t="shared" si="18"/>
        <v>0</v>
      </c>
      <c r="K136" s="50">
        <f t="shared" si="18"/>
        <v>0</v>
      </c>
      <c r="L136" s="50">
        <f t="shared" si="18"/>
        <v>0</v>
      </c>
      <c r="M136" s="50">
        <f t="shared" si="18"/>
        <v>0</v>
      </c>
      <c r="N136" s="50">
        <f t="shared" si="18"/>
        <v>0</v>
      </c>
      <c r="O136" s="50">
        <f t="shared" si="18"/>
        <v>0</v>
      </c>
      <c r="P136" s="50">
        <f t="shared" si="18"/>
        <v>0</v>
      </c>
      <c r="Q136" s="63">
        <v>0</v>
      </c>
      <c r="R136" s="50">
        <f>SUM(R137:R138)</f>
        <v>0</v>
      </c>
      <c r="S136" s="63"/>
      <c r="T136" s="50"/>
      <c r="U136" s="63"/>
    </row>
    <row r="137" spans="1:21" ht="14.1" customHeight="1" x14ac:dyDescent="0.25">
      <c r="A137" s="24"/>
      <c r="B137" s="24"/>
      <c r="C137" s="25" t="s">
        <v>122</v>
      </c>
      <c r="D137" s="26"/>
      <c r="E137" s="26"/>
      <c r="F137" s="26"/>
      <c r="G137" s="26"/>
      <c r="H137" s="26"/>
      <c r="I137" s="56"/>
      <c r="J137" s="61"/>
      <c r="K137" s="76"/>
      <c r="L137" s="61"/>
      <c r="M137" s="76"/>
      <c r="N137" s="61"/>
      <c r="O137" s="61"/>
      <c r="P137" s="61"/>
      <c r="Q137" s="61"/>
      <c r="R137" s="61"/>
      <c r="S137" s="61"/>
      <c r="T137" s="61"/>
      <c r="U137" s="61"/>
    </row>
    <row r="138" spans="1:21" ht="14.1" customHeight="1" x14ac:dyDescent="0.25">
      <c r="A138" s="24"/>
      <c r="B138" s="24"/>
      <c r="C138" s="25" t="s">
        <v>123</v>
      </c>
      <c r="D138" s="26"/>
      <c r="E138" s="26"/>
      <c r="F138" s="26">
        <v>265</v>
      </c>
      <c r="G138" s="26">
        <v>400</v>
      </c>
      <c r="H138" s="26"/>
      <c r="I138" s="56"/>
      <c r="J138" s="61"/>
      <c r="K138" s="76"/>
      <c r="L138" s="61"/>
      <c r="M138" s="76"/>
      <c r="N138" s="61"/>
      <c r="O138" s="61"/>
      <c r="P138" s="61"/>
      <c r="Q138" s="61"/>
      <c r="R138" s="61"/>
      <c r="S138" s="61"/>
      <c r="T138" s="61"/>
      <c r="U138" s="61"/>
    </row>
    <row r="139" spans="1:21" s="3" customFormat="1" ht="14.1" customHeight="1" x14ac:dyDescent="0.25">
      <c r="A139" s="7" t="s">
        <v>124</v>
      </c>
      <c r="B139" s="7" t="s">
        <v>125</v>
      </c>
      <c r="C139" s="8" t="s">
        <v>126</v>
      </c>
      <c r="D139" s="9">
        <f>F139+H139+J139+L139+N139+P139+R139</f>
        <v>1290</v>
      </c>
      <c r="E139" s="9">
        <f>G139+I139+K139+M139+O139+Q139+S139</f>
        <v>3090</v>
      </c>
      <c r="F139" s="10">
        <v>350</v>
      </c>
      <c r="G139" s="10">
        <v>350</v>
      </c>
      <c r="H139" s="10">
        <v>120</v>
      </c>
      <c r="I139" s="50">
        <v>120</v>
      </c>
      <c r="J139" s="63">
        <v>120</v>
      </c>
      <c r="K139" s="78">
        <v>120</v>
      </c>
      <c r="L139" s="63">
        <v>700</v>
      </c>
      <c r="M139" s="78">
        <v>2500</v>
      </c>
      <c r="N139" s="63">
        <v>0</v>
      </c>
      <c r="O139" s="63"/>
      <c r="P139" s="63">
        <v>0</v>
      </c>
      <c r="Q139" s="63">
        <v>0</v>
      </c>
      <c r="R139" s="63">
        <v>0</v>
      </c>
      <c r="S139" s="63"/>
      <c r="T139" s="63"/>
      <c r="U139" s="63"/>
    </row>
    <row r="140" spans="1:21" s="3" customFormat="1" ht="14.1" customHeight="1" x14ac:dyDescent="0.25">
      <c r="A140" s="7" t="s">
        <v>127</v>
      </c>
      <c r="B140" s="7" t="s">
        <v>128</v>
      </c>
      <c r="C140" s="8" t="s">
        <v>129</v>
      </c>
      <c r="D140" s="9">
        <f>F140+H140+J140+L140+N140+P140+R140</f>
        <v>170</v>
      </c>
      <c r="E140" s="9">
        <f>G140+I140+K140+M140+O140+Q140+S140</f>
        <v>0</v>
      </c>
      <c r="F140" s="10">
        <f t="shared" ref="F140:N140" si="19">SUM(F141:F142)</f>
        <v>20</v>
      </c>
      <c r="G140" s="10">
        <f t="shared" si="19"/>
        <v>0</v>
      </c>
      <c r="H140" s="10">
        <f t="shared" si="19"/>
        <v>150</v>
      </c>
      <c r="I140" s="50">
        <f t="shared" si="19"/>
        <v>0</v>
      </c>
      <c r="J140" s="50">
        <f t="shared" si="19"/>
        <v>0</v>
      </c>
      <c r="K140" s="50">
        <f t="shared" si="19"/>
        <v>0</v>
      </c>
      <c r="L140" s="50">
        <f t="shared" si="19"/>
        <v>0</v>
      </c>
      <c r="M140" s="50">
        <f t="shared" si="19"/>
        <v>0</v>
      </c>
      <c r="N140" s="50">
        <f t="shared" si="19"/>
        <v>0</v>
      </c>
      <c r="O140" s="63"/>
      <c r="P140" s="50">
        <f>SUM(P141:P142)</f>
        <v>0</v>
      </c>
      <c r="Q140" s="63">
        <v>0</v>
      </c>
      <c r="R140" s="50">
        <f>SUM(R141:R142)</f>
        <v>0</v>
      </c>
      <c r="S140" s="63"/>
      <c r="T140" s="50"/>
      <c r="U140" s="63"/>
    </row>
    <row r="141" spans="1:21" ht="14.1" customHeight="1" x14ac:dyDescent="0.25">
      <c r="A141" s="24"/>
      <c r="B141" s="24"/>
      <c r="C141" s="25" t="s">
        <v>130</v>
      </c>
      <c r="D141" s="26"/>
      <c r="E141" s="26"/>
      <c r="F141" s="26"/>
      <c r="G141" s="26"/>
      <c r="H141" s="26"/>
      <c r="I141" s="56"/>
      <c r="J141" s="61"/>
      <c r="K141" s="76"/>
      <c r="L141" s="61"/>
      <c r="M141" s="76"/>
      <c r="N141" s="61"/>
      <c r="O141" s="61"/>
      <c r="P141" s="61"/>
      <c r="Q141" s="61"/>
      <c r="R141" s="61"/>
      <c r="S141" s="61"/>
      <c r="T141" s="61"/>
      <c r="U141" s="61"/>
    </row>
    <row r="142" spans="1:21" ht="14.1" customHeight="1" x14ac:dyDescent="0.25">
      <c r="A142" s="24"/>
      <c r="B142" s="24"/>
      <c r="C142" s="25" t="s">
        <v>131</v>
      </c>
      <c r="D142" s="26"/>
      <c r="E142" s="26"/>
      <c r="F142" s="26">
        <v>20</v>
      </c>
      <c r="G142" s="26"/>
      <c r="H142" s="26">
        <v>150</v>
      </c>
      <c r="I142" s="56"/>
      <c r="J142" s="61"/>
      <c r="K142" s="76"/>
      <c r="L142" s="61"/>
      <c r="M142" s="76"/>
      <c r="N142" s="61"/>
      <c r="O142" s="61"/>
      <c r="P142" s="61"/>
      <c r="Q142" s="61"/>
      <c r="R142" s="61"/>
      <c r="S142" s="61"/>
      <c r="T142" s="61"/>
      <c r="U142" s="61"/>
    </row>
    <row r="143" spans="1:21" s="3" customFormat="1" ht="14.1" customHeight="1" x14ac:dyDescent="0.25">
      <c r="A143" s="7" t="s">
        <v>132</v>
      </c>
      <c r="B143" s="7" t="s">
        <v>133</v>
      </c>
      <c r="C143" s="8" t="s">
        <v>134</v>
      </c>
      <c r="D143" s="9">
        <f>F143+H143+J143+L143+N143+P143+R143</f>
        <v>6526</v>
      </c>
      <c r="E143" s="9">
        <f>G143+I143+K143+M143+O143+Q143+S143</f>
        <v>5880</v>
      </c>
      <c r="F143" s="10">
        <f>SUM(F144:F146)</f>
        <v>3600</v>
      </c>
      <c r="G143" s="10">
        <f t="shared" ref="G143:Q143" si="20">SUM(G144:G146)</f>
        <v>3600</v>
      </c>
      <c r="H143" s="10">
        <f t="shared" si="20"/>
        <v>30</v>
      </c>
      <c r="I143" s="50">
        <f t="shared" si="20"/>
        <v>0</v>
      </c>
      <c r="J143" s="50">
        <f t="shared" si="20"/>
        <v>0</v>
      </c>
      <c r="K143" s="50">
        <f t="shared" si="20"/>
        <v>0</v>
      </c>
      <c r="L143" s="50">
        <f t="shared" si="20"/>
        <v>1376</v>
      </c>
      <c r="M143" s="50">
        <f t="shared" si="20"/>
        <v>1280</v>
      </c>
      <c r="N143" s="50">
        <f t="shared" si="20"/>
        <v>0</v>
      </c>
      <c r="O143" s="50">
        <f t="shared" si="20"/>
        <v>0</v>
      </c>
      <c r="P143" s="50">
        <f t="shared" si="20"/>
        <v>960</v>
      </c>
      <c r="Q143" s="50">
        <f t="shared" si="20"/>
        <v>1000</v>
      </c>
      <c r="R143" s="50">
        <f>SUM(R144:R146)</f>
        <v>560</v>
      </c>
      <c r="S143" s="63"/>
      <c r="T143" s="50"/>
      <c r="U143" s="63"/>
    </row>
    <row r="144" spans="1:21" ht="14.1" customHeight="1" x14ac:dyDescent="0.25">
      <c r="A144" s="24"/>
      <c r="B144" s="24"/>
      <c r="C144" s="25" t="s">
        <v>135</v>
      </c>
      <c r="D144" s="26"/>
      <c r="E144" s="26"/>
      <c r="F144" s="26"/>
      <c r="G144" s="26"/>
      <c r="H144" s="26">
        <v>0</v>
      </c>
      <c r="I144" s="56"/>
      <c r="J144" s="61"/>
      <c r="K144" s="76"/>
      <c r="L144" s="61">
        <v>840</v>
      </c>
      <c r="M144" s="76"/>
      <c r="N144" s="61"/>
      <c r="O144" s="61"/>
      <c r="P144" s="61">
        <v>960</v>
      </c>
      <c r="Q144" s="61"/>
      <c r="R144" s="61"/>
      <c r="S144" s="61"/>
      <c r="T144" s="61"/>
      <c r="U144" s="61"/>
    </row>
    <row r="145" spans="1:21" ht="14.1" customHeight="1" x14ac:dyDescent="0.25">
      <c r="A145" s="24"/>
      <c r="B145" s="24"/>
      <c r="C145" s="25" t="s">
        <v>136</v>
      </c>
      <c r="D145" s="26"/>
      <c r="E145" s="26"/>
      <c r="F145" s="26"/>
      <c r="G145" s="26"/>
      <c r="H145" s="26">
        <v>0</v>
      </c>
      <c r="I145" s="56"/>
      <c r="J145" s="61"/>
      <c r="K145" s="76"/>
      <c r="L145" s="61"/>
      <c r="M145" s="76"/>
      <c r="N145" s="61"/>
      <c r="O145" s="61"/>
      <c r="P145" s="61"/>
      <c r="Q145" s="61"/>
      <c r="R145" s="61"/>
      <c r="S145" s="61"/>
      <c r="T145" s="61"/>
      <c r="U145" s="61"/>
    </row>
    <row r="146" spans="1:21" ht="14.1" customHeight="1" x14ac:dyDescent="0.25">
      <c r="A146" s="24"/>
      <c r="B146" s="24"/>
      <c r="C146" s="25" t="s">
        <v>137</v>
      </c>
      <c r="D146" s="26"/>
      <c r="E146" s="26"/>
      <c r="F146" s="26">
        <v>3600</v>
      </c>
      <c r="G146" s="26">
        <v>3600</v>
      </c>
      <c r="H146" s="26">
        <v>30</v>
      </c>
      <c r="I146" s="56"/>
      <c r="J146" s="61"/>
      <c r="K146" s="76"/>
      <c r="L146" s="61">
        <v>536</v>
      </c>
      <c r="M146" s="76">
        <v>1280</v>
      </c>
      <c r="N146" s="61"/>
      <c r="O146" s="61"/>
      <c r="P146" s="61"/>
      <c r="Q146" s="61">
        <v>1000</v>
      </c>
      <c r="R146" s="61">
        <v>560</v>
      </c>
      <c r="S146" s="61"/>
      <c r="T146" s="61"/>
      <c r="U146" s="61"/>
    </row>
    <row r="147" spans="1:21" s="3" customFormat="1" ht="14.1" customHeight="1" x14ac:dyDescent="0.25">
      <c r="A147" s="7" t="s">
        <v>138</v>
      </c>
      <c r="B147" s="7" t="s">
        <v>139</v>
      </c>
      <c r="C147" s="8" t="s">
        <v>140</v>
      </c>
      <c r="D147" s="9">
        <f>F147+H147+J147+L147+N147+P147+R147</f>
        <v>4742</v>
      </c>
      <c r="E147" s="9">
        <f>G147+I147+K147+M147+O147+Q147+S147</f>
        <v>5360</v>
      </c>
      <c r="F147" s="10">
        <f>SUM(F148:F151)</f>
        <v>2630</v>
      </c>
      <c r="G147" s="10">
        <f t="shared" ref="G147:Q147" si="21">SUM(G148:G151)</f>
        <v>2900</v>
      </c>
      <c r="H147" s="10">
        <f t="shared" si="21"/>
        <v>1100</v>
      </c>
      <c r="I147" s="50">
        <f t="shared" si="21"/>
        <v>1300</v>
      </c>
      <c r="J147" s="50">
        <f t="shared" si="21"/>
        <v>262</v>
      </c>
      <c r="K147" s="50">
        <f t="shared" si="21"/>
        <v>260</v>
      </c>
      <c r="L147" s="50">
        <f t="shared" si="21"/>
        <v>750</v>
      </c>
      <c r="M147" s="50">
        <f t="shared" si="21"/>
        <v>900</v>
      </c>
      <c r="N147" s="50">
        <f t="shared" si="21"/>
        <v>0</v>
      </c>
      <c r="O147" s="50">
        <f t="shared" si="21"/>
        <v>0</v>
      </c>
      <c r="P147" s="50">
        <f t="shared" si="21"/>
        <v>0</v>
      </c>
      <c r="Q147" s="50">
        <f t="shared" si="21"/>
        <v>0</v>
      </c>
      <c r="R147" s="50">
        <f>SUM(R148:R151)</f>
        <v>0</v>
      </c>
      <c r="S147" s="63"/>
      <c r="T147" s="50"/>
      <c r="U147" s="63"/>
    </row>
    <row r="148" spans="1:21" ht="14.1" customHeight="1" x14ac:dyDescent="0.25">
      <c r="A148" s="24"/>
      <c r="B148" s="24"/>
      <c r="C148" s="25" t="s">
        <v>141</v>
      </c>
      <c r="D148" s="26"/>
      <c r="E148" s="26"/>
      <c r="F148" s="26"/>
      <c r="G148" s="26"/>
      <c r="H148" s="26"/>
      <c r="I148" s="56"/>
      <c r="J148" s="61">
        <v>262</v>
      </c>
      <c r="K148" s="76">
        <v>260</v>
      </c>
      <c r="L148" s="61"/>
      <c r="M148" s="76"/>
      <c r="N148" s="61"/>
      <c r="O148" s="61"/>
      <c r="P148" s="61"/>
      <c r="Q148" s="61"/>
      <c r="R148" s="61"/>
      <c r="S148" s="61"/>
      <c r="T148" s="61"/>
      <c r="U148" s="61"/>
    </row>
    <row r="149" spans="1:21" ht="14.1" customHeight="1" x14ac:dyDescent="0.25">
      <c r="A149" s="24"/>
      <c r="B149" s="24"/>
      <c r="C149" s="25" t="s">
        <v>142</v>
      </c>
      <c r="D149" s="26"/>
      <c r="E149" s="26"/>
      <c r="F149" s="26">
        <v>250</v>
      </c>
      <c r="G149" s="26"/>
      <c r="H149" s="26"/>
      <c r="I149" s="56"/>
      <c r="J149" s="61"/>
      <c r="K149" s="76"/>
      <c r="L149" s="61"/>
      <c r="M149" s="76"/>
      <c r="N149" s="61"/>
      <c r="O149" s="61"/>
      <c r="P149" s="61"/>
      <c r="Q149" s="61"/>
      <c r="R149" s="61"/>
      <c r="S149" s="61"/>
      <c r="T149" s="61"/>
      <c r="U149" s="61"/>
    </row>
    <row r="150" spans="1:21" ht="14.1" customHeight="1" x14ac:dyDescent="0.25">
      <c r="A150" s="24"/>
      <c r="B150" s="24"/>
      <c r="C150" s="25" t="s">
        <v>143</v>
      </c>
      <c r="D150" s="26"/>
      <c r="E150" s="26"/>
      <c r="F150" s="26">
        <v>30</v>
      </c>
      <c r="G150" s="26"/>
      <c r="H150" s="26"/>
      <c r="I150" s="56"/>
      <c r="J150" s="61"/>
      <c r="K150" s="76"/>
      <c r="L150" s="61"/>
      <c r="M150" s="76"/>
      <c r="N150" s="61"/>
      <c r="O150" s="61"/>
      <c r="P150" s="61"/>
      <c r="Q150" s="61"/>
      <c r="R150" s="61"/>
      <c r="S150" s="61"/>
      <c r="T150" s="61"/>
      <c r="U150" s="61"/>
    </row>
    <row r="151" spans="1:21" ht="14.1" customHeight="1" x14ac:dyDescent="0.25">
      <c r="A151" s="24"/>
      <c r="B151" s="24"/>
      <c r="C151" s="25" t="s">
        <v>144</v>
      </c>
      <c r="D151" s="26"/>
      <c r="E151" s="26"/>
      <c r="F151" s="26">
        <v>2350</v>
      </c>
      <c r="G151" s="26">
        <v>2900</v>
      </c>
      <c r="H151" s="26">
        <v>1100</v>
      </c>
      <c r="I151" s="56">
        <v>1300</v>
      </c>
      <c r="J151" s="61"/>
      <c r="K151" s="76"/>
      <c r="L151" s="61">
        <v>750</v>
      </c>
      <c r="M151" s="76">
        <v>900</v>
      </c>
      <c r="N151" s="61"/>
      <c r="O151" s="61"/>
      <c r="P151" s="61"/>
      <c r="Q151" s="61"/>
      <c r="R151" s="61"/>
      <c r="S151" s="61"/>
      <c r="T151" s="61"/>
      <c r="U151" s="61"/>
    </row>
    <row r="152" spans="1:21" s="3" customFormat="1" ht="14.1" customHeight="1" x14ac:dyDescent="0.25">
      <c r="A152" s="16" t="s">
        <v>145</v>
      </c>
      <c r="B152" s="16" t="s">
        <v>146</v>
      </c>
      <c r="C152" s="17" t="s">
        <v>147</v>
      </c>
      <c r="D152" s="19">
        <f t="shared" ref="D152:Q152" si="22">D130+D134+D136+D139+D140+D143+D147</f>
        <v>28553</v>
      </c>
      <c r="E152" s="19">
        <f t="shared" si="22"/>
        <v>30240</v>
      </c>
      <c r="F152" s="19">
        <f t="shared" si="22"/>
        <v>7565</v>
      </c>
      <c r="G152" s="19">
        <f t="shared" si="22"/>
        <v>8120</v>
      </c>
      <c r="H152" s="19">
        <f t="shared" si="22"/>
        <v>1860</v>
      </c>
      <c r="I152" s="57">
        <f t="shared" si="22"/>
        <v>1860</v>
      </c>
      <c r="J152" s="57">
        <f t="shared" si="22"/>
        <v>10482</v>
      </c>
      <c r="K152" s="57">
        <f t="shared" si="22"/>
        <v>10480</v>
      </c>
      <c r="L152" s="57">
        <f t="shared" si="22"/>
        <v>7126</v>
      </c>
      <c r="M152" s="57">
        <f t="shared" si="22"/>
        <v>8780</v>
      </c>
      <c r="N152" s="57">
        <f t="shared" si="22"/>
        <v>0</v>
      </c>
      <c r="O152" s="57">
        <f t="shared" si="22"/>
        <v>0</v>
      </c>
      <c r="P152" s="57">
        <f t="shared" si="22"/>
        <v>960</v>
      </c>
      <c r="Q152" s="57">
        <f t="shared" si="22"/>
        <v>1000</v>
      </c>
      <c r="R152" s="57">
        <f>R130+R134+R136+R139+R140+R143+R147</f>
        <v>560</v>
      </c>
      <c r="S152" s="69"/>
      <c r="T152" s="57"/>
      <c r="U152" s="69"/>
    </row>
    <row r="153" spans="1:21" s="3" customFormat="1" ht="14.1" customHeight="1" x14ac:dyDescent="0.25">
      <c r="A153" s="7" t="s">
        <v>148</v>
      </c>
      <c r="B153" s="7" t="s">
        <v>149</v>
      </c>
      <c r="C153" s="8" t="s">
        <v>150</v>
      </c>
      <c r="D153" s="9">
        <f>F153+H153+J153+L153+N153+P153+R153</f>
        <v>1700</v>
      </c>
      <c r="E153" s="9">
        <f>G153+I153+K153+M153+O153+Q153+S153</f>
        <v>2000</v>
      </c>
      <c r="F153" s="10">
        <f>SUM(F154:F155)</f>
        <v>1000</v>
      </c>
      <c r="G153" s="10">
        <f t="shared" ref="G153:Q153" si="23">SUM(G154:G155)</f>
        <v>1200</v>
      </c>
      <c r="H153" s="10">
        <f t="shared" si="23"/>
        <v>650</v>
      </c>
      <c r="I153" s="50">
        <f t="shared" si="23"/>
        <v>600</v>
      </c>
      <c r="J153" s="50">
        <f t="shared" si="23"/>
        <v>0</v>
      </c>
      <c r="K153" s="50">
        <f t="shared" si="23"/>
        <v>0</v>
      </c>
      <c r="L153" s="50">
        <f t="shared" si="23"/>
        <v>50</v>
      </c>
      <c r="M153" s="50">
        <f t="shared" si="23"/>
        <v>200</v>
      </c>
      <c r="N153" s="50">
        <f t="shared" si="23"/>
        <v>0</v>
      </c>
      <c r="O153" s="50">
        <f t="shared" si="23"/>
        <v>0</v>
      </c>
      <c r="P153" s="50">
        <f t="shared" si="23"/>
        <v>0</v>
      </c>
      <c r="Q153" s="50">
        <f t="shared" si="23"/>
        <v>0</v>
      </c>
      <c r="R153" s="50">
        <f>SUM(R154:R155)</f>
        <v>0</v>
      </c>
      <c r="S153" s="63"/>
      <c r="T153" s="50"/>
      <c r="U153" s="63"/>
    </row>
    <row r="154" spans="1:21" ht="14.1" customHeight="1" x14ac:dyDescent="0.25">
      <c r="A154" s="24"/>
      <c r="B154" s="24"/>
      <c r="C154" s="25" t="s">
        <v>151</v>
      </c>
      <c r="D154" s="26"/>
      <c r="E154" s="26"/>
      <c r="F154" s="26">
        <v>1000</v>
      </c>
      <c r="G154" s="26">
        <v>1200</v>
      </c>
      <c r="H154" s="26">
        <v>650</v>
      </c>
      <c r="I154" s="56">
        <v>600</v>
      </c>
      <c r="J154" s="61"/>
      <c r="K154" s="76"/>
      <c r="L154" s="61">
        <v>50</v>
      </c>
      <c r="M154" s="76">
        <v>200</v>
      </c>
      <c r="N154" s="61"/>
      <c r="O154" s="61"/>
      <c r="P154" s="61"/>
      <c r="Q154" s="61"/>
      <c r="R154" s="61"/>
      <c r="S154" s="61"/>
      <c r="T154" s="61"/>
      <c r="U154" s="61"/>
    </row>
    <row r="155" spans="1:21" ht="14.1" customHeight="1" x14ac:dyDescent="0.25">
      <c r="A155" s="24"/>
      <c r="B155" s="24"/>
      <c r="C155" s="25" t="s">
        <v>152</v>
      </c>
      <c r="D155" s="26"/>
      <c r="E155" s="26"/>
      <c r="F155" s="26"/>
      <c r="G155" s="26"/>
      <c r="H155" s="26"/>
      <c r="I155" s="56"/>
      <c r="J155" s="61"/>
      <c r="K155" s="76"/>
      <c r="L155" s="61"/>
      <c r="M155" s="76"/>
      <c r="N155" s="61"/>
      <c r="O155" s="61"/>
      <c r="P155" s="61"/>
      <c r="Q155" s="61"/>
      <c r="R155" s="61"/>
      <c r="S155" s="61"/>
      <c r="T155" s="61"/>
      <c r="U155" s="61"/>
    </row>
    <row r="156" spans="1:21" s="3" customFormat="1" ht="14.1" customHeight="1" x14ac:dyDescent="0.25">
      <c r="A156" s="7" t="s">
        <v>153</v>
      </c>
      <c r="B156" s="7" t="s">
        <v>154</v>
      </c>
      <c r="C156" s="8" t="s">
        <v>155</v>
      </c>
      <c r="D156" s="9">
        <f>F156+H156+J156+L156+N156+P156+R156</f>
        <v>0</v>
      </c>
      <c r="E156" s="9">
        <f>G156+I156+K156+M156+O156+Q156+S156</f>
        <v>0</v>
      </c>
      <c r="F156" s="10">
        <v>0</v>
      </c>
      <c r="G156" s="10">
        <v>0</v>
      </c>
      <c r="H156" s="10">
        <v>0</v>
      </c>
      <c r="I156" s="50">
        <v>0</v>
      </c>
      <c r="J156" s="50">
        <v>0</v>
      </c>
      <c r="K156" s="78"/>
      <c r="L156" s="63">
        <v>0</v>
      </c>
      <c r="M156" s="78">
        <v>0</v>
      </c>
      <c r="N156" s="63">
        <v>0</v>
      </c>
      <c r="O156" s="63"/>
      <c r="P156" s="63">
        <v>0</v>
      </c>
      <c r="Q156" s="63">
        <v>0</v>
      </c>
      <c r="R156" s="63">
        <v>0</v>
      </c>
      <c r="S156" s="63"/>
      <c r="T156" s="63"/>
      <c r="U156" s="63"/>
    </row>
    <row r="157" spans="1:21" s="3" customFormat="1" ht="14.1" customHeight="1" x14ac:dyDescent="0.25">
      <c r="A157" s="16" t="s">
        <v>156</v>
      </c>
      <c r="B157" s="16" t="s">
        <v>157</v>
      </c>
      <c r="C157" s="17" t="s">
        <v>158</v>
      </c>
      <c r="D157" s="19">
        <f>D153+D156</f>
        <v>1700</v>
      </c>
      <c r="E157" s="19">
        <f t="shared" ref="E157:Q157" si="24">E153+E156</f>
        <v>2000</v>
      </c>
      <c r="F157" s="19">
        <f t="shared" si="24"/>
        <v>1000</v>
      </c>
      <c r="G157" s="19">
        <f t="shared" si="24"/>
        <v>1200</v>
      </c>
      <c r="H157" s="19">
        <f t="shared" si="24"/>
        <v>650</v>
      </c>
      <c r="I157" s="57">
        <f t="shared" si="24"/>
        <v>600</v>
      </c>
      <c r="J157" s="57">
        <f t="shared" si="24"/>
        <v>0</v>
      </c>
      <c r="K157" s="57">
        <f t="shared" si="24"/>
        <v>0</v>
      </c>
      <c r="L157" s="57">
        <f t="shared" si="24"/>
        <v>50</v>
      </c>
      <c r="M157" s="57">
        <f t="shared" si="24"/>
        <v>200</v>
      </c>
      <c r="N157" s="57">
        <f t="shared" si="24"/>
        <v>0</v>
      </c>
      <c r="O157" s="57">
        <f t="shared" si="24"/>
        <v>0</v>
      </c>
      <c r="P157" s="57">
        <f t="shared" si="24"/>
        <v>0</v>
      </c>
      <c r="Q157" s="57">
        <f t="shared" si="24"/>
        <v>0</v>
      </c>
      <c r="R157" s="57">
        <f>R153+R156</f>
        <v>0</v>
      </c>
      <c r="S157" s="69"/>
      <c r="T157" s="57"/>
      <c r="U157" s="69"/>
    </row>
    <row r="158" spans="1:21" s="3" customFormat="1" ht="14.1" customHeight="1" x14ac:dyDescent="0.25">
      <c r="A158" s="7" t="s">
        <v>159</v>
      </c>
      <c r="B158" s="7" t="s">
        <v>160</v>
      </c>
      <c r="C158" s="8" t="s">
        <v>161</v>
      </c>
      <c r="D158" s="9">
        <f>F158+H158+J158+L158+N158+P158+R158</f>
        <v>10941</v>
      </c>
      <c r="E158" s="9">
        <f>G158+I158+K158+M158+O158+Q158+S158</f>
        <v>7942</v>
      </c>
      <c r="F158" s="10">
        <f>SUM(F159:F160)</f>
        <v>3100</v>
      </c>
      <c r="G158" s="10">
        <f t="shared" ref="G158:Q158" si="25">SUM(G159:G160)</f>
        <v>3015</v>
      </c>
      <c r="H158" s="10">
        <f t="shared" si="25"/>
        <v>841</v>
      </c>
      <c r="I158" s="50">
        <f t="shared" si="25"/>
        <v>675</v>
      </c>
      <c r="J158" s="50">
        <f t="shared" si="25"/>
        <v>3006</v>
      </c>
      <c r="K158" s="50">
        <f t="shared" si="25"/>
        <v>2965</v>
      </c>
      <c r="L158" s="50">
        <f t="shared" si="25"/>
        <v>2657</v>
      </c>
      <c r="M158" s="78"/>
      <c r="N158" s="50">
        <f t="shared" si="25"/>
        <v>1187</v>
      </c>
      <c r="O158" s="50">
        <f t="shared" si="25"/>
        <v>1287</v>
      </c>
      <c r="P158" s="50">
        <f t="shared" si="25"/>
        <v>0</v>
      </c>
      <c r="Q158" s="50">
        <f t="shared" si="25"/>
        <v>0</v>
      </c>
      <c r="R158" s="50">
        <f>SUM(R159:R160)</f>
        <v>150</v>
      </c>
      <c r="S158" s="63"/>
      <c r="T158" s="50"/>
      <c r="U158" s="63"/>
    </row>
    <row r="159" spans="1:21" ht="14.1" customHeight="1" x14ac:dyDescent="0.25">
      <c r="A159" s="24"/>
      <c r="B159" s="24"/>
      <c r="C159" s="25" t="s">
        <v>162</v>
      </c>
      <c r="D159" s="26"/>
      <c r="E159" s="26"/>
      <c r="F159" s="26"/>
      <c r="G159" s="26"/>
      <c r="H159" s="26"/>
      <c r="I159" s="56"/>
      <c r="J159" s="61"/>
      <c r="K159" s="76"/>
      <c r="L159" s="61"/>
      <c r="M159" s="76"/>
      <c r="N159" s="61"/>
      <c r="O159" s="61"/>
      <c r="P159" s="61"/>
      <c r="Q159" s="61"/>
      <c r="R159" s="61"/>
      <c r="S159" s="61"/>
      <c r="T159" s="61"/>
      <c r="U159" s="61"/>
    </row>
    <row r="160" spans="1:21" ht="14.1" customHeight="1" x14ac:dyDescent="0.25">
      <c r="A160" s="24"/>
      <c r="B160" s="24"/>
      <c r="C160" s="25" t="s">
        <v>163</v>
      </c>
      <c r="D160" s="26"/>
      <c r="E160" s="26"/>
      <c r="F160" s="26">
        <v>3100</v>
      </c>
      <c r="G160" s="26">
        <f>ROUND((G118+G129+G152+G156)*0.27,0)</f>
        <v>3015</v>
      </c>
      <c r="H160" s="26">
        <v>841</v>
      </c>
      <c r="I160" s="56">
        <f>ROUND((I118+I129+I152+I156)*0.27,0)</f>
        <v>675</v>
      </c>
      <c r="J160" s="61">
        <v>3006</v>
      </c>
      <c r="K160" s="56">
        <f>ROUND((K118+K129+K152+K156)*0.27,0)</f>
        <v>2965</v>
      </c>
      <c r="L160" s="61">
        <v>2657</v>
      </c>
      <c r="M160" s="56"/>
      <c r="N160" s="61">
        <v>1187</v>
      </c>
      <c r="O160" s="56">
        <f>ROUND((O118+O129+O152+O156)*0.2,0)</f>
        <v>1287</v>
      </c>
      <c r="P160" s="61"/>
      <c r="Q160" s="61">
        <v>0</v>
      </c>
      <c r="R160" s="61">
        <v>150</v>
      </c>
      <c r="S160" s="61"/>
      <c r="T160" s="61"/>
      <c r="U160" s="61"/>
    </row>
    <row r="161" spans="1:21" s="3" customFormat="1" ht="14.1" customHeight="1" x14ac:dyDescent="0.25">
      <c r="A161" s="7" t="s">
        <v>164</v>
      </c>
      <c r="B161" s="7" t="s">
        <v>165</v>
      </c>
      <c r="C161" s="8" t="s">
        <v>166</v>
      </c>
      <c r="D161" s="9">
        <f>F161+H161+J161+L161+N161+P161+R161</f>
        <v>0</v>
      </c>
      <c r="E161" s="9">
        <f>G161+I161+K161+M161+O161+Q161+S161</f>
        <v>0</v>
      </c>
      <c r="F161" s="10">
        <f>SUM(F162:F164)</f>
        <v>0</v>
      </c>
      <c r="G161" s="10">
        <f t="shared" ref="G161:P161" si="26">SUM(G162:G164)</f>
        <v>0</v>
      </c>
      <c r="H161" s="10">
        <f t="shared" si="26"/>
        <v>0</v>
      </c>
      <c r="I161" s="50">
        <f t="shared" si="26"/>
        <v>0</v>
      </c>
      <c r="J161" s="50">
        <f t="shared" si="26"/>
        <v>0</v>
      </c>
      <c r="K161" s="50">
        <f t="shared" si="26"/>
        <v>0</v>
      </c>
      <c r="L161" s="50">
        <f t="shared" si="26"/>
        <v>0</v>
      </c>
      <c r="M161" s="50">
        <f t="shared" si="26"/>
        <v>0</v>
      </c>
      <c r="N161" s="50">
        <f t="shared" si="26"/>
        <v>0</v>
      </c>
      <c r="O161" s="50">
        <f t="shared" si="26"/>
        <v>0</v>
      </c>
      <c r="P161" s="50">
        <f t="shared" si="26"/>
        <v>0</v>
      </c>
      <c r="Q161" s="63">
        <v>0</v>
      </c>
      <c r="R161" s="50">
        <f>SUM(R162:R164)</f>
        <v>0</v>
      </c>
      <c r="S161" s="63"/>
      <c r="T161" s="50"/>
      <c r="U161" s="63"/>
    </row>
    <row r="162" spans="1:21" ht="14.1" customHeight="1" x14ac:dyDescent="0.25">
      <c r="A162" s="24"/>
      <c r="B162" s="24"/>
      <c r="C162" s="25" t="s">
        <v>167</v>
      </c>
      <c r="D162" s="26"/>
      <c r="E162" s="26"/>
      <c r="F162" s="26"/>
      <c r="G162" s="26"/>
      <c r="H162" s="26"/>
      <c r="I162" s="56"/>
      <c r="J162" s="61"/>
      <c r="K162" s="76"/>
      <c r="L162" s="61"/>
      <c r="M162" s="76"/>
      <c r="N162" s="61"/>
      <c r="O162" s="61"/>
      <c r="P162" s="61"/>
      <c r="Q162" s="61"/>
      <c r="R162" s="61"/>
      <c r="S162" s="61"/>
      <c r="T162" s="61"/>
      <c r="U162" s="61"/>
    </row>
    <row r="163" spans="1:21" ht="14.1" customHeight="1" x14ac:dyDescent="0.25">
      <c r="A163" s="24"/>
      <c r="B163" s="24"/>
      <c r="C163" s="25" t="s">
        <v>168</v>
      </c>
      <c r="D163" s="26"/>
      <c r="E163" s="26"/>
      <c r="F163" s="26"/>
      <c r="G163" s="26"/>
      <c r="H163" s="26"/>
      <c r="I163" s="56"/>
      <c r="J163" s="61"/>
      <c r="K163" s="76"/>
      <c r="L163" s="61"/>
      <c r="M163" s="76"/>
      <c r="N163" s="61"/>
      <c r="O163" s="61"/>
      <c r="P163" s="61"/>
      <c r="Q163" s="61"/>
      <c r="R163" s="61"/>
      <c r="S163" s="61"/>
      <c r="T163" s="61"/>
      <c r="U163" s="61"/>
    </row>
    <row r="164" spans="1:21" ht="14.1" customHeight="1" x14ac:dyDescent="0.25">
      <c r="A164" s="24"/>
      <c r="B164" s="24"/>
      <c r="C164" s="25" t="s">
        <v>169</v>
      </c>
      <c r="D164" s="26"/>
      <c r="E164" s="26"/>
      <c r="F164" s="26"/>
      <c r="G164" s="26"/>
      <c r="H164" s="26"/>
      <c r="I164" s="56"/>
      <c r="J164" s="61"/>
      <c r="K164" s="76"/>
      <c r="L164" s="61"/>
      <c r="M164" s="76"/>
      <c r="N164" s="61"/>
      <c r="O164" s="61"/>
      <c r="P164" s="61"/>
      <c r="Q164" s="61"/>
      <c r="R164" s="61"/>
      <c r="S164" s="61"/>
      <c r="T164" s="61"/>
      <c r="U164" s="61"/>
    </row>
    <row r="165" spans="1:21" s="3" customFormat="1" ht="14.1" customHeight="1" x14ac:dyDescent="0.25">
      <c r="A165" s="7" t="s">
        <v>170</v>
      </c>
      <c r="B165" s="7" t="s">
        <v>171</v>
      </c>
      <c r="C165" s="8" t="s">
        <v>172</v>
      </c>
      <c r="D165" s="9">
        <f>F165+H165+J165+L165+N165+P165+R165</f>
        <v>0</v>
      </c>
      <c r="E165" s="9">
        <f>G165+I165+K165+M165+O165+Q165+S165</f>
        <v>0</v>
      </c>
      <c r="F165" s="10">
        <f>SUM(F166:F169)</f>
        <v>0</v>
      </c>
      <c r="G165" s="10">
        <f t="shared" ref="G165:P165" si="27">SUM(G166:G169)</f>
        <v>0</v>
      </c>
      <c r="H165" s="10">
        <f t="shared" si="27"/>
        <v>0</v>
      </c>
      <c r="I165" s="50">
        <f t="shared" si="27"/>
        <v>0</v>
      </c>
      <c r="J165" s="50">
        <f t="shared" si="27"/>
        <v>0</v>
      </c>
      <c r="K165" s="50">
        <f t="shared" si="27"/>
        <v>0</v>
      </c>
      <c r="L165" s="50">
        <f t="shared" si="27"/>
        <v>0</v>
      </c>
      <c r="M165" s="50">
        <f t="shared" si="27"/>
        <v>0</v>
      </c>
      <c r="N165" s="50">
        <f t="shared" si="27"/>
        <v>0</v>
      </c>
      <c r="O165" s="50">
        <f t="shared" si="27"/>
        <v>0</v>
      </c>
      <c r="P165" s="50">
        <f t="shared" si="27"/>
        <v>0</v>
      </c>
      <c r="Q165" s="63">
        <v>0</v>
      </c>
      <c r="R165" s="50">
        <f>SUM(R166:R169)</f>
        <v>0</v>
      </c>
      <c r="S165" s="63"/>
      <c r="T165" s="50"/>
      <c r="U165" s="63"/>
    </row>
    <row r="166" spans="1:21" ht="14.1" customHeight="1" x14ac:dyDescent="0.25">
      <c r="A166" s="24"/>
      <c r="B166" s="24"/>
      <c r="C166" s="25" t="s">
        <v>173</v>
      </c>
      <c r="D166" s="26"/>
      <c r="E166" s="26"/>
      <c r="F166" s="26"/>
      <c r="G166" s="26"/>
      <c r="H166" s="26"/>
      <c r="I166" s="56"/>
      <c r="J166" s="61"/>
      <c r="K166" s="76"/>
      <c r="L166" s="61"/>
      <c r="M166" s="76"/>
      <c r="N166" s="61"/>
      <c r="O166" s="61"/>
      <c r="P166" s="61"/>
      <c r="Q166" s="61"/>
      <c r="R166" s="61"/>
      <c r="S166" s="61"/>
      <c r="T166" s="61"/>
      <c r="U166" s="61"/>
    </row>
    <row r="167" spans="1:21" ht="14.1" customHeight="1" x14ac:dyDescent="0.25">
      <c r="A167" s="24"/>
      <c r="B167" s="24"/>
      <c r="C167" s="25" t="s">
        <v>174</v>
      </c>
      <c r="D167" s="26"/>
      <c r="E167" s="26"/>
      <c r="F167" s="26"/>
      <c r="G167" s="26"/>
      <c r="H167" s="26"/>
      <c r="I167" s="56"/>
      <c r="J167" s="61"/>
      <c r="K167" s="76"/>
      <c r="L167" s="61"/>
      <c r="M167" s="76"/>
      <c r="N167" s="61"/>
      <c r="O167" s="61"/>
      <c r="P167" s="61"/>
      <c r="Q167" s="61"/>
      <c r="R167" s="61"/>
      <c r="S167" s="61"/>
      <c r="T167" s="61"/>
      <c r="U167" s="61"/>
    </row>
    <row r="168" spans="1:21" ht="14.1" customHeight="1" x14ac:dyDescent="0.25">
      <c r="A168" s="24"/>
      <c r="B168" s="24"/>
      <c r="C168" s="25" t="s">
        <v>175</v>
      </c>
      <c r="D168" s="26"/>
      <c r="E168" s="26"/>
      <c r="F168" s="26"/>
      <c r="G168" s="26"/>
      <c r="H168" s="26"/>
      <c r="I168" s="56"/>
      <c r="J168" s="61"/>
      <c r="K168" s="76"/>
      <c r="L168" s="61"/>
      <c r="M168" s="76"/>
      <c r="N168" s="61"/>
      <c r="O168" s="61"/>
      <c r="P168" s="61"/>
      <c r="Q168" s="61"/>
      <c r="R168" s="61"/>
      <c r="S168" s="61"/>
      <c r="T168" s="61"/>
      <c r="U168" s="61"/>
    </row>
    <row r="169" spans="1:21" ht="14.1" customHeight="1" x14ac:dyDescent="0.25">
      <c r="A169" s="24"/>
      <c r="B169" s="24"/>
      <c r="C169" s="25" t="s">
        <v>176</v>
      </c>
      <c r="D169" s="26"/>
      <c r="E169" s="26"/>
      <c r="F169" s="26"/>
      <c r="G169" s="26"/>
      <c r="H169" s="26"/>
      <c r="I169" s="56"/>
      <c r="J169" s="61"/>
      <c r="K169" s="76"/>
      <c r="L169" s="61"/>
      <c r="M169" s="76"/>
      <c r="N169" s="61"/>
      <c r="O169" s="61"/>
      <c r="P169" s="61"/>
      <c r="Q169" s="61"/>
      <c r="R169" s="61"/>
      <c r="S169" s="61"/>
      <c r="T169" s="61"/>
      <c r="U169" s="61"/>
    </row>
    <row r="170" spans="1:21" s="3" customFormat="1" ht="14.1" customHeight="1" x14ac:dyDescent="0.25">
      <c r="A170" s="7" t="s">
        <v>177</v>
      </c>
      <c r="B170" s="7" t="s">
        <v>178</v>
      </c>
      <c r="C170" s="8" t="s">
        <v>179</v>
      </c>
      <c r="D170" s="9">
        <f>F170+H170+J170+L170+N170+P170+R170</f>
        <v>0</v>
      </c>
      <c r="E170" s="9">
        <f>G170+I170+K170+M170+O170+Q170+S170</f>
        <v>0</v>
      </c>
      <c r="F170" s="10">
        <f>SUM(F171:F172)</f>
        <v>0</v>
      </c>
      <c r="G170" s="10">
        <f t="shared" ref="G170:P170" si="28">SUM(G171:G172)</f>
        <v>0</v>
      </c>
      <c r="H170" s="10">
        <f t="shared" si="28"/>
        <v>0</v>
      </c>
      <c r="I170" s="50">
        <f t="shared" si="28"/>
        <v>0</v>
      </c>
      <c r="J170" s="50">
        <f t="shared" si="28"/>
        <v>0</v>
      </c>
      <c r="K170" s="50">
        <f t="shared" si="28"/>
        <v>0</v>
      </c>
      <c r="L170" s="50">
        <f t="shared" si="28"/>
        <v>0</v>
      </c>
      <c r="M170" s="50">
        <f t="shared" si="28"/>
        <v>0</v>
      </c>
      <c r="N170" s="50">
        <f t="shared" si="28"/>
        <v>0</v>
      </c>
      <c r="O170" s="50">
        <f t="shared" si="28"/>
        <v>0</v>
      </c>
      <c r="P170" s="50">
        <f t="shared" si="28"/>
        <v>0</v>
      </c>
      <c r="Q170" s="63">
        <v>0</v>
      </c>
      <c r="R170" s="50">
        <f>SUM(R171:R172)</f>
        <v>0</v>
      </c>
      <c r="S170" s="63"/>
      <c r="T170" s="50"/>
      <c r="U170" s="63"/>
    </row>
    <row r="171" spans="1:21" ht="14.1" customHeight="1" x14ac:dyDescent="0.25">
      <c r="A171" s="24"/>
      <c r="B171" s="24"/>
      <c r="C171" s="25" t="s">
        <v>180</v>
      </c>
      <c r="D171" s="26"/>
      <c r="E171" s="26"/>
      <c r="F171" s="26"/>
      <c r="G171" s="26"/>
      <c r="H171" s="26"/>
      <c r="I171" s="56"/>
      <c r="J171" s="61"/>
      <c r="K171" s="76"/>
      <c r="L171" s="61"/>
      <c r="M171" s="76"/>
      <c r="N171" s="61"/>
      <c r="O171" s="61"/>
      <c r="P171" s="61"/>
      <c r="Q171" s="61"/>
      <c r="R171" s="61"/>
      <c r="S171" s="61"/>
      <c r="T171" s="61"/>
      <c r="U171" s="61"/>
    </row>
    <row r="172" spans="1:21" ht="14.1" customHeight="1" x14ac:dyDescent="0.25">
      <c r="A172" s="24"/>
      <c r="B172" s="24"/>
      <c r="C172" s="25" t="s">
        <v>181</v>
      </c>
      <c r="D172" s="26"/>
      <c r="E172" s="26"/>
      <c r="F172" s="26"/>
      <c r="G172" s="26"/>
      <c r="H172" s="26"/>
      <c r="I172" s="56"/>
      <c r="J172" s="61"/>
      <c r="K172" s="76"/>
      <c r="L172" s="61"/>
      <c r="M172" s="76"/>
      <c r="N172" s="61"/>
      <c r="O172" s="61"/>
      <c r="P172" s="61"/>
      <c r="Q172" s="61"/>
      <c r="R172" s="61"/>
      <c r="S172" s="61"/>
      <c r="T172" s="61"/>
      <c r="U172" s="61"/>
    </row>
    <row r="173" spans="1:21" s="3" customFormat="1" ht="14.1" customHeight="1" x14ac:dyDescent="0.25">
      <c r="A173" s="7" t="s">
        <v>182</v>
      </c>
      <c r="B173" s="7" t="s">
        <v>183</v>
      </c>
      <c r="C173" s="8" t="s">
        <v>184</v>
      </c>
      <c r="D173" s="9">
        <f>F173+H173+J173+L173+N173+P173+R173</f>
        <v>50</v>
      </c>
      <c r="E173" s="9">
        <f>G173+I173+K173+M173+O173+Q173+S173</f>
        <v>800</v>
      </c>
      <c r="F173" s="10">
        <f>SUM(F174:F177)</f>
        <v>30</v>
      </c>
      <c r="G173" s="10">
        <f t="shared" ref="G173:P173" si="29">SUM(G174:G177)</f>
        <v>200</v>
      </c>
      <c r="H173" s="10">
        <f t="shared" si="29"/>
        <v>0</v>
      </c>
      <c r="I173" s="50">
        <f t="shared" si="29"/>
        <v>100</v>
      </c>
      <c r="J173" s="50">
        <f t="shared" si="29"/>
        <v>20</v>
      </c>
      <c r="K173" s="50">
        <f t="shared" si="29"/>
        <v>100</v>
      </c>
      <c r="L173" s="50">
        <f t="shared" si="29"/>
        <v>0</v>
      </c>
      <c r="M173" s="50">
        <f t="shared" si="29"/>
        <v>200</v>
      </c>
      <c r="N173" s="50">
        <f t="shared" si="29"/>
        <v>0</v>
      </c>
      <c r="O173" s="50">
        <f t="shared" si="29"/>
        <v>200</v>
      </c>
      <c r="P173" s="50">
        <f t="shared" si="29"/>
        <v>0</v>
      </c>
      <c r="Q173" s="63">
        <v>0</v>
      </c>
      <c r="R173" s="50">
        <f>SUM(R174:R177)</f>
        <v>0</v>
      </c>
      <c r="S173" s="63"/>
      <c r="T173" s="50"/>
      <c r="U173" s="63"/>
    </row>
    <row r="174" spans="1:21" ht="14.1" customHeight="1" x14ac:dyDescent="0.25">
      <c r="A174" s="24"/>
      <c r="B174" s="24"/>
      <c r="C174" s="25" t="s">
        <v>185</v>
      </c>
      <c r="D174" s="26"/>
      <c r="E174" s="26"/>
      <c r="F174" s="26"/>
      <c r="G174" s="26"/>
      <c r="H174" s="26"/>
      <c r="I174" s="56"/>
      <c r="J174" s="61"/>
      <c r="K174" s="76"/>
      <c r="L174" s="61"/>
      <c r="M174" s="76"/>
      <c r="N174" s="61"/>
      <c r="O174" s="61"/>
      <c r="P174" s="61"/>
      <c r="Q174" s="61"/>
      <c r="R174" s="61"/>
      <c r="S174" s="61"/>
      <c r="T174" s="61"/>
      <c r="U174" s="61"/>
    </row>
    <row r="175" spans="1:21" ht="14.1" customHeight="1" x14ac:dyDescent="0.25">
      <c r="A175" s="24"/>
      <c r="B175" s="24"/>
      <c r="C175" s="25" t="s">
        <v>186</v>
      </c>
      <c r="D175" s="26"/>
      <c r="E175" s="26"/>
      <c r="F175" s="26"/>
      <c r="G175" s="26"/>
      <c r="H175" s="26"/>
      <c r="I175" s="56"/>
      <c r="J175" s="61">
        <v>20</v>
      </c>
      <c r="K175" s="76"/>
      <c r="L175" s="61"/>
      <c r="M175" s="76"/>
      <c r="N175" s="61"/>
      <c r="O175" s="61"/>
      <c r="P175" s="61"/>
      <c r="Q175" s="61"/>
      <c r="R175" s="61"/>
      <c r="S175" s="61"/>
      <c r="T175" s="61"/>
      <c r="U175" s="61"/>
    </row>
    <row r="176" spans="1:21" ht="14.1" customHeight="1" x14ac:dyDescent="0.25">
      <c r="A176" s="24"/>
      <c r="B176" s="24"/>
      <c r="C176" s="25" t="s">
        <v>187</v>
      </c>
      <c r="D176" s="26"/>
      <c r="E176" s="26"/>
      <c r="F176" s="26"/>
      <c r="G176" s="26"/>
      <c r="H176" s="26"/>
      <c r="I176" s="56"/>
      <c r="J176" s="61"/>
      <c r="K176" s="76"/>
      <c r="L176" s="61"/>
      <c r="M176" s="76"/>
      <c r="N176" s="61"/>
      <c r="O176" s="61"/>
      <c r="P176" s="61"/>
      <c r="Q176" s="61"/>
      <c r="R176" s="61"/>
      <c r="S176" s="61"/>
      <c r="T176" s="61"/>
      <c r="U176" s="61"/>
    </row>
    <row r="177" spans="1:256" ht="14.1" customHeight="1" x14ac:dyDescent="0.25">
      <c r="A177" s="24"/>
      <c r="B177" s="24"/>
      <c r="C177" s="25" t="s">
        <v>188</v>
      </c>
      <c r="D177" s="26"/>
      <c r="E177" s="26"/>
      <c r="F177" s="26">
        <v>30</v>
      </c>
      <c r="G177" s="26">
        <v>200</v>
      </c>
      <c r="H177" s="26"/>
      <c r="I177" s="56">
        <v>100</v>
      </c>
      <c r="J177" s="61"/>
      <c r="K177" s="76">
        <v>100</v>
      </c>
      <c r="L177" s="61"/>
      <c r="M177" s="76">
        <v>200</v>
      </c>
      <c r="N177" s="61"/>
      <c r="O177" s="61">
        <v>200</v>
      </c>
      <c r="P177" s="61"/>
      <c r="Q177" s="61"/>
      <c r="R177" s="61"/>
      <c r="S177" s="61"/>
      <c r="T177" s="61"/>
      <c r="U177" s="61"/>
    </row>
    <row r="178" spans="1:256" s="3" customFormat="1" ht="14.1" customHeight="1" x14ac:dyDescent="0.25">
      <c r="A178" s="16" t="s">
        <v>189</v>
      </c>
      <c r="B178" s="16" t="s">
        <v>190</v>
      </c>
      <c r="C178" s="17" t="s">
        <v>191</v>
      </c>
      <c r="D178" s="19">
        <f>D158+D161+D165+D170+D173</f>
        <v>10991</v>
      </c>
      <c r="E178" s="19">
        <f t="shared" ref="E178:Q178" si="30">E158+E161+E165+E170+E173</f>
        <v>8742</v>
      </c>
      <c r="F178" s="19">
        <f t="shared" si="30"/>
        <v>3130</v>
      </c>
      <c r="G178" s="19">
        <f t="shared" si="30"/>
        <v>3215</v>
      </c>
      <c r="H178" s="19">
        <f t="shared" si="30"/>
        <v>841</v>
      </c>
      <c r="I178" s="57">
        <f t="shared" si="30"/>
        <v>775</v>
      </c>
      <c r="J178" s="57">
        <f t="shared" si="30"/>
        <v>3026</v>
      </c>
      <c r="K178" s="57">
        <f t="shared" si="30"/>
        <v>3065</v>
      </c>
      <c r="L178" s="57">
        <f t="shared" si="30"/>
        <v>2657</v>
      </c>
      <c r="M178" s="57">
        <f t="shared" si="30"/>
        <v>200</v>
      </c>
      <c r="N178" s="57">
        <f t="shared" si="30"/>
        <v>1187</v>
      </c>
      <c r="O178" s="57">
        <f>O158+O161+O165+O170+O173</f>
        <v>1487</v>
      </c>
      <c r="P178" s="57">
        <f t="shared" si="30"/>
        <v>0</v>
      </c>
      <c r="Q178" s="57">
        <f t="shared" si="30"/>
        <v>0</v>
      </c>
      <c r="R178" s="57">
        <f>R158+R161+R165+R170+R173</f>
        <v>150</v>
      </c>
      <c r="S178" s="69"/>
      <c r="T178" s="57"/>
      <c r="U178" s="69"/>
    </row>
    <row r="179" spans="1:256" s="3" customFormat="1" ht="14.1" customHeight="1" x14ac:dyDescent="0.25">
      <c r="A179" s="20" t="s">
        <v>192</v>
      </c>
      <c r="B179" s="20" t="s">
        <v>193</v>
      </c>
      <c r="C179" s="21" t="s">
        <v>292</v>
      </c>
      <c r="D179" s="23">
        <f t="shared" ref="D179:P179" si="31">D118+D129+D152+D157+D178</f>
        <v>54014</v>
      </c>
      <c r="E179" s="23">
        <f t="shared" si="31"/>
        <v>54468</v>
      </c>
      <c r="F179" s="23">
        <f t="shared" si="31"/>
        <v>14610</v>
      </c>
      <c r="G179" s="23">
        <f t="shared" si="31"/>
        <v>15581</v>
      </c>
      <c r="H179" s="23">
        <f t="shared" si="31"/>
        <v>3956</v>
      </c>
      <c r="I179" s="58">
        <f t="shared" si="31"/>
        <v>3875</v>
      </c>
      <c r="J179" s="58">
        <f t="shared" si="31"/>
        <v>14158</v>
      </c>
      <c r="K179" s="58">
        <f t="shared" si="31"/>
        <v>14045</v>
      </c>
      <c r="L179" s="58">
        <f t="shared" si="31"/>
        <v>12498</v>
      </c>
      <c r="M179" s="58">
        <f t="shared" si="31"/>
        <v>12045</v>
      </c>
      <c r="N179" s="58">
        <f t="shared" si="31"/>
        <v>7122</v>
      </c>
      <c r="O179" s="58">
        <f t="shared" si="31"/>
        <v>7922</v>
      </c>
      <c r="P179" s="58">
        <f t="shared" si="31"/>
        <v>960</v>
      </c>
      <c r="Q179" s="58">
        <f>Q118+Q129+Q152+Q157+Q178</f>
        <v>1000</v>
      </c>
      <c r="R179" s="58">
        <f>R118+R129+R152+R157+R178</f>
        <v>710</v>
      </c>
      <c r="S179" s="70"/>
      <c r="T179" s="58"/>
      <c r="U179" s="70"/>
    </row>
    <row r="180" spans="1:256" ht="14.1" customHeight="1" x14ac:dyDescent="0.2">
      <c r="A180" s="977" t="s">
        <v>291</v>
      </c>
      <c r="B180" s="978"/>
      <c r="C180" s="979"/>
      <c r="D180" s="28">
        <f t="shared" ref="D180:P180" si="32">D92+D179</f>
        <v>189949</v>
      </c>
      <c r="E180" s="28">
        <f t="shared" si="32"/>
        <v>206099</v>
      </c>
      <c r="F180" s="28">
        <f t="shared" si="32"/>
        <v>62506</v>
      </c>
      <c r="G180" s="28">
        <f t="shared" si="32"/>
        <v>70680</v>
      </c>
      <c r="H180" s="28">
        <f t="shared" si="32"/>
        <v>21616</v>
      </c>
      <c r="I180" s="59">
        <f t="shared" si="32"/>
        <v>23124</v>
      </c>
      <c r="J180" s="59">
        <f t="shared" si="32"/>
        <v>14158</v>
      </c>
      <c r="K180" s="59">
        <f t="shared" si="32"/>
        <v>14045</v>
      </c>
      <c r="L180" s="59">
        <f t="shared" si="32"/>
        <v>82877</v>
      </c>
      <c r="M180" s="59">
        <f t="shared" si="32"/>
        <v>89328</v>
      </c>
      <c r="N180" s="59">
        <f t="shared" si="32"/>
        <v>7122</v>
      </c>
      <c r="O180" s="59">
        <f t="shared" si="32"/>
        <v>7922</v>
      </c>
      <c r="P180" s="59">
        <f t="shared" si="32"/>
        <v>960</v>
      </c>
      <c r="Q180" s="59">
        <f>Q92+Q179</f>
        <v>1000</v>
      </c>
      <c r="R180" s="59">
        <f>R92+R179</f>
        <v>710</v>
      </c>
      <c r="S180" s="71"/>
      <c r="T180" s="59"/>
      <c r="U180" s="71"/>
      <c r="V180" s="27"/>
      <c r="W180" s="27"/>
      <c r="X180" s="27"/>
      <c r="Y180" s="27"/>
      <c r="Z180" s="27"/>
      <c r="AA180" s="27"/>
      <c r="AB180" s="27"/>
      <c r="AC180" s="27"/>
      <c r="AD180" s="27"/>
      <c r="AE180" s="27"/>
      <c r="AF180" s="27"/>
      <c r="AG180" s="27"/>
      <c r="AH180" s="27"/>
      <c r="AI180" s="27"/>
      <c r="AJ180" s="27"/>
      <c r="AK180" s="27"/>
      <c r="AL180" s="27"/>
      <c r="AM180" s="27"/>
      <c r="AN180" s="27"/>
      <c r="AO180" s="27"/>
      <c r="AP180" s="27"/>
      <c r="AQ180" s="27"/>
      <c r="AR180" s="27"/>
      <c r="AS180" s="27"/>
      <c r="AT180" s="27"/>
      <c r="AU180" s="27"/>
      <c r="AV180" s="27"/>
      <c r="AW180" s="27"/>
      <c r="AX180" s="27"/>
      <c r="AY180" s="27"/>
      <c r="AZ180" s="27"/>
      <c r="BA180" s="27"/>
      <c r="BB180" s="27"/>
      <c r="BC180" s="27"/>
      <c r="BD180" s="27"/>
      <c r="BE180" s="27"/>
      <c r="BF180" s="27"/>
      <c r="BG180" s="27"/>
      <c r="BH180" s="27"/>
      <c r="BI180" s="27"/>
      <c r="BJ180" s="27"/>
      <c r="BK180" s="27"/>
      <c r="BL180" s="27"/>
      <c r="BM180" s="27"/>
      <c r="BN180" s="27"/>
      <c r="BO180" s="27"/>
      <c r="BP180" s="27"/>
      <c r="BQ180" s="27"/>
      <c r="BR180" s="27"/>
      <c r="BS180" s="27"/>
      <c r="BT180" s="27"/>
      <c r="BU180" s="27"/>
      <c r="BV180" s="27"/>
      <c r="BW180" s="27"/>
      <c r="BX180" s="27"/>
      <c r="BY180" s="27"/>
      <c r="BZ180" s="27"/>
      <c r="CA180" s="27"/>
      <c r="CB180" s="27"/>
      <c r="CC180" s="27"/>
      <c r="CD180" s="27"/>
      <c r="CE180" s="27"/>
      <c r="CF180" s="27"/>
      <c r="CG180" s="27"/>
      <c r="CH180" s="27"/>
      <c r="CI180" s="27"/>
      <c r="CJ180" s="27"/>
      <c r="CK180" s="27"/>
      <c r="CL180" s="27"/>
      <c r="CM180" s="27"/>
      <c r="CN180" s="27"/>
      <c r="CO180" s="27"/>
      <c r="CP180" s="27"/>
      <c r="CQ180" s="27"/>
      <c r="CR180" s="27"/>
      <c r="CS180" s="27"/>
      <c r="CT180" s="27"/>
      <c r="CU180" s="27"/>
      <c r="CV180" s="27"/>
      <c r="CW180" s="27"/>
      <c r="CX180" s="27"/>
      <c r="CY180" s="27"/>
      <c r="CZ180" s="27"/>
      <c r="DA180" s="27"/>
      <c r="DB180" s="27"/>
      <c r="DC180" s="27"/>
      <c r="DD180" s="27"/>
      <c r="DE180" s="27"/>
      <c r="DF180" s="27"/>
      <c r="DG180" s="27"/>
      <c r="DH180" s="27"/>
      <c r="DI180" s="27"/>
      <c r="DJ180" s="27"/>
      <c r="DK180" s="27"/>
      <c r="DL180" s="27"/>
      <c r="DM180" s="27"/>
      <c r="DN180" s="27"/>
      <c r="DO180" s="27"/>
      <c r="DP180" s="27"/>
      <c r="DQ180" s="27"/>
      <c r="DR180" s="27"/>
      <c r="DS180" s="27"/>
      <c r="DT180" s="27"/>
      <c r="DU180" s="27"/>
      <c r="DV180" s="27"/>
      <c r="DW180" s="27"/>
      <c r="DX180" s="27"/>
      <c r="DY180" s="27"/>
      <c r="DZ180" s="27"/>
      <c r="EA180" s="27"/>
      <c r="EB180" s="27"/>
      <c r="EC180" s="27"/>
      <c r="ED180" s="27"/>
      <c r="EE180" s="27"/>
      <c r="EF180" s="27"/>
      <c r="EG180" s="27"/>
      <c r="EH180" s="27"/>
      <c r="EI180" s="27"/>
      <c r="EJ180" s="27"/>
      <c r="EK180" s="27"/>
      <c r="EL180" s="27"/>
      <c r="EM180" s="27"/>
      <c r="EN180" s="27"/>
      <c r="EO180" s="27"/>
      <c r="EP180" s="27"/>
      <c r="EQ180" s="27"/>
      <c r="ER180" s="27"/>
      <c r="ES180" s="27"/>
      <c r="ET180" s="27"/>
      <c r="EU180" s="27"/>
      <c r="EV180" s="27"/>
      <c r="EW180" s="27"/>
      <c r="EX180" s="27"/>
      <c r="EY180" s="27"/>
      <c r="EZ180" s="27"/>
      <c r="FA180" s="27"/>
      <c r="FB180" s="27"/>
      <c r="FC180" s="27"/>
      <c r="FD180" s="27"/>
      <c r="FE180" s="27"/>
      <c r="FF180" s="27"/>
      <c r="FG180" s="27"/>
      <c r="FH180" s="27"/>
      <c r="FI180" s="27"/>
      <c r="FJ180" s="27"/>
      <c r="FK180" s="27"/>
      <c r="FL180" s="27"/>
      <c r="FM180" s="27"/>
      <c r="FN180" s="27"/>
      <c r="FO180" s="27"/>
      <c r="FP180" s="27"/>
      <c r="FQ180" s="27"/>
      <c r="FR180" s="27"/>
      <c r="FS180" s="27"/>
      <c r="FT180" s="27"/>
      <c r="FU180" s="27"/>
      <c r="FV180" s="27"/>
      <c r="FW180" s="27"/>
      <c r="FX180" s="27"/>
      <c r="FY180" s="27"/>
      <c r="FZ180" s="27"/>
      <c r="GA180" s="27"/>
      <c r="GB180" s="27"/>
      <c r="GC180" s="27"/>
      <c r="GD180" s="27"/>
      <c r="GE180" s="27"/>
      <c r="GF180" s="27"/>
      <c r="GG180" s="27"/>
      <c r="GH180" s="27"/>
      <c r="GI180" s="27"/>
      <c r="GJ180" s="27"/>
      <c r="GK180" s="27"/>
      <c r="GL180" s="27"/>
      <c r="GM180" s="27"/>
      <c r="GN180" s="27"/>
      <c r="GO180" s="27"/>
      <c r="GP180" s="27"/>
      <c r="GQ180" s="27"/>
      <c r="GR180" s="27"/>
      <c r="GS180" s="27"/>
      <c r="GT180" s="27"/>
      <c r="GU180" s="27"/>
      <c r="GV180" s="27"/>
      <c r="GW180" s="27"/>
      <c r="GX180" s="27"/>
      <c r="GY180" s="27"/>
      <c r="GZ180" s="27"/>
      <c r="HA180" s="27"/>
      <c r="HB180" s="27"/>
      <c r="HC180" s="27"/>
      <c r="HD180" s="27"/>
      <c r="HE180" s="27"/>
      <c r="HF180" s="27"/>
      <c r="HG180" s="27"/>
      <c r="HH180" s="27"/>
      <c r="HI180" s="27"/>
      <c r="HJ180" s="27"/>
      <c r="HK180" s="27"/>
      <c r="HL180" s="27"/>
      <c r="HM180" s="27"/>
      <c r="HN180" s="27"/>
      <c r="HO180" s="27"/>
      <c r="HP180" s="27"/>
      <c r="HQ180" s="27"/>
      <c r="HR180" s="27"/>
      <c r="HS180" s="27"/>
      <c r="HT180" s="27"/>
      <c r="HU180" s="27"/>
      <c r="HV180" s="27"/>
      <c r="HW180" s="27"/>
      <c r="HX180" s="27"/>
      <c r="HY180" s="27"/>
      <c r="HZ180" s="27"/>
      <c r="IA180" s="27"/>
      <c r="IB180" s="27"/>
      <c r="IC180" s="27"/>
      <c r="ID180" s="27"/>
      <c r="IE180" s="27"/>
      <c r="IF180" s="27"/>
      <c r="IG180" s="27"/>
      <c r="IH180" s="27"/>
      <c r="II180" s="27"/>
      <c r="IJ180" s="27"/>
      <c r="IK180" s="27"/>
      <c r="IL180" s="27"/>
      <c r="IM180" s="27"/>
      <c r="IN180" s="27"/>
      <c r="IO180" s="27"/>
      <c r="IP180" s="27"/>
      <c r="IQ180" s="27"/>
      <c r="IR180" s="27"/>
      <c r="IS180" s="27"/>
      <c r="IT180" s="27"/>
      <c r="IU180" s="27"/>
      <c r="IV180" s="27"/>
    </row>
    <row r="181" spans="1:256" ht="12.75" customHeight="1" x14ac:dyDescent="0.2">
      <c r="A181" s="27"/>
      <c r="B181" s="27"/>
      <c r="C181" s="27"/>
      <c r="D181" s="27"/>
      <c r="E181" s="27"/>
      <c r="F181" s="27"/>
      <c r="G181" s="27"/>
      <c r="H181" s="27"/>
      <c r="I181" s="27"/>
      <c r="J181" s="72"/>
      <c r="K181" s="72"/>
      <c r="L181" s="72"/>
      <c r="M181" s="72"/>
      <c r="N181" s="72"/>
      <c r="O181" s="72"/>
      <c r="P181" s="72"/>
      <c r="Q181" s="72"/>
      <c r="R181" s="72"/>
      <c r="S181" s="72"/>
      <c r="T181" s="27"/>
      <c r="U181" s="27"/>
      <c r="V181" s="27"/>
      <c r="W181" s="27"/>
      <c r="X181" s="27"/>
      <c r="Y181" s="27"/>
      <c r="Z181" s="27"/>
      <c r="AA181" s="27"/>
      <c r="AB181" s="27"/>
      <c r="AC181" s="27"/>
      <c r="AD181" s="27"/>
      <c r="AE181" s="27"/>
      <c r="AF181" s="27"/>
      <c r="AG181" s="27"/>
      <c r="AH181" s="27"/>
      <c r="AI181" s="27"/>
      <c r="AJ181" s="27"/>
      <c r="AK181" s="27"/>
      <c r="AL181" s="27"/>
      <c r="AM181" s="27"/>
      <c r="AN181" s="27"/>
      <c r="AO181" s="27"/>
      <c r="AP181" s="27"/>
      <c r="AQ181" s="27"/>
      <c r="AR181" s="27"/>
      <c r="AS181" s="27"/>
      <c r="AT181" s="27"/>
      <c r="AU181" s="27"/>
      <c r="AV181" s="27"/>
      <c r="AW181" s="27"/>
      <c r="AX181" s="27"/>
      <c r="AY181" s="27"/>
      <c r="AZ181" s="27"/>
      <c r="BA181" s="27"/>
      <c r="BB181" s="27"/>
      <c r="BC181" s="27"/>
      <c r="BD181" s="27"/>
      <c r="BE181" s="27"/>
      <c r="BF181" s="27"/>
      <c r="BG181" s="27"/>
      <c r="BH181" s="27"/>
      <c r="BI181" s="27"/>
      <c r="BJ181" s="27"/>
      <c r="BK181" s="27"/>
      <c r="BL181" s="27"/>
      <c r="BM181" s="27"/>
      <c r="BN181" s="27"/>
      <c r="BO181" s="27"/>
      <c r="BP181" s="27"/>
      <c r="BQ181" s="27"/>
      <c r="BR181" s="27"/>
      <c r="BS181" s="27"/>
      <c r="BT181" s="27"/>
      <c r="BU181" s="27"/>
      <c r="BV181" s="27"/>
      <c r="BW181" s="27"/>
      <c r="BX181" s="27"/>
      <c r="BY181" s="27"/>
      <c r="BZ181" s="27"/>
      <c r="CA181" s="27"/>
      <c r="CB181" s="27"/>
      <c r="CC181" s="27"/>
      <c r="CD181" s="27"/>
      <c r="CE181" s="27"/>
      <c r="CF181" s="27"/>
      <c r="CG181" s="27"/>
      <c r="CH181" s="27"/>
      <c r="CI181" s="27"/>
      <c r="CJ181" s="27"/>
      <c r="CK181" s="27"/>
      <c r="CL181" s="27"/>
      <c r="CM181" s="27"/>
      <c r="CN181" s="27"/>
      <c r="CO181" s="27"/>
      <c r="CP181" s="27"/>
      <c r="CQ181" s="27"/>
      <c r="CR181" s="27"/>
      <c r="CS181" s="27"/>
      <c r="CT181" s="27"/>
      <c r="CU181" s="27"/>
      <c r="CV181" s="27"/>
      <c r="CW181" s="27"/>
      <c r="CX181" s="27"/>
      <c r="CY181" s="27"/>
      <c r="CZ181" s="27"/>
      <c r="DA181" s="27"/>
      <c r="DB181" s="27"/>
      <c r="DC181" s="27"/>
      <c r="DD181" s="27"/>
      <c r="DE181" s="27"/>
      <c r="DF181" s="27"/>
      <c r="DG181" s="27"/>
      <c r="DH181" s="27"/>
      <c r="DI181" s="27"/>
      <c r="DJ181" s="27"/>
      <c r="DK181" s="27"/>
      <c r="DL181" s="27"/>
      <c r="DM181" s="27"/>
      <c r="DN181" s="27"/>
      <c r="DO181" s="27"/>
      <c r="DP181" s="27"/>
      <c r="DQ181" s="27"/>
      <c r="DR181" s="27"/>
      <c r="DS181" s="27"/>
      <c r="DT181" s="27"/>
      <c r="DU181" s="27"/>
      <c r="DV181" s="27"/>
      <c r="DW181" s="27"/>
      <c r="DX181" s="27"/>
      <c r="DY181" s="27"/>
      <c r="DZ181" s="27"/>
      <c r="EA181" s="27"/>
      <c r="EB181" s="27"/>
      <c r="EC181" s="27"/>
      <c r="ED181" s="27"/>
      <c r="EE181" s="27"/>
      <c r="EF181" s="27"/>
      <c r="EG181" s="27"/>
      <c r="EH181" s="27"/>
      <c r="EI181" s="27"/>
      <c r="EJ181" s="27"/>
      <c r="EK181" s="27"/>
      <c r="EL181" s="27"/>
      <c r="EM181" s="27"/>
      <c r="EN181" s="27"/>
      <c r="EO181" s="27"/>
      <c r="EP181" s="27"/>
      <c r="EQ181" s="27"/>
      <c r="ER181" s="27"/>
      <c r="ES181" s="27"/>
      <c r="ET181" s="27"/>
      <c r="EU181" s="27"/>
      <c r="EV181" s="27"/>
      <c r="EW181" s="27"/>
      <c r="EX181" s="27"/>
      <c r="EY181" s="27"/>
      <c r="EZ181" s="27"/>
      <c r="FA181" s="27"/>
      <c r="FB181" s="27"/>
      <c r="FC181" s="27"/>
      <c r="FD181" s="27"/>
      <c r="FE181" s="27"/>
      <c r="FF181" s="27"/>
      <c r="FG181" s="27"/>
      <c r="FH181" s="27"/>
      <c r="FI181" s="27"/>
      <c r="FJ181" s="27"/>
      <c r="FK181" s="27"/>
      <c r="FL181" s="27"/>
      <c r="FM181" s="27"/>
      <c r="FN181" s="27"/>
      <c r="FO181" s="27"/>
      <c r="FP181" s="27"/>
      <c r="FQ181" s="27"/>
      <c r="FR181" s="27"/>
      <c r="FS181" s="27"/>
      <c r="FT181" s="27"/>
      <c r="FU181" s="27"/>
      <c r="FV181" s="27"/>
      <c r="FW181" s="27"/>
      <c r="FX181" s="27"/>
      <c r="FY181" s="27"/>
      <c r="FZ181" s="27"/>
      <c r="GA181" s="27"/>
      <c r="GB181" s="27"/>
      <c r="GC181" s="27"/>
      <c r="GD181" s="27"/>
      <c r="GE181" s="27"/>
      <c r="GF181" s="27"/>
      <c r="GG181" s="27"/>
      <c r="GH181" s="27"/>
      <c r="GI181" s="27"/>
      <c r="GJ181" s="27"/>
      <c r="GK181" s="27"/>
      <c r="GL181" s="27"/>
      <c r="GM181" s="27"/>
      <c r="GN181" s="27"/>
      <c r="GO181" s="27"/>
      <c r="GP181" s="27"/>
      <c r="GQ181" s="27"/>
      <c r="GR181" s="27"/>
      <c r="GS181" s="27"/>
      <c r="GT181" s="27"/>
      <c r="GU181" s="27"/>
      <c r="GV181" s="27"/>
      <c r="GW181" s="27"/>
      <c r="GX181" s="27"/>
      <c r="GY181" s="27"/>
      <c r="GZ181" s="27"/>
      <c r="HA181" s="27"/>
      <c r="HB181" s="27"/>
      <c r="HC181" s="27"/>
      <c r="HD181" s="27"/>
      <c r="HE181" s="27"/>
      <c r="HF181" s="27"/>
      <c r="HG181" s="27"/>
      <c r="HH181" s="27"/>
      <c r="HI181" s="27"/>
      <c r="HJ181" s="27"/>
      <c r="HK181" s="27"/>
      <c r="HL181" s="27"/>
      <c r="HM181" s="27"/>
      <c r="HN181" s="27"/>
      <c r="HO181" s="27"/>
      <c r="HP181" s="27"/>
      <c r="HQ181" s="27"/>
      <c r="HR181" s="27"/>
      <c r="HS181" s="27"/>
      <c r="HT181" s="27"/>
      <c r="HU181" s="27"/>
      <c r="HV181" s="27"/>
      <c r="HW181" s="27"/>
      <c r="HX181" s="27"/>
      <c r="HY181" s="27"/>
      <c r="HZ181" s="27"/>
      <c r="IA181" s="27"/>
      <c r="IB181" s="27"/>
      <c r="IC181" s="27"/>
      <c r="ID181" s="27"/>
      <c r="IE181" s="27"/>
      <c r="IF181" s="27"/>
      <c r="IG181" s="27"/>
      <c r="IH181" s="27"/>
      <c r="II181" s="27"/>
      <c r="IJ181" s="27"/>
      <c r="IK181" s="27"/>
      <c r="IL181" s="27"/>
      <c r="IM181" s="27"/>
      <c r="IN181" s="27"/>
      <c r="IO181" s="27"/>
      <c r="IP181" s="27"/>
      <c r="IQ181" s="27"/>
      <c r="IR181" s="27"/>
      <c r="IS181" s="27"/>
      <c r="IT181" s="27"/>
      <c r="IU181" s="27"/>
      <c r="IV181" s="27"/>
    </row>
    <row r="182" spans="1:256" ht="14.1" customHeight="1" x14ac:dyDescent="0.2">
      <c r="A182" s="27"/>
      <c r="B182" s="27"/>
      <c r="C182" s="27"/>
      <c r="D182" s="27"/>
      <c r="E182" s="27"/>
      <c r="F182" s="27"/>
      <c r="G182" s="27"/>
      <c r="H182" s="27"/>
      <c r="I182" s="27"/>
      <c r="J182" s="73"/>
      <c r="K182" s="73"/>
      <c r="L182" s="73"/>
      <c r="M182" s="73"/>
      <c r="N182" s="73"/>
      <c r="O182" s="73"/>
      <c r="P182" s="73"/>
      <c r="Q182" s="73"/>
      <c r="R182" s="73"/>
      <c r="S182" s="73"/>
      <c r="T182" s="27"/>
      <c r="U182" s="27"/>
      <c r="V182" s="27"/>
      <c r="W182" s="27"/>
      <c r="X182" s="27"/>
      <c r="Y182" s="27"/>
      <c r="Z182" s="27"/>
      <c r="AA182" s="27"/>
      <c r="AB182" s="27"/>
      <c r="AC182" s="27"/>
      <c r="AD182" s="27"/>
      <c r="AE182" s="27"/>
      <c r="AF182" s="27"/>
      <c r="AG182" s="27"/>
      <c r="AH182" s="27"/>
      <c r="AI182" s="27"/>
      <c r="AJ182" s="27"/>
      <c r="AK182" s="27"/>
      <c r="AL182" s="27"/>
      <c r="AM182" s="27"/>
      <c r="AN182" s="27"/>
      <c r="AO182" s="27"/>
      <c r="AP182" s="27"/>
      <c r="AQ182" s="27"/>
      <c r="AR182" s="27"/>
      <c r="AS182" s="27"/>
      <c r="AT182" s="27"/>
      <c r="AU182" s="27"/>
      <c r="AV182" s="27"/>
      <c r="AW182" s="27"/>
      <c r="AX182" s="27"/>
      <c r="AY182" s="27"/>
      <c r="AZ182" s="27"/>
      <c r="BA182" s="27"/>
      <c r="BB182" s="27"/>
      <c r="BC182" s="27"/>
      <c r="BD182" s="27"/>
      <c r="BE182" s="27"/>
      <c r="BF182" s="27"/>
      <c r="BG182" s="27"/>
      <c r="BH182" s="27"/>
      <c r="BI182" s="27"/>
      <c r="BJ182" s="27"/>
      <c r="BK182" s="27"/>
      <c r="BL182" s="27"/>
      <c r="BM182" s="27"/>
      <c r="BN182" s="27"/>
      <c r="BO182" s="27"/>
      <c r="BP182" s="27"/>
      <c r="BQ182" s="27"/>
      <c r="BR182" s="27"/>
      <c r="BS182" s="27"/>
      <c r="BT182" s="27"/>
      <c r="BU182" s="27"/>
      <c r="BV182" s="27"/>
      <c r="BW182" s="27"/>
      <c r="BX182" s="27"/>
      <c r="BY182" s="27"/>
      <c r="BZ182" s="27"/>
      <c r="CA182" s="27"/>
      <c r="CB182" s="27"/>
      <c r="CC182" s="27"/>
      <c r="CD182" s="27"/>
      <c r="CE182" s="27"/>
      <c r="CF182" s="27"/>
      <c r="CG182" s="27"/>
      <c r="CH182" s="27"/>
      <c r="CI182" s="27"/>
      <c r="CJ182" s="27"/>
      <c r="CK182" s="27"/>
      <c r="CL182" s="27"/>
      <c r="CM182" s="27"/>
      <c r="CN182" s="27"/>
      <c r="CO182" s="27"/>
      <c r="CP182" s="27"/>
      <c r="CQ182" s="27"/>
      <c r="CR182" s="27"/>
      <c r="CS182" s="27"/>
      <c r="CT182" s="27"/>
      <c r="CU182" s="27"/>
      <c r="CV182" s="27"/>
      <c r="CW182" s="27"/>
      <c r="CX182" s="27"/>
      <c r="CY182" s="27"/>
      <c r="CZ182" s="27"/>
      <c r="DA182" s="27"/>
      <c r="DB182" s="27"/>
      <c r="DC182" s="27"/>
      <c r="DD182" s="27"/>
      <c r="DE182" s="27"/>
      <c r="DF182" s="27"/>
      <c r="DG182" s="27"/>
      <c r="DH182" s="27"/>
      <c r="DI182" s="27"/>
      <c r="DJ182" s="27"/>
      <c r="DK182" s="27"/>
      <c r="DL182" s="27"/>
      <c r="DM182" s="27"/>
      <c r="DN182" s="27"/>
      <c r="DO182" s="27"/>
      <c r="DP182" s="27"/>
      <c r="DQ182" s="27"/>
      <c r="DR182" s="27"/>
      <c r="DS182" s="27"/>
      <c r="DT182" s="27"/>
      <c r="DU182" s="27"/>
      <c r="DV182" s="27"/>
      <c r="DW182" s="27"/>
      <c r="DX182" s="27"/>
      <c r="DY182" s="27"/>
      <c r="DZ182" s="27"/>
      <c r="EA182" s="27"/>
      <c r="EB182" s="27"/>
      <c r="EC182" s="27"/>
      <c r="ED182" s="27"/>
      <c r="EE182" s="27"/>
      <c r="EF182" s="27"/>
      <c r="EG182" s="27"/>
      <c r="EH182" s="27"/>
      <c r="EI182" s="27"/>
      <c r="EJ182" s="27"/>
      <c r="EK182" s="27"/>
      <c r="EL182" s="27"/>
      <c r="EM182" s="27"/>
      <c r="EN182" s="27"/>
      <c r="EO182" s="27"/>
      <c r="EP182" s="27"/>
      <c r="EQ182" s="27"/>
      <c r="ER182" s="27"/>
      <c r="ES182" s="27"/>
      <c r="ET182" s="27"/>
      <c r="EU182" s="27"/>
      <c r="EV182" s="27"/>
      <c r="EW182" s="27"/>
      <c r="EX182" s="27"/>
      <c r="EY182" s="27"/>
      <c r="EZ182" s="27"/>
      <c r="FA182" s="27"/>
      <c r="FB182" s="27"/>
      <c r="FC182" s="27"/>
      <c r="FD182" s="27"/>
      <c r="FE182" s="27"/>
      <c r="FF182" s="27"/>
      <c r="FG182" s="27"/>
      <c r="FH182" s="27"/>
      <c r="FI182" s="27"/>
      <c r="FJ182" s="27"/>
      <c r="FK182" s="27"/>
      <c r="FL182" s="27"/>
      <c r="FM182" s="27"/>
      <c r="FN182" s="27"/>
      <c r="FO182" s="27"/>
      <c r="FP182" s="27"/>
      <c r="FQ182" s="27"/>
      <c r="FR182" s="27"/>
      <c r="FS182" s="27"/>
      <c r="FT182" s="27"/>
      <c r="FU182" s="27"/>
      <c r="FV182" s="27"/>
      <c r="FW182" s="27"/>
      <c r="FX182" s="27"/>
      <c r="FY182" s="27"/>
      <c r="FZ182" s="27"/>
      <c r="GA182" s="27"/>
      <c r="GB182" s="27"/>
      <c r="GC182" s="27"/>
      <c r="GD182" s="27"/>
      <c r="GE182" s="27"/>
      <c r="GF182" s="27"/>
      <c r="GG182" s="27"/>
      <c r="GH182" s="27"/>
      <c r="GI182" s="27"/>
      <c r="GJ182" s="27"/>
      <c r="GK182" s="27"/>
      <c r="GL182" s="27"/>
      <c r="GM182" s="27"/>
      <c r="GN182" s="27"/>
      <c r="GO182" s="27"/>
      <c r="GP182" s="27"/>
      <c r="GQ182" s="27"/>
      <c r="GR182" s="27"/>
      <c r="GS182" s="27"/>
      <c r="GT182" s="27"/>
      <c r="GU182" s="27"/>
      <c r="GV182" s="27"/>
      <c r="GW182" s="27"/>
      <c r="GX182" s="27"/>
      <c r="GY182" s="27"/>
      <c r="GZ182" s="27"/>
      <c r="HA182" s="27"/>
      <c r="HB182" s="27"/>
      <c r="HC182" s="27"/>
      <c r="HD182" s="27"/>
      <c r="HE182" s="27"/>
      <c r="HF182" s="27"/>
      <c r="HG182" s="27"/>
      <c r="HH182" s="27"/>
      <c r="HI182" s="27"/>
      <c r="HJ182" s="27"/>
      <c r="HK182" s="27"/>
      <c r="HL182" s="27"/>
      <c r="HM182" s="27"/>
      <c r="HN182" s="27"/>
      <c r="HO182" s="27"/>
      <c r="HP182" s="27"/>
      <c r="HQ182" s="27"/>
      <c r="HR182" s="27"/>
      <c r="HS182" s="27"/>
      <c r="HT182" s="27"/>
      <c r="HU182" s="27"/>
      <c r="HV182" s="27"/>
      <c r="HW182" s="27"/>
      <c r="HX182" s="27"/>
      <c r="HY182" s="27"/>
      <c r="HZ182" s="27"/>
      <c r="IA182" s="27"/>
      <c r="IB182" s="27"/>
      <c r="IC182" s="27"/>
      <c r="ID182" s="27"/>
      <c r="IE182" s="27"/>
      <c r="IF182" s="27"/>
      <c r="IG182" s="27"/>
      <c r="IH182" s="27"/>
      <c r="II182" s="27"/>
      <c r="IJ182" s="27"/>
      <c r="IK182" s="27"/>
      <c r="IL182" s="27"/>
      <c r="IM182" s="27"/>
      <c r="IN182" s="27"/>
      <c r="IO182" s="27"/>
      <c r="IP182" s="27"/>
      <c r="IQ182" s="27"/>
      <c r="IR182" s="27"/>
      <c r="IS182" s="27"/>
      <c r="IT182" s="27"/>
      <c r="IU182" s="27"/>
      <c r="IV182" s="27"/>
    </row>
    <row r="183" spans="1:256" ht="14.1" customHeight="1" x14ac:dyDescent="0.25">
      <c r="J183" s="49"/>
      <c r="K183" s="49"/>
      <c r="L183" s="49"/>
      <c r="M183" s="49"/>
      <c r="N183" s="49"/>
      <c r="O183" s="49"/>
      <c r="P183" s="49"/>
      <c r="Q183" s="49"/>
      <c r="R183" s="49"/>
      <c r="S183" s="49"/>
    </row>
    <row r="184" spans="1:256" s="1" customFormat="1" ht="12.75" customHeight="1" x14ac:dyDescent="0.25">
      <c r="A184" s="974" t="s">
        <v>410</v>
      </c>
      <c r="B184" s="974"/>
      <c r="C184" s="974"/>
      <c r="D184" s="974"/>
      <c r="E184" s="974"/>
      <c r="F184" s="974"/>
      <c r="G184" s="974"/>
      <c r="H184" s="974"/>
      <c r="I184" s="974"/>
      <c r="J184" s="974"/>
      <c r="K184" s="974"/>
      <c r="L184" s="974" t="s">
        <v>410</v>
      </c>
      <c r="M184" s="974"/>
      <c r="N184" s="974"/>
      <c r="O184" s="974"/>
      <c r="P184" s="974"/>
      <c r="Q184" s="974"/>
      <c r="R184" s="974"/>
      <c r="S184" s="974"/>
      <c r="T184" s="974"/>
      <c r="U184" s="974"/>
    </row>
    <row r="185" spans="1:256" s="1" customFormat="1" ht="14.1" customHeight="1" x14ac:dyDescent="0.25">
      <c r="A185" s="1027" t="s">
        <v>0</v>
      </c>
      <c r="B185" s="1028" t="s">
        <v>1</v>
      </c>
      <c r="C185" s="1027" t="s">
        <v>2</v>
      </c>
      <c r="D185" s="970" t="s">
        <v>260</v>
      </c>
      <c r="E185" s="1030" t="s">
        <v>259</v>
      </c>
      <c r="F185" s="1025" t="s">
        <v>411</v>
      </c>
      <c r="G185" s="1029"/>
      <c r="H185" s="1025" t="s">
        <v>412</v>
      </c>
      <c r="I185" s="1026"/>
      <c r="J185" s="1023" t="s">
        <v>413</v>
      </c>
      <c r="K185" s="1033"/>
      <c r="L185" s="1023" t="s">
        <v>414</v>
      </c>
      <c r="M185" s="1033"/>
      <c r="N185" s="1023" t="s">
        <v>415</v>
      </c>
      <c r="O185" s="1024"/>
      <c r="P185" s="1031" t="s">
        <v>416</v>
      </c>
      <c r="Q185" s="1032"/>
      <c r="R185" s="1031" t="s">
        <v>417</v>
      </c>
      <c r="S185" s="1032"/>
      <c r="T185" s="1031"/>
      <c r="U185" s="1032"/>
    </row>
    <row r="186" spans="1:256" s="3" customFormat="1" ht="27" customHeight="1" x14ac:dyDescent="0.25">
      <c r="A186" s="974"/>
      <c r="B186" s="975"/>
      <c r="C186" s="974"/>
      <c r="D186" s="976"/>
      <c r="E186" s="970"/>
      <c r="F186" s="2" t="s">
        <v>260</v>
      </c>
      <c r="G186" s="2" t="s">
        <v>259</v>
      </c>
      <c r="H186" s="2" t="s">
        <v>260</v>
      </c>
      <c r="I186" s="48" t="s">
        <v>259</v>
      </c>
      <c r="J186" s="2" t="s">
        <v>260</v>
      </c>
      <c r="K186" s="48" t="s">
        <v>259</v>
      </c>
      <c r="L186" s="60" t="s">
        <v>260</v>
      </c>
      <c r="M186" s="75" t="s">
        <v>259</v>
      </c>
      <c r="N186" s="81" t="s">
        <v>260</v>
      </c>
      <c r="O186" s="47" t="s">
        <v>259</v>
      </c>
      <c r="P186" s="82" t="s">
        <v>260</v>
      </c>
      <c r="Q186" s="83" t="s">
        <v>259</v>
      </c>
      <c r="R186" s="82" t="s">
        <v>260</v>
      </c>
      <c r="S186" s="83" t="s">
        <v>259</v>
      </c>
      <c r="T186" s="82"/>
      <c r="U186" s="83"/>
    </row>
    <row r="187" spans="1:256" ht="5.65" customHeight="1" x14ac:dyDescent="0.25">
      <c r="J187" s="61"/>
      <c r="K187" s="76"/>
      <c r="L187" s="61"/>
      <c r="M187" s="76"/>
      <c r="N187" s="61"/>
      <c r="O187" s="61"/>
      <c r="P187" s="61"/>
      <c r="Q187" s="61"/>
      <c r="R187" s="61"/>
      <c r="S187" s="61"/>
      <c r="T187" s="61"/>
      <c r="U187" s="61"/>
    </row>
    <row r="188" spans="1:256" ht="14.1" customHeight="1" x14ac:dyDescent="0.25">
      <c r="A188" s="973" t="s">
        <v>194</v>
      </c>
      <c r="B188" s="973"/>
      <c r="C188" s="973"/>
      <c r="D188" s="973"/>
      <c r="E188" s="973"/>
      <c r="F188" s="973"/>
      <c r="G188" s="973"/>
      <c r="H188" s="973"/>
      <c r="I188" s="973"/>
      <c r="J188" s="62"/>
      <c r="K188" s="77"/>
      <c r="L188" s="62"/>
      <c r="M188" s="77"/>
      <c r="N188" s="62"/>
      <c r="O188" s="62"/>
      <c r="P188" s="62"/>
      <c r="Q188" s="62"/>
      <c r="R188" s="62"/>
      <c r="S188" s="62"/>
      <c r="T188" s="62"/>
      <c r="U188" s="62"/>
    </row>
    <row r="189" spans="1:256" ht="14.1" customHeight="1" x14ac:dyDescent="0.25">
      <c r="A189" s="24" t="s">
        <v>195</v>
      </c>
      <c r="B189" s="24" t="s">
        <v>196</v>
      </c>
      <c r="C189" s="25" t="s">
        <v>197</v>
      </c>
      <c r="D189" s="26">
        <f>F189+H189+J189+L189+N189+P189+R189</f>
        <v>0</v>
      </c>
      <c r="E189" s="26">
        <f>G189+I189+K189+M189+O189+Q189+S189</f>
        <v>0</v>
      </c>
      <c r="F189" s="26"/>
      <c r="G189" s="26"/>
      <c r="H189" s="26"/>
      <c r="I189" s="56"/>
      <c r="J189" s="61"/>
      <c r="K189" s="76"/>
      <c r="L189" s="61"/>
      <c r="M189" s="76"/>
      <c r="N189" s="61"/>
      <c r="O189" s="61"/>
      <c r="P189" s="61"/>
      <c r="Q189" s="61"/>
      <c r="R189" s="61"/>
      <c r="S189" s="61"/>
      <c r="T189" s="61"/>
      <c r="U189" s="61"/>
    </row>
    <row r="190" spans="1:256" ht="14.1" customHeight="1" x14ac:dyDescent="0.25">
      <c r="A190" s="24" t="s">
        <v>198</v>
      </c>
      <c r="B190" s="24" t="s">
        <v>199</v>
      </c>
      <c r="C190" s="25" t="s">
        <v>200</v>
      </c>
      <c r="D190" s="26">
        <f t="shared" ref="D190:E202" si="33">F190+H190+J190+L190+N190+P190+R190</f>
        <v>0</v>
      </c>
      <c r="E190" s="26">
        <f t="shared" si="33"/>
        <v>0</v>
      </c>
      <c r="F190" s="26"/>
      <c r="G190" s="26"/>
      <c r="H190" s="26"/>
      <c r="I190" s="56"/>
      <c r="J190" s="61"/>
      <c r="K190" s="76"/>
      <c r="L190" s="61"/>
      <c r="M190" s="76"/>
      <c r="N190" s="61"/>
      <c r="O190" s="61"/>
      <c r="P190" s="61"/>
      <c r="Q190" s="61"/>
      <c r="R190" s="61"/>
      <c r="S190" s="61"/>
      <c r="T190" s="61"/>
      <c r="U190" s="61"/>
    </row>
    <row r="191" spans="1:256" ht="14.1" customHeight="1" x14ac:dyDescent="0.25">
      <c r="A191" s="24" t="s">
        <v>201</v>
      </c>
      <c r="B191" s="24" t="s">
        <v>202</v>
      </c>
      <c r="C191" s="25" t="s">
        <v>203</v>
      </c>
      <c r="D191" s="26">
        <f t="shared" si="33"/>
        <v>200</v>
      </c>
      <c r="E191" s="26">
        <f t="shared" si="33"/>
        <v>200</v>
      </c>
      <c r="F191" s="26">
        <v>200</v>
      </c>
      <c r="G191" s="26">
        <v>200</v>
      </c>
      <c r="H191" s="26"/>
      <c r="I191" s="56"/>
      <c r="J191" s="61"/>
      <c r="K191" s="76"/>
      <c r="L191" s="61"/>
      <c r="M191" s="76"/>
      <c r="N191" s="61"/>
      <c r="O191" s="61"/>
      <c r="P191" s="61"/>
      <c r="Q191" s="61"/>
      <c r="R191" s="61"/>
      <c r="S191" s="61"/>
      <c r="T191" s="61"/>
      <c r="U191" s="61"/>
    </row>
    <row r="192" spans="1:256" ht="14.1" customHeight="1" x14ac:dyDescent="0.25">
      <c r="A192" s="24" t="s">
        <v>204</v>
      </c>
      <c r="B192" s="24" t="s">
        <v>205</v>
      </c>
      <c r="C192" s="25" t="s">
        <v>206</v>
      </c>
      <c r="D192" s="26">
        <f t="shared" si="33"/>
        <v>350</v>
      </c>
      <c r="E192" s="26">
        <f t="shared" si="33"/>
        <v>350</v>
      </c>
      <c r="F192" s="26">
        <v>100</v>
      </c>
      <c r="G192" s="26">
        <v>100</v>
      </c>
      <c r="H192" s="26">
        <v>100</v>
      </c>
      <c r="I192" s="56">
        <v>100</v>
      </c>
      <c r="J192" s="61"/>
      <c r="K192" s="76"/>
      <c r="L192" s="61">
        <v>150</v>
      </c>
      <c r="M192" s="76">
        <v>150</v>
      </c>
      <c r="N192" s="61"/>
      <c r="O192" s="61"/>
      <c r="P192" s="61"/>
      <c r="Q192" s="61"/>
      <c r="R192" s="61"/>
      <c r="S192" s="61"/>
      <c r="T192" s="61"/>
      <c r="U192" s="61"/>
    </row>
    <row r="193" spans="1:21" ht="14.1" customHeight="1" x14ac:dyDescent="0.25">
      <c r="A193" s="24"/>
      <c r="B193" s="24" t="s">
        <v>207</v>
      </c>
      <c r="C193" s="25" t="s">
        <v>208</v>
      </c>
      <c r="D193" s="26">
        <f t="shared" si="33"/>
        <v>0</v>
      </c>
      <c r="E193" s="26">
        <f t="shared" si="33"/>
        <v>0</v>
      </c>
      <c r="F193" s="26"/>
      <c r="G193" s="26"/>
      <c r="H193" s="26"/>
      <c r="I193" s="56"/>
      <c r="J193" s="61"/>
      <c r="K193" s="76"/>
      <c r="L193" s="61"/>
      <c r="M193" s="76"/>
      <c r="N193" s="61"/>
      <c r="O193" s="61"/>
      <c r="P193" s="61"/>
      <c r="Q193" s="61"/>
      <c r="R193" s="61"/>
      <c r="S193" s="61"/>
      <c r="T193" s="61"/>
      <c r="U193" s="61"/>
    </row>
    <row r="194" spans="1:21" ht="14.1" customHeight="1" x14ac:dyDescent="0.25">
      <c r="A194" s="24" t="s">
        <v>209</v>
      </c>
      <c r="B194" s="24" t="s">
        <v>210</v>
      </c>
      <c r="C194" s="25" t="s">
        <v>211</v>
      </c>
      <c r="D194" s="26">
        <f t="shared" si="33"/>
        <v>0</v>
      </c>
      <c r="E194" s="26">
        <f t="shared" si="33"/>
        <v>0</v>
      </c>
      <c r="F194" s="26"/>
      <c r="G194" s="26"/>
      <c r="H194" s="26"/>
      <c r="I194" s="56"/>
      <c r="J194" s="61"/>
      <c r="K194" s="76"/>
      <c r="L194" s="61"/>
      <c r="M194" s="76"/>
      <c r="N194" s="61"/>
      <c r="O194" s="61"/>
      <c r="P194" s="61"/>
      <c r="Q194" s="61"/>
      <c r="R194" s="61"/>
      <c r="S194" s="61"/>
      <c r="T194" s="61"/>
      <c r="U194" s="61"/>
    </row>
    <row r="195" spans="1:21" ht="14.1" customHeight="1" x14ac:dyDescent="0.25">
      <c r="A195" s="24" t="s">
        <v>212</v>
      </c>
      <c r="B195" s="24" t="s">
        <v>213</v>
      </c>
      <c r="C195" s="25" t="s">
        <v>214</v>
      </c>
      <c r="D195" s="26">
        <f t="shared" si="33"/>
        <v>0</v>
      </c>
      <c r="E195" s="26">
        <f t="shared" si="33"/>
        <v>0</v>
      </c>
      <c r="F195" s="26"/>
      <c r="G195" s="26"/>
      <c r="H195" s="26"/>
      <c r="I195" s="56"/>
      <c r="J195" s="61"/>
      <c r="K195" s="76"/>
      <c r="L195" s="61"/>
      <c r="M195" s="76"/>
      <c r="N195" s="61"/>
      <c r="O195" s="61"/>
      <c r="P195" s="61"/>
      <c r="Q195" s="61"/>
      <c r="R195" s="61"/>
      <c r="S195" s="61"/>
      <c r="T195" s="61"/>
      <c r="U195" s="61"/>
    </row>
    <row r="196" spans="1:21" ht="14.1" customHeight="1" x14ac:dyDescent="0.25">
      <c r="A196" s="24" t="s">
        <v>215</v>
      </c>
      <c r="B196" s="24" t="s">
        <v>216</v>
      </c>
      <c r="C196" s="25" t="s">
        <v>217</v>
      </c>
      <c r="D196" s="26">
        <f t="shared" si="33"/>
        <v>149</v>
      </c>
      <c r="E196" s="26">
        <f t="shared" si="33"/>
        <v>149</v>
      </c>
      <c r="F196" s="26">
        <v>81</v>
      </c>
      <c r="G196" s="26">
        <f>ROUND((G189+G190+G191+G192+G193)*0.27,0)</f>
        <v>81</v>
      </c>
      <c r="H196" s="26">
        <v>27</v>
      </c>
      <c r="I196" s="56">
        <f>ROUND((I189+I190+I191+I192+I193)*0.27,0)</f>
        <v>27</v>
      </c>
      <c r="J196" s="61"/>
      <c r="K196" s="76"/>
      <c r="L196" s="61">
        <v>41</v>
      </c>
      <c r="M196" s="56">
        <f>ROUND((M189+M190+M191+M192+M193)*0.27,0)</f>
        <v>41</v>
      </c>
      <c r="N196" s="61"/>
      <c r="O196" s="56">
        <f>ROUND((O189+O190+O191+O192+O193)*0.27,0)</f>
        <v>0</v>
      </c>
      <c r="P196" s="61"/>
      <c r="Q196" s="61"/>
      <c r="R196" s="61"/>
      <c r="S196" s="61"/>
      <c r="T196" s="61"/>
      <c r="U196" s="61"/>
    </row>
    <row r="197" spans="1:21" s="3" customFormat="1" ht="14.1" customHeight="1" x14ac:dyDescent="0.25">
      <c r="A197" s="20" t="s">
        <v>218</v>
      </c>
      <c r="B197" s="20" t="s">
        <v>219</v>
      </c>
      <c r="C197" s="21" t="s">
        <v>220</v>
      </c>
      <c r="D197" s="22">
        <f>SUM(D189:D196)</f>
        <v>699</v>
      </c>
      <c r="E197" s="22">
        <f t="shared" ref="E197:P197" si="34">SUM(E189:E196)</f>
        <v>699</v>
      </c>
      <c r="F197" s="22">
        <f t="shared" si="34"/>
        <v>381</v>
      </c>
      <c r="G197" s="22">
        <f t="shared" si="34"/>
        <v>381</v>
      </c>
      <c r="H197" s="22">
        <f t="shared" si="34"/>
        <v>127</v>
      </c>
      <c r="I197" s="53">
        <f t="shared" si="34"/>
        <v>127</v>
      </c>
      <c r="J197" s="53">
        <f t="shared" si="34"/>
        <v>0</v>
      </c>
      <c r="K197" s="53">
        <f t="shared" si="34"/>
        <v>0</v>
      </c>
      <c r="L197" s="22">
        <f t="shared" si="34"/>
        <v>191</v>
      </c>
      <c r="M197" s="22">
        <f t="shared" si="34"/>
        <v>191</v>
      </c>
      <c r="N197" s="22">
        <f t="shared" si="34"/>
        <v>0</v>
      </c>
      <c r="O197" s="22">
        <f t="shared" si="34"/>
        <v>0</v>
      </c>
      <c r="P197" s="22">
        <f t="shared" si="34"/>
        <v>0</v>
      </c>
      <c r="Q197" s="66"/>
      <c r="R197" s="22">
        <f>SUM(R189:R196)</f>
        <v>0</v>
      </c>
      <c r="S197" s="66"/>
      <c r="T197" s="22"/>
      <c r="U197" s="66"/>
    </row>
    <row r="198" spans="1:21" ht="14.1" customHeight="1" x14ac:dyDescent="0.25">
      <c r="A198" s="24" t="s">
        <v>221</v>
      </c>
      <c r="B198" s="24" t="s">
        <v>222</v>
      </c>
      <c r="C198" s="25" t="s">
        <v>223</v>
      </c>
      <c r="D198" s="26">
        <f t="shared" si="33"/>
        <v>0</v>
      </c>
      <c r="E198" s="26">
        <f t="shared" si="33"/>
        <v>0</v>
      </c>
      <c r="F198" s="26"/>
      <c r="G198" s="26"/>
      <c r="H198" s="26"/>
      <c r="I198" s="56"/>
      <c r="J198" s="61"/>
      <c r="K198" s="76"/>
      <c r="L198" s="61"/>
      <c r="M198" s="76"/>
      <c r="N198" s="61"/>
      <c r="O198" s="61"/>
      <c r="P198" s="61"/>
      <c r="Q198" s="61"/>
      <c r="R198" s="61"/>
      <c r="S198" s="61"/>
      <c r="T198" s="61"/>
      <c r="U198" s="61"/>
    </row>
    <row r="199" spans="1:21" ht="14.1" customHeight="1" x14ac:dyDescent="0.25">
      <c r="A199" s="24" t="s">
        <v>224</v>
      </c>
      <c r="B199" s="24" t="s">
        <v>225</v>
      </c>
      <c r="C199" s="25" t="s">
        <v>226</v>
      </c>
      <c r="D199" s="26">
        <f t="shared" si="33"/>
        <v>0</v>
      </c>
      <c r="E199" s="26">
        <f t="shared" si="33"/>
        <v>0</v>
      </c>
      <c r="F199" s="26"/>
      <c r="G199" s="26"/>
      <c r="H199" s="26"/>
      <c r="I199" s="56"/>
      <c r="J199" s="61"/>
      <c r="K199" s="76"/>
      <c r="L199" s="61"/>
      <c r="M199" s="76"/>
      <c r="N199" s="61"/>
      <c r="O199" s="61"/>
      <c r="P199" s="61"/>
      <c r="Q199" s="61"/>
      <c r="R199" s="61"/>
      <c r="S199" s="61"/>
      <c r="T199" s="61"/>
      <c r="U199" s="61"/>
    </row>
    <row r="200" spans="1:21" ht="14.1" customHeight="1" x14ac:dyDescent="0.25">
      <c r="A200" s="24" t="s">
        <v>227</v>
      </c>
      <c r="B200" s="24" t="s">
        <v>228</v>
      </c>
      <c r="C200" s="25" t="s">
        <v>229</v>
      </c>
      <c r="D200" s="26">
        <f t="shared" si="33"/>
        <v>0</v>
      </c>
      <c r="E200" s="26">
        <f t="shared" si="33"/>
        <v>0</v>
      </c>
      <c r="F200" s="26"/>
      <c r="G200" s="26"/>
      <c r="H200" s="26"/>
      <c r="I200" s="56"/>
      <c r="J200" s="61"/>
      <c r="K200" s="76"/>
      <c r="L200" s="61"/>
      <c r="M200" s="76"/>
      <c r="N200" s="61"/>
      <c r="O200" s="61"/>
      <c r="P200" s="61"/>
      <c r="Q200" s="61"/>
      <c r="R200" s="61"/>
      <c r="S200" s="61"/>
      <c r="T200" s="61"/>
      <c r="U200" s="61"/>
    </row>
    <row r="201" spans="1:21" ht="14.1" customHeight="1" x14ac:dyDescent="0.25">
      <c r="A201" s="24"/>
      <c r="B201" s="24" t="s">
        <v>230</v>
      </c>
      <c r="C201" s="25" t="s">
        <v>231</v>
      </c>
      <c r="D201" s="26">
        <f t="shared" si="33"/>
        <v>0</v>
      </c>
      <c r="E201" s="26">
        <f t="shared" si="33"/>
        <v>0</v>
      </c>
      <c r="F201" s="26"/>
      <c r="G201" s="26"/>
      <c r="H201" s="26"/>
      <c r="I201" s="56"/>
      <c r="J201" s="61"/>
      <c r="K201" s="76"/>
      <c r="L201" s="61"/>
      <c r="M201" s="76"/>
      <c r="N201" s="61"/>
      <c r="O201" s="61"/>
      <c r="P201" s="61"/>
      <c r="Q201" s="61"/>
      <c r="R201" s="61"/>
      <c r="S201" s="61"/>
      <c r="T201" s="61"/>
      <c r="U201" s="61"/>
    </row>
    <row r="202" spans="1:21" ht="14.1" customHeight="1" x14ac:dyDescent="0.25">
      <c r="A202" s="24" t="s">
        <v>232</v>
      </c>
      <c r="B202" s="24" t="s">
        <v>233</v>
      </c>
      <c r="C202" s="25" t="s">
        <v>234</v>
      </c>
      <c r="D202" s="26">
        <f t="shared" si="33"/>
        <v>0</v>
      </c>
      <c r="E202" s="26">
        <f t="shared" si="33"/>
        <v>0</v>
      </c>
      <c r="F202" s="26">
        <v>0</v>
      </c>
      <c r="G202" s="26">
        <f>ROUND((G198+G199+G200+G201)*0.27,0)</f>
        <v>0</v>
      </c>
      <c r="H202" s="26">
        <v>0</v>
      </c>
      <c r="I202" s="56">
        <f>ROUND((I198+I199+I200+I201)*0.27,0)</f>
        <v>0</v>
      </c>
      <c r="J202" s="61"/>
      <c r="K202" s="76"/>
      <c r="L202" s="61"/>
      <c r="M202" s="76"/>
      <c r="N202" s="61"/>
      <c r="O202" s="61"/>
      <c r="P202" s="61"/>
      <c r="Q202" s="61"/>
      <c r="R202" s="61"/>
      <c r="S202" s="61"/>
      <c r="T202" s="61"/>
      <c r="U202" s="61"/>
    </row>
    <row r="203" spans="1:21" s="3" customFormat="1" ht="14.1" customHeight="1" x14ac:dyDescent="0.25">
      <c r="A203" s="20" t="s">
        <v>235</v>
      </c>
      <c r="B203" s="20" t="s">
        <v>236</v>
      </c>
      <c r="C203" s="21" t="s">
        <v>237</v>
      </c>
      <c r="D203" s="22">
        <f>SUM(D198:D202)</f>
        <v>0</v>
      </c>
      <c r="E203" s="22">
        <f t="shared" ref="E203:P203" si="35">SUM(E198:E202)</f>
        <v>0</v>
      </c>
      <c r="F203" s="22">
        <f t="shared" si="35"/>
        <v>0</v>
      </c>
      <c r="G203" s="22">
        <f t="shared" si="35"/>
        <v>0</v>
      </c>
      <c r="H203" s="22">
        <f t="shared" si="35"/>
        <v>0</v>
      </c>
      <c r="I203" s="53">
        <f t="shared" si="35"/>
        <v>0</v>
      </c>
      <c r="J203" s="53">
        <f t="shared" si="35"/>
        <v>0</v>
      </c>
      <c r="K203" s="53">
        <f t="shared" si="35"/>
        <v>0</v>
      </c>
      <c r="L203" s="22">
        <f t="shared" si="35"/>
        <v>0</v>
      </c>
      <c r="M203" s="22">
        <f t="shared" si="35"/>
        <v>0</v>
      </c>
      <c r="N203" s="22">
        <f t="shared" si="35"/>
        <v>0</v>
      </c>
      <c r="O203" s="22">
        <f t="shared" si="35"/>
        <v>0</v>
      </c>
      <c r="P203" s="22">
        <f t="shared" si="35"/>
        <v>0</v>
      </c>
      <c r="Q203" s="66"/>
      <c r="R203" s="22">
        <f>SUM(R198:R202)</f>
        <v>0</v>
      </c>
      <c r="S203" s="66"/>
      <c r="T203" s="22"/>
      <c r="U203" s="66"/>
    </row>
    <row r="204" spans="1:21" s="3" customFormat="1" ht="14.1" customHeight="1" x14ac:dyDescent="0.25">
      <c r="A204" s="977" t="s">
        <v>293</v>
      </c>
      <c r="B204" s="978"/>
      <c r="C204" s="979" t="s">
        <v>238</v>
      </c>
      <c r="D204" s="28">
        <f>D197+D203</f>
        <v>699</v>
      </c>
      <c r="E204" s="28">
        <f t="shared" ref="E204:P204" si="36">E197+E203</f>
        <v>699</v>
      </c>
      <c r="F204" s="28">
        <f t="shared" si="36"/>
        <v>381</v>
      </c>
      <c r="G204" s="28">
        <f t="shared" si="36"/>
        <v>381</v>
      </c>
      <c r="H204" s="28">
        <f t="shared" si="36"/>
        <v>127</v>
      </c>
      <c r="I204" s="59">
        <f t="shared" si="36"/>
        <v>127</v>
      </c>
      <c r="J204" s="59">
        <f t="shared" si="36"/>
        <v>0</v>
      </c>
      <c r="K204" s="59">
        <f t="shared" si="36"/>
        <v>0</v>
      </c>
      <c r="L204" s="59">
        <f t="shared" si="36"/>
        <v>191</v>
      </c>
      <c r="M204" s="59">
        <f t="shared" si="36"/>
        <v>191</v>
      </c>
      <c r="N204" s="59">
        <f t="shared" si="36"/>
        <v>0</v>
      </c>
      <c r="O204" s="59">
        <f t="shared" si="36"/>
        <v>0</v>
      </c>
      <c r="P204" s="59">
        <f t="shared" si="36"/>
        <v>0</v>
      </c>
      <c r="Q204" s="71"/>
      <c r="R204" s="59">
        <f>R197+R203</f>
        <v>0</v>
      </c>
      <c r="S204" s="71"/>
      <c r="T204" s="59"/>
      <c r="U204" s="71"/>
    </row>
    <row r="205" spans="1:21" ht="6.75" customHeight="1" x14ac:dyDescent="0.25">
      <c r="J205" s="61"/>
      <c r="K205" s="76"/>
      <c r="L205" s="61"/>
      <c r="M205" s="76"/>
      <c r="N205" s="61"/>
      <c r="O205" s="61"/>
      <c r="P205" s="61"/>
      <c r="Q205" s="61"/>
      <c r="R205" s="61"/>
      <c r="S205" s="61"/>
      <c r="T205" s="61"/>
      <c r="U205" s="61"/>
    </row>
    <row r="206" spans="1:21" ht="14.1" customHeight="1" x14ac:dyDescent="0.25">
      <c r="A206" s="966" t="s">
        <v>294</v>
      </c>
      <c r="B206" s="967"/>
      <c r="C206" s="968"/>
      <c r="D206" s="29">
        <f>D204+D180</f>
        <v>190648</v>
      </c>
      <c r="E206" s="29">
        <f t="shared" ref="E206:Q206" si="37">E204+E180</f>
        <v>206798</v>
      </c>
      <c r="F206" s="29">
        <f t="shared" si="37"/>
        <v>62887</v>
      </c>
      <c r="G206" s="29">
        <f t="shared" si="37"/>
        <v>71061</v>
      </c>
      <c r="H206" s="29">
        <f t="shared" si="37"/>
        <v>21743</v>
      </c>
      <c r="I206" s="55">
        <f t="shared" si="37"/>
        <v>23251</v>
      </c>
      <c r="J206" s="55">
        <f t="shared" si="37"/>
        <v>14158</v>
      </c>
      <c r="K206" s="55">
        <f t="shared" si="37"/>
        <v>14045</v>
      </c>
      <c r="L206" s="55">
        <f t="shared" si="37"/>
        <v>83068</v>
      </c>
      <c r="M206" s="55">
        <f t="shared" si="37"/>
        <v>89519</v>
      </c>
      <c r="N206" s="55">
        <f t="shared" si="37"/>
        <v>7122</v>
      </c>
      <c r="O206" s="55">
        <f t="shared" si="37"/>
        <v>7922</v>
      </c>
      <c r="P206" s="55">
        <f t="shared" si="37"/>
        <v>960</v>
      </c>
      <c r="Q206" s="55">
        <f t="shared" si="37"/>
        <v>1000</v>
      </c>
      <c r="R206" s="55">
        <f>R204+R180</f>
        <v>710</v>
      </c>
      <c r="S206" s="68"/>
      <c r="T206" s="55"/>
      <c r="U206" s="68"/>
    </row>
    <row r="207" spans="1:21" ht="14.1" customHeight="1" x14ac:dyDescent="0.25">
      <c r="J207" s="74"/>
      <c r="K207" s="74"/>
      <c r="L207" s="74"/>
      <c r="M207" s="74"/>
      <c r="N207" s="74"/>
      <c r="O207" s="74"/>
      <c r="P207" s="74"/>
      <c r="Q207" s="74"/>
      <c r="R207" s="74"/>
      <c r="S207" s="74"/>
    </row>
    <row r="208" spans="1:21" ht="14.1" customHeight="1" x14ac:dyDescent="0.25">
      <c r="J208" s="49"/>
      <c r="K208" s="49"/>
      <c r="L208" s="49"/>
      <c r="M208" s="49"/>
      <c r="N208" s="49"/>
      <c r="O208" s="49"/>
      <c r="P208" s="49"/>
      <c r="Q208" s="49"/>
      <c r="R208" s="49"/>
      <c r="S208" s="49"/>
    </row>
    <row r="209" spans="1:21" ht="14.1" customHeight="1" x14ac:dyDescent="0.25">
      <c r="J209" s="49"/>
      <c r="K209" s="49"/>
      <c r="L209" s="49"/>
      <c r="M209" s="49"/>
      <c r="N209" s="49"/>
      <c r="O209" s="49"/>
      <c r="P209" s="49"/>
      <c r="Q209" s="49"/>
      <c r="R209" s="49"/>
      <c r="S209" s="49"/>
    </row>
    <row r="210" spans="1:21" ht="14.1" customHeight="1" x14ac:dyDescent="0.25">
      <c r="J210" s="49"/>
      <c r="K210" s="49"/>
      <c r="L210" s="49"/>
      <c r="M210" s="49"/>
      <c r="N210" s="49"/>
      <c r="O210" s="49"/>
      <c r="P210" s="49"/>
      <c r="Q210" s="49"/>
      <c r="R210" s="49"/>
      <c r="S210" s="49"/>
    </row>
    <row r="211" spans="1:21" s="1" customFormat="1" ht="12.75" customHeight="1" x14ac:dyDescent="0.25">
      <c r="A211" s="974" t="s">
        <v>410</v>
      </c>
      <c r="B211" s="974"/>
      <c r="C211" s="974"/>
      <c r="D211" s="974"/>
      <c r="E211" s="974"/>
      <c r="F211" s="974"/>
      <c r="G211" s="974"/>
      <c r="H211" s="974"/>
      <c r="I211" s="974"/>
      <c r="J211" s="974"/>
      <c r="K211" s="974"/>
      <c r="L211" s="974" t="s">
        <v>410</v>
      </c>
      <c r="M211" s="974"/>
      <c r="N211" s="974"/>
      <c r="O211" s="974"/>
      <c r="P211" s="974"/>
      <c r="Q211" s="974"/>
      <c r="R211" s="974"/>
      <c r="S211" s="974"/>
      <c r="T211" s="974"/>
      <c r="U211" s="974"/>
    </row>
    <row r="212" spans="1:21" s="1" customFormat="1" ht="14.1" customHeight="1" x14ac:dyDescent="0.25">
      <c r="A212" s="1027" t="s">
        <v>0</v>
      </c>
      <c r="B212" s="1028" t="s">
        <v>1</v>
      </c>
      <c r="C212" s="1027" t="s">
        <v>2</v>
      </c>
      <c r="D212" s="970" t="s">
        <v>260</v>
      </c>
      <c r="E212" s="1030" t="s">
        <v>259</v>
      </c>
      <c r="F212" s="1025" t="s">
        <v>411</v>
      </c>
      <c r="G212" s="1029"/>
      <c r="H212" s="1025" t="s">
        <v>412</v>
      </c>
      <c r="I212" s="1026"/>
      <c r="J212" s="1023" t="s">
        <v>413</v>
      </c>
      <c r="K212" s="1033"/>
      <c r="L212" s="1023" t="s">
        <v>414</v>
      </c>
      <c r="M212" s="1033"/>
      <c r="N212" s="1023" t="s">
        <v>415</v>
      </c>
      <c r="O212" s="1024"/>
      <c r="P212" s="1031" t="s">
        <v>416</v>
      </c>
      <c r="Q212" s="1032"/>
      <c r="R212" s="1031" t="s">
        <v>417</v>
      </c>
      <c r="S212" s="1032"/>
      <c r="T212" s="1031"/>
      <c r="U212" s="1032"/>
    </row>
    <row r="213" spans="1:21" s="3" customFormat="1" ht="23.25" customHeight="1" x14ac:dyDescent="0.25">
      <c r="A213" s="974"/>
      <c r="B213" s="975"/>
      <c r="C213" s="974"/>
      <c r="D213" s="976"/>
      <c r="E213" s="970"/>
      <c r="F213" s="2" t="s">
        <v>260</v>
      </c>
      <c r="G213" s="2" t="s">
        <v>259</v>
      </c>
      <c r="H213" s="2" t="s">
        <v>260</v>
      </c>
      <c r="I213" s="48" t="s">
        <v>259</v>
      </c>
      <c r="J213" s="2" t="s">
        <v>260</v>
      </c>
      <c r="K213" s="48" t="s">
        <v>259</v>
      </c>
      <c r="L213" s="60" t="s">
        <v>260</v>
      </c>
      <c r="M213" s="75" t="s">
        <v>259</v>
      </c>
      <c r="N213" s="81" t="s">
        <v>260</v>
      </c>
      <c r="O213" s="47" t="s">
        <v>259</v>
      </c>
      <c r="P213" s="82" t="s">
        <v>260</v>
      </c>
      <c r="Q213" s="83" t="s">
        <v>259</v>
      </c>
      <c r="R213" s="82" t="s">
        <v>260</v>
      </c>
      <c r="S213" s="83" t="s">
        <v>259</v>
      </c>
      <c r="T213" s="82"/>
      <c r="U213" s="83"/>
    </row>
    <row r="214" spans="1:21" ht="5.65" customHeight="1" x14ac:dyDescent="0.25">
      <c r="J214" s="61"/>
      <c r="K214" s="76"/>
      <c r="L214" s="61"/>
      <c r="M214" s="76"/>
      <c r="N214" s="61"/>
      <c r="O214" s="61"/>
      <c r="P214" s="61"/>
      <c r="Q214" s="61"/>
      <c r="R214" s="61"/>
      <c r="S214" s="61"/>
      <c r="T214" s="61"/>
      <c r="U214" s="61"/>
    </row>
    <row r="215" spans="1:21" ht="14.1" customHeight="1" x14ac:dyDescent="0.25">
      <c r="A215" s="973" t="s">
        <v>239</v>
      </c>
      <c r="B215" s="973"/>
      <c r="C215" s="973"/>
      <c r="D215" s="973"/>
      <c r="E215" s="973"/>
      <c r="F215" s="973"/>
      <c r="G215" s="973"/>
      <c r="H215" s="973"/>
      <c r="I215" s="973"/>
      <c r="J215" s="62"/>
      <c r="K215" s="77"/>
      <c r="L215" s="62"/>
      <c r="M215" s="77"/>
      <c r="N215" s="62"/>
      <c r="O215" s="62"/>
      <c r="P215" s="62"/>
      <c r="Q215" s="62"/>
      <c r="R215" s="62"/>
      <c r="S215" s="62"/>
      <c r="T215" s="62"/>
      <c r="U215" s="62"/>
    </row>
    <row r="216" spans="1:21" s="3" customFormat="1" ht="14.1" customHeight="1" x14ac:dyDescent="0.25">
      <c r="A216" s="20" t="s">
        <v>240</v>
      </c>
      <c r="B216" s="20"/>
      <c r="C216" s="21" t="s">
        <v>241</v>
      </c>
      <c r="D216" s="23">
        <f>SUM(D217:D226)</f>
        <v>15709</v>
      </c>
      <c r="E216" s="23">
        <f t="shared" ref="E216:K216" si="38">SUM(E217:E226)</f>
        <v>11910</v>
      </c>
      <c r="F216" s="23">
        <f t="shared" si="38"/>
        <v>0</v>
      </c>
      <c r="G216" s="23">
        <f t="shared" si="38"/>
        <v>0</v>
      </c>
      <c r="H216" s="23">
        <f t="shared" si="38"/>
        <v>200</v>
      </c>
      <c r="I216" s="58">
        <f t="shared" si="38"/>
        <v>318</v>
      </c>
      <c r="J216" s="58">
        <f t="shared" si="38"/>
        <v>6775</v>
      </c>
      <c r="K216" s="58">
        <f t="shared" si="38"/>
        <v>6160</v>
      </c>
      <c r="L216" s="58">
        <f t="shared" ref="L216:Q216" si="39">SUM(L217:L226)</f>
        <v>3400</v>
      </c>
      <c r="M216" s="58">
        <f t="shared" si="39"/>
        <v>3400</v>
      </c>
      <c r="N216" s="58">
        <f t="shared" si="39"/>
        <v>5334</v>
      </c>
      <c r="O216" s="58">
        <f t="shared" si="39"/>
        <v>2032</v>
      </c>
      <c r="P216" s="58">
        <f t="shared" si="39"/>
        <v>0</v>
      </c>
      <c r="Q216" s="58">
        <f t="shared" si="39"/>
        <v>0</v>
      </c>
      <c r="R216" s="58">
        <f>SUM(R217:R226)</f>
        <v>0</v>
      </c>
      <c r="S216" s="58">
        <f>SUM(S217:S226)</f>
        <v>0</v>
      </c>
      <c r="T216" s="58"/>
      <c r="U216" s="70"/>
    </row>
    <row r="217" spans="1:21" ht="14.1" customHeight="1" x14ac:dyDescent="0.25">
      <c r="A217" s="24" t="s">
        <v>242</v>
      </c>
      <c r="B217" s="24"/>
      <c r="C217" s="25" t="s">
        <v>243</v>
      </c>
      <c r="D217" s="26">
        <f t="shared" ref="D217:E226" si="40">F217+H217+J217+L217+N217+P217+R217</f>
        <v>0</v>
      </c>
      <c r="E217" s="26">
        <f t="shared" si="40"/>
        <v>0</v>
      </c>
      <c r="F217" s="26"/>
      <c r="G217" s="26"/>
      <c r="H217" s="26"/>
      <c r="I217" s="56"/>
      <c r="J217" s="61"/>
      <c r="K217" s="76"/>
      <c r="L217" s="61"/>
      <c r="M217" s="76"/>
      <c r="N217" s="61"/>
      <c r="O217" s="61"/>
      <c r="P217" s="61"/>
      <c r="Q217" s="61"/>
      <c r="R217" s="61"/>
      <c r="S217" s="61"/>
      <c r="T217" s="61"/>
      <c r="U217" s="61"/>
    </row>
    <row r="218" spans="1:21" ht="14.1" customHeight="1" x14ac:dyDescent="0.25">
      <c r="A218" s="24" t="s">
        <v>244</v>
      </c>
      <c r="B218" s="24"/>
      <c r="C218" s="25" t="s">
        <v>245</v>
      </c>
      <c r="D218" s="26">
        <f t="shared" si="40"/>
        <v>0</v>
      </c>
      <c r="E218" s="26">
        <f t="shared" si="40"/>
        <v>0</v>
      </c>
      <c r="F218" s="26"/>
      <c r="G218" s="26"/>
      <c r="H218" s="26"/>
      <c r="I218" s="56"/>
      <c r="J218" s="61"/>
      <c r="K218" s="76"/>
      <c r="L218" s="61"/>
      <c r="M218" s="76"/>
      <c r="N218" s="61"/>
      <c r="O218" s="61"/>
      <c r="P218" s="61"/>
      <c r="Q218" s="61"/>
      <c r="R218" s="61"/>
      <c r="S218" s="61"/>
      <c r="T218" s="61"/>
      <c r="U218" s="61"/>
    </row>
    <row r="219" spans="1:21" ht="14.1" customHeight="1" x14ac:dyDescent="0.25">
      <c r="A219" s="24" t="s">
        <v>246</v>
      </c>
      <c r="B219" s="24"/>
      <c r="C219" s="25" t="s">
        <v>247</v>
      </c>
      <c r="D219" s="26">
        <f t="shared" si="40"/>
        <v>0</v>
      </c>
      <c r="E219" s="26">
        <f t="shared" si="40"/>
        <v>0</v>
      </c>
      <c r="F219" s="26"/>
      <c r="G219" s="26"/>
      <c r="H219" s="26"/>
      <c r="I219" s="56"/>
      <c r="J219" s="61"/>
      <c r="K219" s="76"/>
      <c r="L219" s="61"/>
      <c r="M219" s="76"/>
      <c r="N219" s="61"/>
      <c r="O219" s="61"/>
      <c r="P219" s="61"/>
      <c r="Q219" s="61"/>
      <c r="R219" s="61"/>
      <c r="S219" s="61"/>
      <c r="T219" s="61"/>
      <c r="U219" s="61"/>
    </row>
    <row r="220" spans="1:21" ht="14.1" customHeight="1" x14ac:dyDescent="0.25">
      <c r="A220" s="24" t="s">
        <v>248</v>
      </c>
      <c r="B220" s="24"/>
      <c r="C220" s="25" t="s">
        <v>249</v>
      </c>
      <c r="D220" s="26">
        <f t="shared" si="40"/>
        <v>0</v>
      </c>
      <c r="E220" s="26">
        <f t="shared" si="40"/>
        <v>0</v>
      </c>
      <c r="F220" s="26"/>
      <c r="G220" s="26"/>
      <c r="H220" s="26"/>
      <c r="I220" s="56"/>
      <c r="J220" s="61"/>
      <c r="K220" s="76"/>
      <c r="L220" s="61"/>
      <c r="M220" s="76"/>
      <c r="N220" s="61"/>
      <c r="O220" s="61"/>
      <c r="P220" s="61"/>
      <c r="Q220" s="61"/>
      <c r="R220" s="61"/>
      <c r="S220" s="61"/>
      <c r="T220" s="61"/>
      <c r="U220" s="61"/>
    </row>
    <row r="221" spans="1:21" ht="14.1" customHeight="1" x14ac:dyDescent="0.25">
      <c r="A221" s="24" t="s">
        <v>296</v>
      </c>
      <c r="B221" s="24"/>
      <c r="C221" s="25" t="s">
        <v>297</v>
      </c>
      <c r="D221" s="26">
        <f t="shared" si="40"/>
        <v>13135</v>
      </c>
      <c r="E221" s="26">
        <f t="shared" si="40"/>
        <v>10100</v>
      </c>
      <c r="F221" s="26"/>
      <c r="G221" s="26"/>
      <c r="H221" s="26">
        <v>200</v>
      </c>
      <c r="I221" s="56">
        <v>250</v>
      </c>
      <c r="J221" s="61">
        <v>5335</v>
      </c>
      <c r="K221" s="76">
        <v>4850</v>
      </c>
      <c r="L221" s="61">
        <v>3400</v>
      </c>
      <c r="M221" s="76">
        <v>3400</v>
      </c>
      <c r="N221" s="61">
        <v>4200</v>
      </c>
      <c r="O221" s="61">
        <v>1600</v>
      </c>
      <c r="P221" s="61"/>
      <c r="Q221" s="61"/>
      <c r="R221" s="61"/>
      <c r="S221" s="61"/>
      <c r="T221" s="61"/>
      <c r="U221" s="61"/>
    </row>
    <row r="222" spans="1:21" ht="14.1" customHeight="1" x14ac:dyDescent="0.25">
      <c r="A222" s="24" t="s">
        <v>250</v>
      </c>
      <c r="B222" s="24"/>
      <c r="C222" s="25" t="s">
        <v>251</v>
      </c>
      <c r="D222" s="26">
        <f t="shared" si="40"/>
        <v>2574</v>
      </c>
      <c r="E222" s="26">
        <f t="shared" si="40"/>
        <v>1810</v>
      </c>
      <c r="F222" s="26"/>
      <c r="G222" s="26">
        <f>ROUND((G217+G218+G219+G220+G221)*0.27,0)</f>
        <v>0</v>
      </c>
      <c r="H222" s="26">
        <v>0</v>
      </c>
      <c r="I222" s="56">
        <f>ROUND((I217+I218+I219+I220+I221)*0.27,0)</f>
        <v>68</v>
      </c>
      <c r="J222" s="61">
        <v>1440</v>
      </c>
      <c r="K222" s="56">
        <f>ROUND((K217+K218+K219+K220+K221)*0.27,0)</f>
        <v>1310</v>
      </c>
      <c r="L222" s="61"/>
      <c r="M222" s="56">
        <v>0</v>
      </c>
      <c r="N222" s="61">
        <v>1134</v>
      </c>
      <c r="O222" s="56">
        <f>ROUND((O217+O218+O219+O220+O221)*0.27,0)</f>
        <v>432</v>
      </c>
      <c r="P222" s="61"/>
      <c r="Q222" s="61"/>
      <c r="R222" s="61"/>
      <c r="S222" s="61"/>
      <c r="T222" s="61"/>
      <c r="U222" s="61"/>
    </row>
    <row r="223" spans="1:21" ht="14.1" customHeight="1" x14ac:dyDescent="0.25">
      <c r="A223" s="24" t="s">
        <v>298</v>
      </c>
      <c r="B223" s="24"/>
      <c r="C223" s="25" t="s">
        <v>299</v>
      </c>
      <c r="D223" s="26">
        <f t="shared" si="40"/>
        <v>0</v>
      </c>
      <c r="E223" s="26">
        <f t="shared" si="40"/>
        <v>0</v>
      </c>
      <c r="F223" s="26"/>
      <c r="G223" s="26"/>
      <c r="H223" s="26">
        <v>0</v>
      </c>
      <c r="I223" s="56"/>
      <c r="J223" s="61"/>
      <c r="K223" s="76"/>
      <c r="L223" s="61"/>
      <c r="M223" s="76"/>
      <c r="N223" s="61"/>
      <c r="O223" s="61"/>
      <c r="P223" s="61"/>
      <c r="Q223" s="61"/>
      <c r="R223" s="61"/>
      <c r="S223" s="61"/>
      <c r="T223" s="61"/>
      <c r="U223" s="61"/>
    </row>
    <row r="224" spans="1:21" ht="14.1" customHeight="1" x14ac:dyDescent="0.25">
      <c r="A224" s="24" t="s">
        <v>252</v>
      </c>
      <c r="B224" s="24"/>
      <c r="C224" s="25" t="s">
        <v>253</v>
      </c>
      <c r="D224" s="26">
        <f t="shared" si="40"/>
        <v>0</v>
      </c>
      <c r="E224" s="26">
        <f t="shared" si="40"/>
        <v>0</v>
      </c>
      <c r="F224" s="26"/>
      <c r="G224" s="26"/>
      <c r="H224" s="26"/>
      <c r="I224" s="56"/>
      <c r="J224" s="61"/>
      <c r="K224" s="76"/>
      <c r="L224" s="61"/>
      <c r="M224" s="76"/>
      <c r="N224" s="61"/>
      <c r="O224" s="61"/>
      <c r="P224" s="61"/>
      <c r="Q224" s="61"/>
      <c r="R224" s="61"/>
      <c r="S224" s="61"/>
      <c r="T224" s="61"/>
      <c r="U224" s="61"/>
    </row>
    <row r="225" spans="1:21" ht="14.1" customHeight="1" x14ac:dyDescent="0.25">
      <c r="A225" s="24" t="s">
        <v>300</v>
      </c>
      <c r="B225" s="24"/>
      <c r="C225" s="25" t="s">
        <v>301</v>
      </c>
      <c r="D225" s="26">
        <f t="shared" si="40"/>
        <v>0</v>
      </c>
      <c r="E225" s="26">
        <f t="shared" si="40"/>
        <v>0</v>
      </c>
      <c r="F225" s="26"/>
      <c r="G225" s="26"/>
      <c r="H225" s="26"/>
      <c r="I225" s="56"/>
      <c r="J225" s="61"/>
      <c r="K225" s="76"/>
      <c r="L225" s="61"/>
      <c r="M225" s="76"/>
      <c r="N225" s="61"/>
      <c r="O225" s="61"/>
      <c r="P225" s="61"/>
      <c r="Q225" s="61"/>
      <c r="R225" s="61"/>
      <c r="S225" s="61"/>
      <c r="T225" s="61"/>
      <c r="U225" s="61"/>
    </row>
    <row r="226" spans="1:21" ht="14.1" customHeight="1" x14ac:dyDescent="0.25">
      <c r="A226" s="24" t="s">
        <v>254</v>
      </c>
      <c r="B226" s="24"/>
      <c r="C226" s="25" t="s">
        <v>255</v>
      </c>
      <c r="D226" s="26">
        <f t="shared" si="40"/>
        <v>0</v>
      </c>
      <c r="E226" s="26">
        <f t="shared" si="40"/>
        <v>0</v>
      </c>
      <c r="F226" s="26"/>
      <c r="G226" s="26"/>
      <c r="H226" s="26"/>
      <c r="I226" s="56"/>
      <c r="J226" s="61"/>
      <c r="K226" s="76"/>
      <c r="L226" s="61"/>
      <c r="M226" s="76"/>
      <c r="N226" s="61"/>
      <c r="O226" s="61"/>
      <c r="P226" s="61"/>
      <c r="Q226" s="61"/>
      <c r="R226" s="61"/>
      <c r="S226" s="61"/>
      <c r="T226" s="61"/>
      <c r="U226" s="61"/>
    </row>
    <row r="227" spans="1:21" s="3" customFormat="1" ht="14.1" customHeight="1" x14ac:dyDescent="0.25">
      <c r="A227" s="20" t="s">
        <v>256</v>
      </c>
      <c r="B227" s="20"/>
      <c r="C227" s="21" t="s">
        <v>257</v>
      </c>
      <c r="D227" s="23">
        <f>F227+H227+J227+L227+N227+P227+R227</f>
        <v>0</v>
      </c>
      <c r="E227" s="23">
        <f>G227+I227</f>
        <v>0</v>
      </c>
      <c r="F227" s="23">
        <v>0</v>
      </c>
      <c r="G227" s="23">
        <v>0</v>
      </c>
      <c r="H227" s="23">
        <v>0</v>
      </c>
      <c r="I227" s="58">
        <v>0</v>
      </c>
      <c r="J227" s="70">
        <v>0</v>
      </c>
      <c r="K227" s="70">
        <v>0</v>
      </c>
      <c r="L227" s="70">
        <v>0</v>
      </c>
      <c r="M227" s="70">
        <v>0</v>
      </c>
      <c r="N227" s="70">
        <v>0</v>
      </c>
      <c r="O227" s="70">
        <v>0</v>
      </c>
      <c r="P227" s="70">
        <v>0</v>
      </c>
      <c r="Q227" s="70">
        <v>0</v>
      </c>
      <c r="R227" s="70">
        <v>0</v>
      </c>
      <c r="S227" s="70">
        <v>0</v>
      </c>
      <c r="T227" s="70"/>
      <c r="U227" s="70"/>
    </row>
    <row r="228" spans="1:21" s="3" customFormat="1" ht="14.1" customHeight="1" x14ac:dyDescent="0.25">
      <c r="A228" s="966" t="s">
        <v>295</v>
      </c>
      <c r="B228" s="967"/>
      <c r="C228" s="968"/>
      <c r="D228" s="29">
        <f>D216+D227</f>
        <v>15709</v>
      </c>
      <c r="E228" s="29">
        <f t="shared" ref="E228:Q228" si="41">E216+E227</f>
        <v>11910</v>
      </c>
      <c r="F228" s="29">
        <f t="shared" si="41"/>
        <v>0</v>
      </c>
      <c r="G228" s="29">
        <f t="shared" si="41"/>
        <v>0</v>
      </c>
      <c r="H228" s="29">
        <f t="shared" si="41"/>
        <v>200</v>
      </c>
      <c r="I228" s="55">
        <f t="shared" si="41"/>
        <v>318</v>
      </c>
      <c r="J228" s="55">
        <f t="shared" si="41"/>
        <v>6775</v>
      </c>
      <c r="K228" s="55">
        <f t="shared" si="41"/>
        <v>6160</v>
      </c>
      <c r="L228" s="29">
        <f t="shared" si="41"/>
        <v>3400</v>
      </c>
      <c r="M228" s="29">
        <f t="shared" si="41"/>
        <v>3400</v>
      </c>
      <c r="N228" s="29">
        <f t="shared" si="41"/>
        <v>5334</v>
      </c>
      <c r="O228" s="29">
        <f t="shared" si="41"/>
        <v>2032</v>
      </c>
      <c r="P228" s="29">
        <f t="shared" si="41"/>
        <v>0</v>
      </c>
      <c r="Q228" s="29">
        <f t="shared" si="41"/>
        <v>0</v>
      </c>
      <c r="R228" s="29">
        <f>R216+R227</f>
        <v>0</v>
      </c>
      <c r="S228" s="29">
        <f>S216+S227</f>
        <v>0</v>
      </c>
      <c r="T228" s="29"/>
      <c r="U228" s="68"/>
    </row>
  </sheetData>
  <sheetProtection selectLockedCells="1" selectUnlockedCells="1"/>
  <mergeCells count="69">
    <mergeCell ref="A215:I215"/>
    <mergeCell ref="A228:C228"/>
    <mergeCell ref="J2:K2"/>
    <mergeCell ref="L2:M2"/>
    <mergeCell ref="J97:K97"/>
    <mergeCell ref="J185:K185"/>
    <mergeCell ref="J212:K212"/>
    <mergeCell ref="L97:M97"/>
    <mergeCell ref="A188:I188"/>
    <mergeCell ref="E185:E186"/>
    <mergeCell ref="A204:C204"/>
    <mergeCell ref="A206:C206"/>
    <mergeCell ref="A212:A213"/>
    <mergeCell ref="B212:B213"/>
    <mergeCell ref="D212:D213"/>
    <mergeCell ref="C212:C213"/>
    <mergeCell ref="A1:K1"/>
    <mergeCell ref="L1:U1"/>
    <mergeCell ref="A96:K96"/>
    <mergeCell ref="L96:U96"/>
    <mergeCell ref="A184:K184"/>
    <mergeCell ref="L184:U184"/>
    <mergeCell ref="A5:I5"/>
    <mergeCell ref="A92:C92"/>
    <mergeCell ref="A97:A98"/>
    <mergeCell ref="B97:B98"/>
    <mergeCell ref="A100:I100"/>
    <mergeCell ref="A180:C180"/>
    <mergeCell ref="A2:A3"/>
    <mergeCell ref="H2:I2"/>
    <mergeCell ref="B2:B3"/>
    <mergeCell ref="C2:C3"/>
    <mergeCell ref="D2:D3"/>
    <mergeCell ref="C97:C98"/>
    <mergeCell ref="D97:D98"/>
    <mergeCell ref="E97:E98"/>
    <mergeCell ref="F97:G97"/>
    <mergeCell ref="H97:I97"/>
    <mergeCell ref="T212:U212"/>
    <mergeCell ref="R2:S2"/>
    <mergeCell ref="R97:S97"/>
    <mergeCell ref="R185:S185"/>
    <mergeCell ref="R212:S212"/>
    <mergeCell ref="L211:U211"/>
    <mergeCell ref="T2:U2"/>
    <mergeCell ref="T97:U97"/>
    <mergeCell ref="T185:U185"/>
    <mergeCell ref="L185:M185"/>
    <mergeCell ref="P212:Q212"/>
    <mergeCell ref="L212:M212"/>
    <mergeCell ref="P2:Q2"/>
    <mergeCell ref="P97:Q97"/>
    <mergeCell ref="P185:Q185"/>
    <mergeCell ref="N2:O2"/>
    <mergeCell ref="H212:I212"/>
    <mergeCell ref="A211:K211"/>
    <mergeCell ref="A185:A186"/>
    <mergeCell ref="B185:B186"/>
    <mergeCell ref="C185:C186"/>
    <mergeCell ref="D185:D186"/>
    <mergeCell ref="F185:G185"/>
    <mergeCell ref="H185:I185"/>
    <mergeCell ref="E2:E3"/>
    <mergeCell ref="F2:G2"/>
    <mergeCell ref="N97:O97"/>
    <mergeCell ref="N185:O185"/>
    <mergeCell ref="N212:O212"/>
    <mergeCell ref="E212:E213"/>
    <mergeCell ref="F212:G212"/>
  </mergeCells>
  <printOptions horizontalCentered="1"/>
  <pageMargins left="0.15748031496062992" right="0.15748031496062992" top="0.19685039370078741" bottom="0.15748031496062992" header="0.31496062992125984" footer="0.31496062992125984"/>
  <pageSetup paperSize="8" scale="82" fitToWidth="2" fitToHeight="0" orientation="portrait" useFirstPageNumber="1" copies="2" r:id="rId1"/>
  <headerFooter alignWithMargins="0"/>
  <rowBreaks count="2" manualBreakCount="2">
    <brk id="92" max="16383" man="1"/>
    <brk id="180" max="16383" man="1"/>
  </rowBreaks>
  <colBreaks count="1" manualBreakCount="1">
    <brk id="13" max="1048575" man="1"/>
  </colBreaks>
  <legacy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IV192"/>
  <sheetViews>
    <sheetView view="pageBreakPreview" zoomScale="150" zoomScaleNormal="100" zoomScaleSheetLayoutView="150" workbookViewId="0">
      <pane xSplit="5" ySplit="3" topLeftCell="S4" activePane="bottomRight" state="frozen"/>
      <selection pane="topRight" activeCell="F1" sqref="F1"/>
      <selection pane="bottomLeft" activeCell="A4" sqref="A4"/>
      <selection pane="bottomRight" activeCell="V9" sqref="V9"/>
    </sheetView>
  </sheetViews>
  <sheetFormatPr defaultColWidth="11.7109375" defaultRowHeight="14.1" customHeight="1" x14ac:dyDescent="0.25"/>
  <cols>
    <col min="1" max="1" width="5.7109375" style="4" customWidth="1"/>
    <col min="2" max="2" width="7.7109375" style="4" customWidth="1"/>
    <col min="3" max="3" width="31.7109375" style="5" customWidth="1"/>
    <col min="4" max="5" width="10.85546875" style="6" customWidth="1"/>
    <col min="6" max="6" width="9.85546875" style="6" bestFit="1" customWidth="1"/>
    <col min="7" max="7" width="9.85546875" style="6" customWidth="1"/>
    <col min="8" max="8" width="10.7109375" style="6" customWidth="1"/>
    <col min="9" max="21" width="12" style="6" customWidth="1"/>
    <col min="22" max="16384" width="11.7109375" style="5"/>
  </cols>
  <sheetData>
    <row r="1" spans="1:21" s="1" customFormat="1" ht="12.75" customHeight="1" x14ac:dyDescent="0.25">
      <c r="A1" s="1001" t="s">
        <v>606</v>
      </c>
      <c r="B1" s="1002"/>
      <c r="C1" s="1002"/>
      <c r="D1" s="1002"/>
      <c r="E1" s="1002"/>
      <c r="F1" s="1002"/>
      <c r="G1" s="1002"/>
      <c r="H1" s="1002"/>
      <c r="I1" s="1002"/>
      <c r="J1" s="1002"/>
      <c r="K1" s="1002"/>
      <c r="L1" s="1002"/>
      <c r="M1" s="1002"/>
      <c r="N1" s="1002" t="s">
        <v>606</v>
      </c>
      <c r="O1" s="1002"/>
      <c r="P1" s="1002"/>
      <c r="Q1" s="1002"/>
      <c r="R1" s="1002"/>
      <c r="S1" s="1002"/>
      <c r="T1" s="1002"/>
      <c r="U1" s="1003"/>
    </row>
    <row r="2" spans="1:21" s="1" customFormat="1" ht="14.1" customHeight="1" x14ac:dyDescent="0.25">
      <c r="A2" s="1027" t="s">
        <v>0</v>
      </c>
      <c r="B2" s="1028" t="s">
        <v>1</v>
      </c>
      <c r="C2" s="1027" t="s">
        <v>2</v>
      </c>
      <c r="D2" s="970" t="s">
        <v>260</v>
      </c>
      <c r="E2" s="1030" t="s">
        <v>259</v>
      </c>
      <c r="F2" s="1025" t="s">
        <v>607</v>
      </c>
      <c r="G2" s="1029"/>
      <c r="H2" s="1025" t="s">
        <v>608</v>
      </c>
      <c r="I2" s="1026"/>
      <c r="J2" s="1037" t="s">
        <v>609</v>
      </c>
      <c r="K2" s="1023"/>
      <c r="L2" s="1040" t="s">
        <v>646</v>
      </c>
      <c r="M2" s="1040"/>
      <c r="N2" s="1040" t="s">
        <v>610</v>
      </c>
      <c r="O2" s="1040"/>
      <c r="P2" s="1041" t="s">
        <v>611</v>
      </c>
      <c r="Q2" s="1032"/>
      <c r="R2" s="1038" t="s">
        <v>612</v>
      </c>
      <c r="S2" s="1039"/>
      <c r="T2" s="1038" t="s">
        <v>613</v>
      </c>
      <c r="U2" s="1039"/>
    </row>
    <row r="3" spans="1:21" s="3" customFormat="1" ht="25.5" customHeight="1" x14ac:dyDescent="0.25">
      <c r="A3" s="974"/>
      <c r="B3" s="975"/>
      <c r="C3" s="974"/>
      <c r="D3" s="976"/>
      <c r="E3" s="970"/>
      <c r="F3" s="2" t="s">
        <v>263</v>
      </c>
      <c r="G3" s="2" t="s">
        <v>259</v>
      </c>
      <c r="H3" s="2" t="s">
        <v>260</v>
      </c>
      <c r="I3" s="48" t="s">
        <v>259</v>
      </c>
      <c r="J3" s="60" t="s">
        <v>260</v>
      </c>
      <c r="K3" s="75" t="s">
        <v>259</v>
      </c>
      <c r="L3" s="127" t="s">
        <v>260</v>
      </c>
      <c r="M3" s="127" t="s">
        <v>259</v>
      </c>
      <c r="N3" s="127" t="s">
        <v>260</v>
      </c>
      <c r="O3" s="127" t="s">
        <v>259</v>
      </c>
      <c r="P3" s="82" t="s">
        <v>260</v>
      </c>
      <c r="Q3" s="83" t="s">
        <v>259</v>
      </c>
      <c r="R3" s="121" t="s">
        <v>260</v>
      </c>
      <c r="S3" s="122" t="s">
        <v>259</v>
      </c>
      <c r="T3" s="121" t="s">
        <v>260</v>
      </c>
      <c r="U3" s="122" t="s">
        <v>259</v>
      </c>
    </row>
    <row r="4" spans="1:21" ht="5.65" customHeight="1" x14ac:dyDescent="0.25">
      <c r="J4" s="61"/>
      <c r="K4" s="76"/>
      <c r="L4" s="126"/>
      <c r="M4" s="126"/>
    </row>
    <row r="5" spans="1:21" ht="14.1" customHeight="1" x14ac:dyDescent="0.25">
      <c r="A5" s="973" t="s">
        <v>3</v>
      </c>
      <c r="B5" s="973"/>
      <c r="C5" s="973"/>
      <c r="D5" s="973"/>
      <c r="E5" s="973"/>
      <c r="F5" s="973"/>
      <c r="G5" s="973"/>
      <c r="H5" s="973"/>
      <c r="I5" s="973"/>
      <c r="J5" s="62"/>
      <c r="K5" s="77"/>
      <c r="L5" s="62"/>
      <c r="M5" s="77"/>
      <c r="N5" s="62"/>
      <c r="O5" s="62"/>
      <c r="P5" s="62"/>
      <c r="Q5" s="62"/>
      <c r="R5" s="62"/>
      <c r="S5" s="62"/>
      <c r="T5" s="62"/>
      <c r="U5" s="62"/>
    </row>
    <row r="6" spans="1:21" s="3" customFormat="1" ht="12.75" customHeight="1" x14ac:dyDescent="0.25">
      <c r="A6" s="7" t="s">
        <v>4</v>
      </c>
      <c r="B6" s="7" t="s">
        <v>5</v>
      </c>
      <c r="C6" s="8" t="s">
        <v>6</v>
      </c>
      <c r="D6" s="9">
        <f>F6+H6+J6+L6+N6+P6+R6+T6</f>
        <v>261300</v>
      </c>
      <c r="E6" s="9">
        <f>G6+I6+K6+M6+O6+Q6+S6+U6</f>
        <v>248292</v>
      </c>
      <c r="F6" s="10">
        <v>236139</v>
      </c>
      <c r="G6" s="10">
        <v>233094</v>
      </c>
      <c r="H6" s="10">
        <v>6600</v>
      </c>
      <c r="I6" s="50"/>
      <c r="J6" s="63">
        <v>1450</v>
      </c>
      <c r="K6" s="63"/>
      <c r="L6" s="63">
        <v>0</v>
      </c>
      <c r="M6" s="50">
        <v>0</v>
      </c>
      <c r="N6" s="63">
        <v>13987</v>
      </c>
      <c r="O6" s="63">
        <v>12074</v>
      </c>
      <c r="P6" s="63">
        <v>3124</v>
      </c>
      <c r="Q6" s="63">
        <v>3124</v>
      </c>
      <c r="R6" s="63">
        <v>0</v>
      </c>
      <c r="S6" s="63">
        <v>0</v>
      </c>
      <c r="T6" s="63">
        <v>0</v>
      </c>
      <c r="U6" s="63">
        <v>0</v>
      </c>
    </row>
    <row r="7" spans="1:21" s="15" customFormat="1" ht="11.45" customHeight="1" x14ac:dyDescent="0.25">
      <c r="A7" s="11"/>
      <c r="B7" s="11"/>
      <c r="C7" s="12"/>
      <c r="D7" s="13"/>
      <c r="E7" s="13"/>
      <c r="F7" s="14"/>
      <c r="G7" s="14"/>
      <c r="H7" s="14"/>
      <c r="I7" s="51"/>
      <c r="J7" s="64"/>
      <c r="K7" s="79"/>
      <c r="L7" s="64"/>
      <c r="M7" s="79"/>
      <c r="N7" s="64"/>
      <c r="O7" s="64"/>
      <c r="P7" s="64"/>
      <c r="Q7" s="64"/>
      <c r="R7" s="64"/>
      <c r="S7" s="64"/>
      <c r="T7" s="64"/>
      <c r="U7" s="64"/>
    </row>
    <row r="8" spans="1:21" s="3" customFormat="1" ht="12.75" customHeight="1" x14ac:dyDescent="0.25">
      <c r="A8" s="7" t="s">
        <v>7</v>
      </c>
      <c r="B8" s="7" t="s">
        <v>8</v>
      </c>
      <c r="C8" s="8" t="s">
        <v>9</v>
      </c>
      <c r="D8" s="9">
        <f t="shared" ref="D8:E10" si="0">F8+H8+J8+L8+N8+P8+R8+T8</f>
        <v>0</v>
      </c>
      <c r="E8" s="9">
        <f t="shared" si="0"/>
        <v>0</v>
      </c>
      <c r="F8" s="10">
        <v>0</v>
      </c>
      <c r="G8" s="10">
        <v>0</v>
      </c>
      <c r="H8" s="10">
        <v>0</v>
      </c>
      <c r="I8" s="50"/>
      <c r="J8" s="63">
        <v>0</v>
      </c>
      <c r="K8" s="63"/>
      <c r="L8" s="63">
        <v>0</v>
      </c>
      <c r="M8" s="78">
        <v>0</v>
      </c>
      <c r="N8" s="63">
        <v>0</v>
      </c>
      <c r="O8" s="63">
        <v>0</v>
      </c>
      <c r="P8" s="63">
        <v>0</v>
      </c>
      <c r="Q8" s="63">
        <v>0</v>
      </c>
      <c r="R8" s="63">
        <v>0</v>
      </c>
      <c r="S8" s="63">
        <v>0</v>
      </c>
      <c r="T8" s="63">
        <v>0</v>
      </c>
      <c r="U8" s="63">
        <v>0</v>
      </c>
    </row>
    <row r="9" spans="1:21" s="3" customFormat="1" ht="12.75" customHeight="1" x14ac:dyDescent="0.25">
      <c r="A9" s="7" t="s">
        <v>10</v>
      </c>
      <c r="B9" s="7" t="s">
        <v>11</v>
      </c>
      <c r="C9" s="8" t="s">
        <v>12</v>
      </c>
      <c r="D9" s="9">
        <f t="shared" si="0"/>
        <v>0</v>
      </c>
      <c r="E9" s="9">
        <f t="shared" si="0"/>
        <v>900</v>
      </c>
      <c r="F9" s="10">
        <v>0</v>
      </c>
      <c r="G9" s="10">
        <v>900</v>
      </c>
      <c r="H9" s="10">
        <v>0</v>
      </c>
      <c r="I9" s="50"/>
      <c r="J9" s="63">
        <v>0</v>
      </c>
      <c r="K9" s="63"/>
      <c r="L9" s="63">
        <v>0</v>
      </c>
      <c r="M9" s="78">
        <v>0</v>
      </c>
      <c r="N9" s="63">
        <v>0</v>
      </c>
      <c r="O9" s="63">
        <v>0</v>
      </c>
      <c r="P9" s="63">
        <v>0</v>
      </c>
      <c r="Q9" s="63">
        <v>0</v>
      </c>
      <c r="R9" s="63">
        <v>0</v>
      </c>
      <c r="S9" s="63">
        <v>0</v>
      </c>
      <c r="T9" s="63">
        <v>0</v>
      </c>
      <c r="U9" s="63">
        <v>0</v>
      </c>
    </row>
    <row r="10" spans="1:21" s="3" customFormat="1" ht="12.75" customHeight="1" x14ac:dyDescent="0.25">
      <c r="A10" s="7" t="s">
        <v>13</v>
      </c>
      <c r="B10" s="7" t="s">
        <v>14</v>
      </c>
      <c r="C10" s="8" t="s">
        <v>15</v>
      </c>
      <c r="D10" s="9">
        <f t="shared" si="0"/>
        <v>1123</v>
      </c>
      <c r="E10" s="9">
        <f t="shared" si="0"/>
        <v>1000</v>
      </c>
      <c r="F10" s="10">
        <v>1000</v>
      </c>
      <c r="G10" s="10">
        <f>SUM(G11:G12)</f>
        <v>1000</v>
      </c>
      <c r="H10" s="10">
        <v>0</v>
      </c>
      <c r="I10" s="50"/>
      <c r="J10" s="50">
        <f>SUM(J11:J12)</f>
        <v>123</v>
      </c>
      <c r="K10" s="50"/>
      <c r="L10" s="50">
        <v>0</v>
      </c>
      <c r="M10" s="50">
        <v>0</v>
      </c>
      <c r="N10" s="50">
        <v>0</v>
      </c>
      <c r="O10" s="50">
        <v>0</v>
      </c>
      <c r="P10" s="50">
        <f>SUM(P11:P12)</f>
        <v>0</v>
      </c>
      <c r="Q10" s="63">
        <v>0</v>
      </c>
      <c r="R10" s="50">
        <v>0</v>
      </c>
      <c r="S10" s="63">
        <v>0</v>
      </c>
      <c r="T10" s="50">
        <v>0</v>
      </c>
      <c r="U10" s="63">
        <v>0</v>
      </c>
    </row>
    <row r="11" spans="1:21" s="15" customFormat="1" ht="11.45" customHeight="1" x14ac:dyDescent="0.25">
      <c r="A11" s="11"/>
      <c r="B11" s="11"/>
      <c r="C11" s="12" t="s">
        <v>16</v>
      </c>
      <c r="D11" s="13"/>
      <c r="E11" s="13"/>
      <c r="F11" s="14"/>
      <c r="G11" s="14">
        <v>1000</v>
      </c>
      <c r="H11" s="14"/>
      <c r="I11" s="51"/>
      <c r="J11" s="64">
        <v>123</v>
      </c>
      <c r="K11" s="79"/>
      <c r="L11" s="64"/>
      <c r="M11" s="79"/>
      <c r="N11" s="64"/>
      <c r="O11" s="64"/>
      <c r="P11" s="64"/>
      <c r="Q11" s="64"/>
      <c r="R11" s="64"/>
      <c r="S11" s="64"/>
      <c r="T11" s="64"/>
      <c r="U11" s="64"/>
    </row>
    <row r="12" spans="1:21" s="15" customFormat="1" ht="11.45" customHeight="1" x14ac:dyDescent="0.25">
      <c r="A12" s="11"/>
      <c r="B12" s="11"/>
      <c r="C12" s="12" t="s">
        <v>17</v>
      </c>
      <c r="D12" s="13"/>
      <c r="E12" s="13"/>
      <c r="F12" s="14"/>
      <c r="G12" s="14"/>
      <c r="H12" s="14"/>
      <c r="I12" s="51"/>
      <c r="J12" s="64"/>
      <c r="K12" s="79"/>
      <c r="L12" s="64"/>
      <c r="M12" s="79"/>
      <c r="N12" s="64"/>
      <c r="O12" s="64"/>
      <c r="P12" s="64"/>
      <c r="Q12" s="64"/>
      <c r="R12" s="64"/>
      <c r="S12" s="64"/>
      <c r="T12" s="64"/>
      <c r="U12" s="64"/>
    </row>
    <row r="13" spans="1:21" s="3" customFormat="1" ht="12.75" customHeight="1" x14ac:dyDescent="0.25">
      <c r="A13" s="7" t="s">
        <v>18</v>
      </c>
      <c r="B13" s="7" t="s">
        <v>19</v>
      </c>
      <c r="C13" s="8" t="s">
        <v>20</v>
      </c>
      <c r="D13" s="9">
        <f>F13+H13+J13+L13+N13+P13+R13+T13</f>
        <v>8000</v>
      </c>
      <c r="E13" s="9">
        <f>G13+I13+K13+M13+O13+Q13+S13+U13</f>
        <v>5000</v>
      </c>
      <c r="F13" s="10">
        <v>8000</v>
      </c>
      <c r="G13" s="10">
        <v>5000</v>
      </c>
      <c r="H13" s="10">
        <v>0</v>
      </c>
      <c r="I13" s="50"/>
      <c r="J13" s="63">
        <v>0</v>
      </c>
      <c r="K13" s="63"/>
      <c r="L13" s="63">
        <v>0</v>
      </c>
      <c r="M13" s="78">
        <v>0</v>
      </c>
      <c r="N13" s="63">
        <v>0</v>
      </c>
      <c r="O13" s="63">
        <v>0</v>
      </c>
      <c r="P13" s="63">
        <v>0</v>
      </c>
      <c r="Q13" s="63">
        <v>0</v>
      </c>
      <c r="R13" s="63">
        <v>0</v>
      </c>
      <c r="S13" s="63">
        <v>0</v>
      </c>
      <c r="T13" s="63">
        <v>0</v>
      </c>
      <c r="U13" s="63">
        <v>0</v>
      </c>
    </row>
    <row r="14" spans="1:21" s="3" customFormat="1" ht="12.75" customHeight="1" x14ac:dyDescent="0.25">
      <c r="A14" s="7" t="s">
        <v>21</v>
      </c>
      <c r="B14" s="7" t="s">
        <v>22</v>
      </c>
      <c r="C14" s="8" t="s">
        <v>23</v>
      </c>
      <c r="D14" s="9">
        <f>F14+H14+J14+L14+N14+P14+R14+T14</f>
        <v>1740</v>
      </c>
      <c r="E14" s="9">
        <f>G14+I14+K14+M14+O14+Q14+S14+U14</f>
        <v>2644</v>
      </c>
      <c r="F14" s="10">
        <v>1740</v>
      </c>
      <c r="G14" s="10">
        <v>2644</v>
      </c>
      <c r="H14" s="10">
        <v>0</v>
      </c>
      <c r="I14" s="50"/>
      <c r="J14" s="63">
        <v>0</v>
      </c>
      <c r="K14" s="63"/>
      <c r="L14" s="63">
        <v>0</v>
      </c>
      <c r="M14" s="63">
        <v>0</v>
      </c>
      <c r="N14" s="63">
        <v>0</v>
      </c>
      <c r="O14" s="63">
        <v>0</v>
      </c>
      <c r="P14" s="63">
        <v>0</v>
      </c>
      <c r="Q14" s="63">
        <v>0</v>
      </c>
      <c r="R14" s="63">
        <v>0</v>
      </c>
      <c r="S14" s="63">
        <v>0</v>
      </c>
      <c r="T14" s="63">
        <v>0</v>
      </c>
      <c r="U14" s="63">
        <v>0</v>
      </c>
    </row>
    <row r="15" spans="1:21" s="3" customFormat="1" ht="12.75" customHeight="1" x14ac:dyDescent="0.25">
      <c r="A15" s="11"/>
      <c r="B15" s="11"/>
      <c r="C15" s="12"/>
      <c r="D15" s="13"/>
      <c r="E15" s="13"/>
      <c r="F15" s="14"/>
      <c r="G15" s="14"/>
      <c r="H15" s="14"/>
      <c r="I15" s="51"/>
      <c r="J15" s="64"/>
      <c r="K15" s="79"/>
      <c r="L15" s="64"/>
      <c r="M15" s="79"/>
      <c r="N15" s="64"/>
      <c r="O15" s="64"/>
      <c r="P15" s="64"/>
      <c r="Q15" s="64"/>
      <c r="R15" s="64"/>
      <c r="S15" s="64"/>
      <c r="T15" s="64"/>
      <c r="U15" s="64"/>
    </row>
    <row r="16" spans="1:21" s="3" customFormat="1" ht="12.75" customHeight="1" x14ac:dyDescent="0.25">
      <c r="A16" s="7" t="s">
        <v>24</v>
      </c>
      <c r="B16" s="7" t="s">
        <v>25</v>
      </c>
      <c r="C16" s="8" t="s">
        <v>26</v>
      </c>
      <c r="D16" s="9">
        <f>F16+H16+J16+L16+N16+P16+R16+T16</f>
        <v>13184</v>
      </c>
      <c r="E16" s="9">
        <f>G16+I16+K16+M16+O16+Q16+S16+U16</f>
        <v>13176</v>
      </c>
      <c r="F16" s="10">
        <f>SUM(F17:F18)</f>
        <v>12088</v>
      </c>
      <c r="G16" s="10">
        <f>SUM(G17:G18)</f>
        <v>12280</v>
      </c>
      <c r="H16" s="50">
        <v>0</v>
      </c>
      <c r="I16" s="50"/>
      <c r="J16" s="50">
        <v>0</v>
      </c>
      <c r="K16" s="50"/>
      <c r="L16" s="50">
        <v>0</v>
      </c>
      <c r="M16" s="50">
        <v>0</v>
      </c>
      <c r="N16" s="50">
        <f>SUM(N17:N18)</f>
        <v>1000</v>
      </c>
      <c r="O16" s="50">
        <f>SUM(O17:O18)</f>
        <v>800</v>
      </c>
      <c r="P16" s="50">
        <f>SUM(P17:P18)</f>
        <v>96</v>
      </c>
      <c r="Q16" s="50">
        <f>SUM(Q17:Q18)</f>
        <v>96</v>
      </c>
      <c r="R16" s="50">
        <v>0</v>
      </c>
      <c r="S16" s="63">
        <v>0</v>
      </c>
      <c r="T16" s="50">
        <v>0</v>
      </c>
      <c r="U16" s="63">
        <v>0</v>
      </c>
    </row>
    <row r="17" spans="1:21" s="15" customFormat="1" ht="11.45" customHeight="1" x14ac:dyDescent="0.25">
      <c r="A17" s="11"/>
      <c r="B17" s="11"/>
      <c r="C17" s="12" t="s">
        <v>278</v>
      </c>
      <c r="D17" s="13"/>
      <c r="E17" s="13"/>
      <c r="F17" s="14">
        <v>288</v>
      </c>
      <c r="G17" s="14">
        <v>480</v>
      </c>
      <c r="H17" s="14"/>
      <c r="I17" s="51"/>
      <c r="J17" s="64"/>
      <c r="K17" s="79"/>
      <c r="L17" s="64"/>
      <c r="M17" s="79"/>
      <c r="N17" s="64"/>
      <c r="O17" s="64"/>
      <c r="P17" s="64">
        <v>96</v>
      </c>
      <c r="Q17" s="64">
        <v>96</v>
      </c>
      <c r="R17" s="64"/>
      <c r="S17" s="64"/>
      <c r="T17" s="64"/>
      <c r="U17" s="64"/>
    </row>
    <row r="18" spans="1:21" s="15" customFormat="1" ht="11.45" customHeight="1" x14ac:dyDescent="0.25">
      <c r="A18" s="11"/>
      <c r="B18" s="11"/>
      <c r="C18" s="12" t="s">
        <v>614</v>
      </c>
      <c r="D18" s="13"/>
      <c r="E18" s="13"/>
      <c r="F18" s="14">
        <v>11800</v>
      </c>
      <c r="G18" s="14">
        <v>11800</v>
      </c>
      <c r="H18" s="14"/>
      <c r="I18" s="51"/>
      <c r="J18" s="64"/>
      <c r="K18" s="79"/>
      <c r="L18" s="64"/>
      <c r="M18" s="79"/>
      <c r="N18" s="64">
        <v>1000</v>
      </c>
      <c r="O18" s="64">
        <v>800</v>
      </c>
      <c r="P18" s="64"/>
      <c r="Q18" s="64"/>
      <c r="R18" s="64"/>
      <c r="S18" s="64"/>
      <c r="T18" s="64"/>
      <c r="U18" s="64"/>
    </row>
    <row r="19" spans="1:21" s="3" customFormat="1" ht="12.75" customHeight="1" x14ac:dyDescent="0.25">
      <c r="A19" s="7" t="s">
        <v>27</v>
      </c>
      <c r="B19" s="7" t="s">
        <v>28</v>
      </c>
      <c r="C19" s="8" t="s">
        <v>29</v>
      </c>
      <c r="D19" s="9">
        <f t="shared" ref="D19:E21" si="1">F19+H19+J19+L19+N19+P19+R19+T19</f>
        <v>0</v>
      </c>
      <c r="E19" s="9">
        <f t="shared" si="1"/>
        <v>0</v>
      </c>
      <c r="F19" s="10">
        <v>0</v>
      </c>
      <c r="G19" s="10">
        <v>0</v>
      </c>
      <c r="H19" s="10">
        <v>0</v>
      </c>
      <c r="I19" s="50"/>
      <c r="J19" s="63">
        <v>0</v>
      </c>
      <c r="K19" s="78"/>
      <c r="L19" s="63">
        <v>0</v>
      </c>
      <c r="M19" s="78">
        <v>0</v>
      </c>
      <c r="N19" s="63">
        <v>0</v>
      </c>
      <c r="O19" s="63">
        <v>0</v>
      </c>
      <c r="P19" s="63">
        <v>0</v>
      </c>
      <c r="Q19" s="63">
        <v>0</v>
      </c>
      <c r="R19" s="63">
        <v>0</v>
      </c>
      <c r="S19" s="63">
        <v>0</v>
      </c>
      <c r="T19" s="63">
        <v>0</v>
      </c>
      <c r="U19" s="63">
        <v>0</v>
      </c>
    </row>
    <row r="20" spans="1:21" s="3" customFormat="1" ht="12.75" customHeight="1" x14ac:dyDescent="0.25">
      <c r="A20" s="7" t="s">
        <v>30</v>
      </c>
      <c r="B20" s="7" t="s">
        <v>31</v>
      </c>
      <c r="C20" s="8" t="s">
        <v>32</v>
      </c>
      <c r="D20" s="9">
        <f t="shared" si="1"/>
        <v>4810</v>
      </c>
      <c r="E20" s="9">
        <f t="shared" si="1"/>
        <v>4620</v>
      </c>
      <c r="F20" s="10">
        <v>4350</v>
      </c>
      <c r="G20" s="10">
        <v>4350</v>
      </c>
      <c r="H20" s="10">
        <v>150</v>
      </c>
      <c r="I20" s="50"/>
      <c r="J20" s="63">
        <v>30</v>
      </c>
      <c r="K20" s="78"/>
      <c r="L20" s="63">
        <v>0</v>
      </c>
      <c r="M20" s="78">
        <v>0</v>
      </c>
      <c r="N20" s="63">
        <v>270</v>
      </c>
      <c r="O20" s="63">
        <v>270</v>
      </c>
      <c r="P20" s="63">
        <v>10</v>
      </c>
      <c r="Q20" s="63">
        <v>0</v>
      </c>
      <c r="R20" s="63">
        <v>0</v>
      </c>
      <c r="S20" s="63">
        <v>0</v>
      </c>
      <c r="T20" s="63">
        <v>0</v>
      </c>
      <c r="U20" s="63">
        <v>0</v>
      </c>
    </row>
    <row r="21" spans="1:21" s="3" customFormat="1" ht="12.75" customHeight="1" x14ac:dyDescent="0.25">
      <c r="A21" s="7" t="s">
        <v>33</v>
      </c>
      <c r="B21" s="7" t="s">
        <v>34</v>
      </c>
      <c r="C21" s="8" t="s">
        <v>35</v>
      </c>
      <c r="D21" s="9">
        <f t="shared" si="1"/>
        <v>1200</v>
      </c>
      <c r="E21" s="9">
        <f t="shared" si="1"/>
        <v>1828</v>
      </c>
      <c r="F21" s="10">
        <v>1200</v>
      </c>
      <c r="G21" s="10">
        <f>G22+G23</f>
        <v>1768</v>
      </c>
      <c r="H21" s="10">
        <v>0</v>
      </c>
      <c r="I21" s="50"/>
      <c r="J21" s="63">
        <v>0</v>
      </c>
      <c r="K21" s="78"/>
      <c r="L21" s="63">
        <v>0</v>
      </c>
      <c r="M21" s="78">
        <v>0</v>
      </c>
      <c r="N21" s="63">
        <v>0</v>
      </c>
      <c r="O21" s="63">
        <f>O22+O23</f>
        <v>48</v>
      </c>
      <c r="P21" s="63">
        <f>P22</f>
        <v>0</v>
      </c>
      <c r="Q21" s="63">
        <f>Q22+Q23</f>
        <v>12</v>
      </c>
      <c r="R21" s="63">
        <v>0</v>
      </c>
      <c r="S21" s="63">
        <v>0</v>
      </c>
      <c r="T21" s="63">
        <v>0</v>
      </c>
      <c r="U21" s="63">
        <v>0</v>
      </c>
    </row>
    <row r="22" spans="1:21" s="3" customFormat="1" ht="12.75" customHeight="1" x14ac:dyDescent="0.25">
      <c r="A22" s="11"/>
      <c r="B22" s="11"/>
      <c r="C22" s="12" t="s">
        <v>1030</v>
      </c>
      <c r="D22" s="13"/>
      <c r="E22" s="13"/>
      <c r="F22" s="14"/>
      <c r="G22" s="14">
        <v>1000</v>
      </c>
      <c r="H22" s="14"/>
      <c r="I22" s="51"/>
      <c r="J22" s="64"/>
      <c r="K22" s="79"/>
      <c r="L22" s="64"/>
      <c r="M22" s="79"/>
      <c r="N22" s="64"/>
      <c r="O22" s="64"/>
      <c r="P22" s="64"/>
      <c r="Q22" s="64"/>
      <c r="R22" s="64"/>
      <c r="S22" s="64"/>
      <c r="T22" s="64"/>
      <c r="U22" s="64"/>
    </row>
    <row r="23" spans="1:21" s="3" customFormat="1" ht="12.75" customHeight="1" x14ac:dyDescent="0.25">
      <c r="A23" s="11"/>
      <c r="B23" s="11"/>
      <c r="C23" s="12" t="s">
        <v>1266</v>
      </c>
      <c r="D23" s="13"/>
      <c r="E23" s="13"/>
      <c r="F23" s="14"/>
      <c r="G23" s="14">
        <v>768</v>
      </c>
      <c r="H23" s="14"/>
      <c r="I23" s="51"/>
      <c r="J23" s="64"/>
      <c r="K23" s="79"/>
      <c r="L23" s="64"/>
      <c r="M23" s="79"/>
      <c r="N23" s="64"/>
      <c r="O23" s="64">
        <v>48</v>
      </c>
      <c r="P23" s="64"/>
      <c r="Q23" s="64">
        <v>12</v>
      </c>
      <c r="R23" s="64"/>
      <c r="S23" s="64"/>
      <c r="T23" s="64"/>
      <c r="U23" s="64"/>
    </row>
    <row r="24" spans="1:21" s="3" customFormat="1" ht="12.75" customHeight="1" x14ac:dyDescent="0.25">
      <c r="A24" s="7" t="s">
        <v>36</v>
      </c>
      <c r="B24" s="7" t="s">
        <v>37</v>
      </c>
      <c r="C24" s="8" t="s">
        <v>38</v>
      </c>
      <c r="D24" s="9">
        <f t="shared" ref="D24:E26" si="2">F24+H24+J24+L24+N24+P24+R24+T24</f>
        <v>1440</v>
      </c>
      <c r="E24" s="9">
        <f t="shared" si="2"/>
        <v>3000</v>
      </c>
      <c r="F24" s="10">
        <f>F25</f>
        <v>1440</v>
      </c>
      <c r="G24" s="10">
        <f>G25</f>
        <v>3000</v>
      </c>
      <c r="H24" s="10">
        <v>0</v>
      </c>
      <c r="I24" s="50"/>
      <c r="J24" s="63">
        <v>0</v>
      </c>
      <c r="K24" s="78"/>
      <c r="L24" s="63">
        <v>0</v>
      </c>
      <c r="M24" s="78">
        <v>0</v>
      </c>
      <c r="N24" s="63">
        <v>0</v>
      </c>
      <c r="O24" s="63">
        <v>0</v>
      </c>
      <c r="P24" s="63">
        <f>P25</f>
        <v>0</v>
      </c>
      <c r="Q24" s="63">
        <v>0</v>
      </c>
      <c r="R24" s="63">
        <v>0</v>
      </c>
      <c r="S24" s="63">
        <v>0</v>
      </c>
      <c r="T24" s="63">
        <v>0</v>
      </c>
      <c r="U24" s="63">
        <v>0</v>
      </c>
    </row>
    <row r="25" spans="1:21" s="3" customFormat="1" ht="12.75" customHeight="1" x14ac:dyDescent="0.25">
      <c r="A25" s="11"/>
      <c r="B25" s="11"/>
      <c r="C25" s="12" t="s">
        <v>615</v>
      </c>
      <c r="D25" s="13"/>
      <c r="E25" s="13"/>
      <c r="F25" s="14">
        <v>1440</v>
      </c>
      <c r="G25" s="14">
        <v>3000</v>
      </c>
      <c r="H25" s="14"/>
      <c r="I25" s="51"/>
      <c r="J25" s="64"/>
      <c r="K25" s="79"/>
      <c r="L25" s="64"/>
      <c r="M25" s="79"/>
      <c r="N25" s="64"/>
      <c r="O25" s="64"/>
      <c r="P25" s="64"/>
      <c r="Q25" s="64"/>
      <c r="R25" s="64"/>
      <c r="S25" s="64"/>
      <c r="T25" s="64"/>
      <c r="U25" s="64"/>
    </row>
    <row r="26" spans="1:21" s="3" customFormat="1" ht="12.75" customHeight="1" x14ac:dyDescent="0.25">
      <c r="A26" s="7" t="s">
        <v>39</v>
      </c>
      <c r="B26" s="7" t="s">
        <v>40</v>
      </c>
      <c r="C26" s="8" t="s">
        <v>41</v>
      </c>
      <c r="D26" s="9">
        <f t="shared" si="2"/>
        <v>500</v>
      </c>
      <c r="E26" s="9">
        <f t="shared" si="2"/>
        <v>932</v>
      </c>
      <c r="F26" s="10">
        <v>500</v>
      </c>
      <c r="G26" s="10">
        <f>G27</f>
        <v>932</v>
      </c>
      <c r="H26" s="10">
        <v>0</v>
      </c>
      <c r="I26" s="50"/>
      <c r="J26" s="63">
        <v>0</v>
      </c>
      <c r="K26" s="78"/>
      <c r="L26" s="63">
        <v>0</v>
      </c>
      <c r="M26" s="78">
        <v>0</v>
      </c>
      <c r="N26" s="63">
        <v>0</v>
      </c>
      <c r="O26" s="63">
        <v>0</v>
      </c>
      <c r="P26" s="63">
        <f>P27</f>
        <v>0</v>
      </c>
      <c r="Q26" s="63">
        <v>0</v>
      </c>
      <c r="R26" s="63">
        <v>0</v>
      </c>
      <c r="S26" s="63">
        <v>0</v>
      </c>
      <c r="T26" s="63">
        <v>0</v>
      </c>
      <c r="U26" s="63">
        <v>0</v>
      </c>
    </row>
    <row r="27" spans="1:21" s="3" customFormat="1" ht="12.75" customHeight="1" x14ac:dyDescent="0.25">
      <c r="A27" s="11"/>
      <c r="B27" s="11"/>
      <c r="C27" s="12" t="s">
        <v>280</v>
      </c>
      <c r="D27" s="13"/>
      <c r="E27" s="13"/>
      <c r="F27" s="14"/>
      <c r="G27" s="14">
        <f>ROUND(G6*0.004,0)</f>
        <v>932</v>
      </c>
      <c r="H27" s="14"/>
      <c r="I27" s="14"/>
      <c r="J27" s="64"/>
      <c r="K27" s="79"/>
      <c r="L27" s="64"/>
      <c r="M27" s="14"/>
      <c r="N27" s="64"/>
      <c r="O27" s="64"/>
      <c r="P27" s="64"/>
      <c r="Q27" s="64"/>
      <c r="R27" s="64"/>
      <c r="S27" s="64"/>
      <c r="T27" s="64"/>
      <c r="U27" s="64"/>
    </row>
    <row r="28" spans="1:21" s="3" customFormat="1" ht="12.75" customHeight="1" x14ac:dyDescent="0.25">
      <c r="A28" s="7" t="s">
        <v>42</v>
      </c>
      <c r="B28" s="7" t="s">
        <v>43</v>
      </c>
      <c r="C28" s="8" t="s">
        <v>44</v>
      </c>
      <c r="D28" s="9">
        <f>F28+H28+J28+L28+N28+P28+R28+T28</f>
        <v>1500</v>
      </c>
      <c r="E28" s="9">
        <f>G28+I28+K28+M28+O28+Q28+S28+U28</f>
        <v>2200</v>
      </c>
      <c r="F28" s="10">
        <f>F29</f>
        <v>1500</v>
      </c>
      <c r="G28" s="10">
        <f>G29</f>
        <v>2000</v>
      </c>
      <c r="H28" s="10">
        <v>0</v>
      </c>
      <c r="I28" s="50"/>
      <c r="J28" s="63">
        <v>0</v>
      </c>
      <c r="K28" s="78"/>
      <c r="L28" s="63">
        <v>0</v>
      </c>
      <c r="M28" s="50">
        <v>0</v>
      </c>
      <c r="N28" s="63">
        <v>0</v>
      </c>
      <c r="O28" s="63">
        <v>200</v>
      </c>
      <c r="P28" s="63">
        <f>P29</f>
        <v>0</v>
      </c>
      <c r="Q28" s="63">
        <v>0</v>
      </c>
      <c r="R28" s="63">
        <v>0</v>
      </c>
      <c r="S28" s="63">
        <v>0</v>
      </c>
      <c r="T28" s="63">
        <v>0</v>
      </c>
      <c r="U28" s="63">
        <v>0</v>
      </c>
    </row>
    <row r="29" spans="1:21" s="15" customFormat="1" ht="11.45" customHeight="1" x14ac:dyDescent="0.25">
      <c r="A29" s="11"/>
      <c r="B29" s="11"/>
      <c r="C29" s="12" t="s">
        <v>408</v>
      </c>
      <c r="D29" s="13"/>
      <c r="E29" s="13"/>
      <c r="F29" s="14">
        <v>1500</v>
      </c>
      <c r="G29" s="14">
        <v>2000</v>
      </c>
      <c r="H29" s="14"/>
      <c r="I29" s="51"/>
      <c r="J29" s="64"/>
      <c r="K29" s="79"/>
      <c r="L29" s="64"/>
      <c r="M29" s="79"/>
      <c r="N29" s="64"/>
      <c r="O29" s="64"/>
      <c r="P29" s="64"/>
      <c r="Q29" s="64"/>
      <c r="R29" s="64"/>
      <c r="S29" s="64"/>
      <c r="T29" s="64"/>
      <c r="U29" s="64"/>
    </row>
    <row r="30" spans="1:21" s="3" customFormat="1" ht="12.75" customHeight="1" x14ac:dyDescent="0.25">
      <c r="A30" s="16" t="s">
        <v>45</v>
      </c>
      <c r="B30" s="16" t="s">
        <v>46</v>
      </c>
      <c r="C30" s="17" t="s">
        <v>47</v>
      </c>
      <c r="D30" s="18">
        <f>D6+D8+D9+D10+D13+D14+D16+D19+D20+D21+D24+D26+D28</f>
        <v>294797</v>
      </c>
      <c r="E30" s="18">
        <f>E6+E8+E9+E10+E13+E14+E16+E19+E20+E21+E24+E26+E28</f>
        <v>283592</v>
      </c>
      <c r="F30" s="18">
        <f>F6+F8+F9+F10+F13+F14+F16+F19+F20+F21+F24+F26+F28</f>
        <v>267957</v>
      </c>
      <c r="G30" s="18">
        <f t="shared" ref="G30:U30" si="3">G6+G8+G9+G10+G13+G14+G16+G19+G20+G21+G24+G26+G28</f>
        <v>266968</v>
      </c>
      <c r="H30" s="18">
        <f t="shared" si="3"/>
        <v>6750</v>
      </c>
      <c r="I30" s="18">
        <f t="shared" si="3"/>
        <v>0</v>
      </c>
      <c r="J30" s="18">
        <f t="shared" si="3"/>
        <v>1603</v>
      </c>
      <c r="K30" s="18">
        <f t="shared" si="3"/>
        <v>0</v>
      </c>
      <c r="L30" s="18">
        <f t="shared" si="3"/>
        <v>0</v>
      </c>
      <c r="M30" s="18">
        <f t="shared" si="3"/>
        <v>0</v>
      </c>
      <c r="N30" s="18">
        <f t="shared" si="3"/>
        <v>15257</v>
      </c>
      <c r="O30" s="18">
        <f t="shared" si="3"/>
        <v>13392</v>
      </c>
      <c r="P30" s="18">
        <f t="shared" si="3"/>
        <v>3230</v>
      </c>
      <c r="Q30" s="18">
        <f t="shared" si="3"/>
        <v>3232</v>
      </c>
      <c r="R30" s="18">
        <f t="shared" si="3"/>
        <v>0</v>
      </c>
      <c r="S30" s="18">
        <f t="shared" si="3"/>
        <v>0</v>
      </c>
      <c r="T30" s="18">
        <f t="shared" si="3"/>
        <v>0</v>
      </c>
      <c r="U30" s="18">
        <f t="shared" si="3"/>
        <v>0</v>
      </c>
    </row>
    <row r="31" spans="1:21" s="3" customFormat="1" ht="12.75" customHeight="1" x14ac:dyDescent="0.25">
      <c r="A31" s="7" t="s">
        <v>48</v>
      </c>
      <c r="B31" s="7" t="s">
        <v>49</v>
      </c>
      <c r="C31" s="8" t="s">
        <v>50</v>
      </c>
      <c r="D31" s="9">
        <f t="shared" ref="D31:E34" si="4">F31+H31+J31+L31+N31+P31+R31+T31</f>
        <v>18336</v>
      </c>
      <c r="E31" s="9">
        <f t="shared" si="4"/>
        <v>0</v>
      </c>
      <c r="F31" s="10">
        <f>SUM(F32:F33)</f>
        <v>18336</v>
      </c>
      <c r="G31" s="10">
        <f>SUM(G32:G33)</f>
        <v>0</v>
      </c>
      <c r="H31" s="10">
        <v>0</v>
      </c>
      <c r="I31" s="50"/>
      <c r="J31" s="63">
        <v>0</v>
      </c>
      <c r="K31" s="78"/>
      <c r="L31" s="63">
        <v>0</v>
      </c>
      <c r="M31" s="78">
        <v>0</v>
      </c>
      <c r="N31" s="63">
        <v>0</v>
      </c>
      <c r="O31" s="63">
        <v>0</v>
      </c>
      <c r="P31" s="63">
        <v>0</v>
      </c>
      <c r="Q31" s="63">
        <v>0</v>
      </c>
      <c r="R31" s="63">
        <v>0</v>
      </c>
      <c r="S31" s="63">
        <v>0</v>
      </c>
      <c r="T31" s="63">
        <v>0</v>
      </c>
      <c r="U31" s="63">
        <v>0</v>
      </c>
    </row>
    <row r="32" spans="1:21" s="15" customFormat="1" ht="11.45" customHeight="1" x14ac:dyDescent="0.25">
      <c r="A32" s="11"/>
      <c r="B32" s="11"/>
      <c r="C32" s="12" t="s">
        <v>616</v>
      </c>
      <c r="D32" s="13"/>
      <c r="E32" s="13"/>
      <c r="F32" s="14">
        <v>14016</v>
      </c>
      <c r="G32" s="14">
        <v>0</v>
      </c>
      <c r="H32" s="14"/>
      <c r="I32" s="51"/>
      <c r="J32" s="64"/>
      <c r="K32" s="79"/>
      <c r="L32" s="64"/>
      <c r="M32" s="79"/>
      <c r="N32" s="64"/>
      <c r="O32" s="64"/>
      <c r="P32" s="64"/>
      <c r="Q32" s="64"/>
      <c r="R32" s="64"/>
      <c r="S32" s="64"/>
      <c r="T32" s="64"/>
      <c r="U32" s="64"/>
    </row>
    <row r="33" spans="1:21" s="15" customFormat="1" ht="11.45" customHeight="1" x14ac:dyDescent="0.25">
      <c r="A33" s="11"/>
      <c r="B33" s="11"/>
      <c r="C33" s="12" t="s">
        <v>617</v>
      </c>
      <c r="D33" s="13"/>
      <c r="E33" s="13"/>
      <c r="F33" s="14">
        <v>4320</v>
      </c>
      <c r="G33" s="14">
        <v>0</v>
      </c>
      <c r="H33" s="14"/>
      <c r="I33" s="51"/>
      <c r="J33" s="64"/>
      <c r="K33" s="79"/>
      <c r="L33" s="64"/>
      <c r="M33" s="79"/>
      <c r="N33" s="64"/>
      <c r="O33" s="64"/>
      <c r="P33" s="64"/>
      <c r="Q33" s="64"/>
      <c r="R33" s="64"/>
      <c r="S33" s="64"/>
      <c r="T33" s="64"/>
      <c r="U33" s="64"/>
    </row>
    <row r="34" spans="1:21" s="3" customFormat="1" ht="12.75" customHeight="1" x14ac:dyDescent="0.25">
      <c r="A34" s="7" t="s">
        <v>51</v>
      </c>
      <c r="B34" s="7" t="s">
        <v>52</v>
      </c>
      <c r="C34" s="8" t="s">
        <v>53</v>
      </c>
      <c r="D34" s="9">
        <f t="shared" si="4"/>
        <v>24843</v>
      </c>
      <c r="E34" s="9">
        <f t="shared" si="4"/>
        <v>5922</v>
      </c>
      <c r="F34" s="10">
        <f>F35</f>
        <v>21000</v>
      </c>
      <c r="G34" s="10">
        <f>G35</f>
        <v>5922</v>
      </c>
      <c r="H34" s="10">
        <v>0</v>
      </c>
      <c r="I34" s="50"/>
      <c r="J34" s="63">
        <v>0</v>
      </c>
      <c r="K34" s="78"/>
      <c r="L34" s="63">
        <f>L35</f>
        <v>3818</v>
      </c>
      <c r="M34" s="63">
        <f>M35</f>
        <v>0</v>
      </c>
      <c r="N34" s="63">
        <f>N35</f>
        <v>25</v>
      </c>
      <c r="O34" s="63">
        <v>0</v>
      </c>
      <c r="P34" s="63">
        <v>0</v>
      </c>
      <c r="Q34" s="63">
        <v>0</v>
      </c>
      <c r="R34" s="63">
        <v>0</v>
      </c>
      <c r="S34" s="63">
        <v>0</v>
      </c>
      <c r="T34" s="63">
        <v>0</v>
      </c>
      <c r="U34" s="63">
        <v>0</v>
      </c>
    </row>
    <row r="35" spans="1:21" s="15" customFormat="1" ht="11.45" customHeight="1" x14ac:dyDescent="0.25">
      <c r="A35" s="11"/>
      <c r="B35" s="11"/>
      <c r="C35" s="12" t="s">
        <v>282</v>
      </c>
      <c r="D35" s="13"/>
      <c r="E35" s="13"/>
      <c r="F35" s="14">
        <v>21000</v>
      </c>
      <c r="G35" s="14">
        <f>3000+922+2000</f>
        <v>5922</v>
      </c>
      <c r="H35" s="14"/>
      <c r="I35" s="51"/>
      <c r="J35" s="64"/>
      <c r="K35" s="79"/>
      <c r="L35" s="64">
        <v>3818</v>
      </c>
      <c r="M35" s="79"/>
      <c r="N35" s="64">
        <v>25</v>
      </c>
      <c r="O35" s="64"/>
      <c r="P35" s="64"/>
      <c r="Q35" s="64"/>
      <c r="R35" s="64"/>
      <c r="S35" s="64"/>
      <c r="T35" s="64"/>
      <c r="U35" s="64"/>
    </row>
    <row r="36" spans="1:21" s="3" customFormat="1" ht="12.75" customHeight="1" x14ac:dyDescent="0.25">
      <c r="A36" s="7" t="s">
        <v>54</v>
      </c>
      <c r="B36" s="7" t="s">
        <v>55</v>
      </c>
      <c r="C36" s="8" t="s">
        <v>285</v>
      </c>
      <c r="D36" s="9">
        <f>F36+H36+J36+L36+N36+P36+R36+T36</f>
        <v>22294</v>
      </c>
      <c r="E36" s="9">
        <f>G36+I36+K36+M36+O36+Q36+S36+U36</f>
        <v>3040</v>
      </c>
      <c r="F36" s="10">
        <f>SUM(F37:F38)</f>
        <v>3600</v>
      </c>
      <c r="G36" s="10">
        <f>SUM(G37:G38)</f>
        <v>3000</v>
      </c>
      <c r="H36" s="10">
        <v>0</v>
      </c>
      <c r="I36" s="50"/>
      <c r="J36" s="63">
        <v>0</v>
      </c>
      <c r="K36" s="78"/>
      <c r="L36" s="63">
        <f>SUM(L37:L38)</f>
        <v>18694</v>
      </c>
      <c r="M36" s="63">
        <f>SUM(M37:M38)</f>
        <v>0</v>
      </c>
      <c r="N36" s="63">
        <v>0</v>
      </c>
      <c r="O36" s="63">
        <v>0</v>
      </c>
      <c r="P36" s="63">
        <v>0</v>
      </c>
      <c r="Q36" s="63">
        <v>0</v>
      </c>
      <c r="R36" s="63">
        <v>0</v>
      </c>
      <c r="S36" s="63">
        <v>0</v>
      </c>
      <c r="T36" s="63">
        <v>0</v>
      </c>
      <c r="U36" s="63">
        <f>SUM(U37:U38)</f>
        <v>40</v>
      </c>
    </row>
    <row r="37" spans="1:21" s="15" customFormat="1" ht="11.45" customHeight="1" x14ac:dyDescent="0.25">
      <c r="A37" s="11"/>
      <c r="B37" s="11"/>
      <c r="C37" s="12" t="s">
        <v>283</v>
      </c>
      <c r="D37" s="13"/>
      <c r="E37" s="13"/>
      <c r="F37" s="14">
        <v>3000</v>
      </c>
      <c r="G37" s="14">
        <v>3000</v>
      </c>
      <c r="H37" s="14"/>
      <c r="I37" s="51"/>
      <c r="J37" s="64"/>
      <c r="K37" s="79"/>
      <c r="L37" s="64"/>
      <c r="M37" s="79"/>
      <c r="N37" s="64"/>
      <c r="O37" s="64"/>
      <c r="P37" s="64"/>
      <c r="Q37" s="64"/>
      <c r="R37" s="64"/>
      <c r="S37" s="64"/>
      <c r="T37" s="64"/>
      <c r="U37" s="64">
        <v>40</v>
      </c>
    </row>
    <row r="38" spans="1:21" s="15" customFormat="1" ht="11.45" customHeight="1" x14ac:dyDescent="0.25">
      <c r="A38" s="11"/>
      <c r="B38" s="11"/>
      <c r="C38" s="12" t="s">
        <v>285</v>
      </c>
      <c r="D38" s="13"/>
      <c r="E38" s="13"/>
      <c r="F38" s="14">
        <v>600</v>
      </c>
      <c r="G38" s="14">
        <v>0</v>
      </c>
      <c r="H38" s="14"/>
      <c r="I38" s="51"/>
      <c r="J38" s="88"/>
      <c r="K38" s="88"/>
      <c r="L38" s="88">
        <v>18694</v>
      </c>
      <c r="M38" s="88"/>
      <c r="N38" s="88"/>
      <c r="O38" s="88"/>
      <c r="P38" s="88"/>
      <c r="Q38" s="64"/>
      <c r="R38" s="88"/>
      <c r="S38" s="64"/>
      <c r="T38" s="88"/>
      <c r="U38" s="64"/>
    </row>
    <row r="39" spans="1:21" s="3" customFormat="1" ht="12.75" customHeight="1" x14ac:dyDescent="0.25">
      <c r="A39" s="16" t="s">
        <v>56</v>
      </c>
      <c r="B39" s="16" t="s">
        <v>57</v>
      </c>
      <c r="C39" s="17" t="s">
        <v>58</v>
      </c>
      <c r="D39" s="18">
        <f>D31+D34+D36</f>
        <v>65473</v>
      </c>
      <c r="E39" s="18">
        <f>E31+E34+E36</f>
        <v>8962</v>
      </c>
      <c r="F39" s="18">
        <f>F31+F34+F36</f>
        <v>42936</v>
      </c>
      <c r="G39" s="18">
        <f t="shared" ref="G39:U39" si="5">G31+G34+G36</f>
        <v>8922</v>
      </c>
      <c r="H39" s="18">
        <f t="shared" si="5"/>
        <v>0</v>
      </c>
      <c r="I39" s="18">
        <f t="shared" si="5"/>
        <v>0</v>
      </c>
      <c r="J39" s="18">
        <f t="shared" si="5"/>
        <v>0</v>
      </c>
      <c r="K39" s="18">
        <f t="shared" si="5"/>
        <v>0</v>
      </c>
      <c r="L39" s="18">
        <f t="shared" si="5"/>
        <v>22512</v>
      </c>
      <c r="M39" s="18">
        <f t="shared" si="5"/>
        <v>0</v>
      </c>
      <c r="N39" s="18">
        <f t="shared" si="5"/>
        <v>25</v>
      </c>
      <c r="O39" s="18">
        <f t="shared" si="5"/>
        <v>0</v>
      </c>
      <c r="P39" s="18">
        <f t="shared" si="5"/>
        <v>0</v>
      </c>
      <c r="Q39" s="18">
        <f t="shared" si="5"/>
        <v>0</v>
      </c>
      <c r="R39" s="18">
        <f t="shared" si="5"/>
        <v>0</v>
      </c>
      <c r="S39" s="18">
        <f t="shared" si="5"/>
        <v>0</v>
      </c>
      <c r="T39" s="18">
        <f t="shared" si="5"/>
        <v>0</v>
      </c>
      <c r="U39" s="18">
        <f t="shared" si="5"/>
        <v>40</v>
      </c>
    </row>
    <row r="40" spans="1:21" s="3" customFormat="1" ht="12.75" customHeight="1" x14ac:dyDescent="0.25">
      <c r="A40" s="20" t="s">
        <v>59</v>
      </c>
      <c r="B40" s="20" t="s">
        <v>60</v>
      </c>
      <c r="C40" s="21" t="s">
        <v>286</v>
      </c>
      <c r="D40" s="22">
        <f t="shared" ref="D40:Q40" si="6">D30+D39</f>
        <v>360270</v>
      </c>
      <c r="E40" s="22">
        <f t="shared" si="6"/>
        <v>292554</v>
      </c>
      <c r="F40" s="22">
        <f t="shared" si="6"/>
        <v>310893</v>
      </c>
      <c r="G40" s="22">
        <f t="shared" si="6"/>
        <v>275890</v>
      </c>
      <c r="H40" s="22">
        <f t="shared" si="6"/>
        <v>6750</v>
      </c>
      <c r="I40" s="53">
        <f t="shared" si="6"/>
        <v>0</v>
      </c>
      <c r="J40" s="53">
        <f t="shared" si="6"/>
        <v>1603</v>
      </c>
      <c r="K40" s="53">
        <f t="shared" si="6"/>
        <v>0</v>
      </c>
      <c r="L40" s="53">
        <f t="shared" si="6"/>
        <v>22512</v>
      </c>
      <c r="M40" s="53">
        <f t="shared" si="6"/>
        <v>0</v>
      </c>
      <c r="N40" s="53">
        <f t="shared" si="6"/>
        <v>15282</v>
      </c>
      <c r="O40" s="53">
        <f t="shared" si="6"/>
        <v>13392</v>
      </c>
      <c r="P40" s="53">
        <f t="shared" si="6"/>
        <v>3230</v>
      </c>
      <c r="Q40" s="53">
        <f t="shared" si="6"/>
        <v>3232</v>
      </c>
      <c r="R40" s="53">
        <f>R30+R39</f>
        <v>0</v>
      </c>
      <c r="S40" s="53">
        <f>S30+S39</f>
        <v>0</v>
      </c>
      <c r="T40" s="53">
        <f>T30+T39</f>
        <v>0</v>
      </c>
      <c r="U40" s="53">
        <f>U30+U39</f>
        <v>40</v>
      </c>
    </row>
    <row r="41" spans="1:21" s="15" customFormat="1" ht="11.45" customHeight="1" x14ac:dyDescent="0.25">
      <c r="A41" s="11"/>
      <c r="B41" s="11"/>
      <c r="C41" s="12" t="s">
        <v>284</v>
      </c>
      <c r="D41" s="13">
        <f>H41+F41+L41+N41+P41+R41+T41+J41</f>
        <v>79497</v>
      </c>
      <c r="E41" s="13">
        <f>I41+G41+M41+O41+Q41+S41+U41+K41</f>
        <v>72006</v>
      </c>
      <c r="F41" s="13">
        <v>66593</v>
      </c>
      <c r="G41" s="13">
        <f>ROUND((G6+G8+G9+G10+G13+G14+G26+G28+G34)*0.27,0)</f>
        <v>67903</v>
      </c>
      <c r="H41" s="13">
        <v>1782</v>
      </c>
      <c r="I41" s="54">
        <f>ROUND((I6+I8+I9+I10+I13+I14+I34)*0.27,0)</f>
        <v>0</v>
      </c>
      <c r="J41" s="67">
        <v>425</v>
      </c>
      <c r="K41" s="54">
        <f>ROUND((K6+K8+K9+K10+K13+K14+K34)*0.27,0)</f>
        <v>0</v>
      </c>
      <c r="L41" s="67">
        <v>6078</v>
      </c>
      <c r="M41" s="13">
        <f>ROUND((M6+M8+M9+M10+M13+M14+M26+M28+M34)*0.27,0)</f>
        <v>0</v>
      </c>
      <c r="N41" s="67">
        <v>3776</v>
      </c>
      <c r="O41" s="54">
        <f>ROUND((O6+O8+O9+O10+O13+O14+O34)*0.27,0)</f>
        <v>3260</v>
      </c>
      <c r="P41" s="67">
        <v>843</v>
      </c>
      <c r="Q41" s="54">
        <f>ROUND((Q6+Q8+Q9+Q10+Q13+Q14+Q34)*0.27,0)</f>
        <v>843</v>
      </c>
      <c r="R41" s="67"/>
      <c r="S41" s="67"/>
      <c r="T41" s="67"/>
      <c r="U41" s="13">
        <f>ROUND((U6+U8+U9+U10+U13+U14+U26+U28+U34)*0.27,0)</f>
        <v>0</v>
      </c>
    </row>
    <row r="42" spans="1:21" s="15" customFormat="1" ht="11.45" customHeight="1" x14ac:dyDescent="0.25">
      <c r="A42" s="11"/>
      <c r="B42" s="11"/>
      <c r="C42" s="12" t="s">
        <v>61</v>
      </c>
      <c r="D42" s="13">
        <f t="shared" ref="D42:E44" si="7">H42+F42+L42+N42+P42+R42+T42+J42</f>
        <v>3161</v>
      </c>
      <c r="E42" s="13">
        <f t="shared" si="7"/>
        <v>3268</v>
      </c>
      <c r="F42" s="14">
        <v>2978</v>
      </c>
      <c r="G42" s="13">
        <f>ROUND((G16+G17)*1.19*0.14+(G36)*1.19*0.27,0)</f>
        <v>3090</v>
      </c>
      <c r="H42" s="14">
        <v>0</v>
      </c>
      <c r="I42" s="13">
        <f>ROUND(I16*1.19*0.14+(I36)*1.19*0.27,0)</f>
        <v>0</v>
      </c>
      <c r="J42" s="64"/>
      <c r="K42" s="13">
        <f>ROUND(K16*1.19*0.14+(K36)*1.19*0.27,0)</f>
        <v>0</v>
      </c>
      <c r="L42" s="64">
        <v>0</v>
      </c>
      <c r="M42" s="13">
        <f>ROUND(M16*1.19*0.14+(M36)*1.19*0.27,0)</f>
        <v>0</v>
      </c>
      <c r="N42" s="64">
        <v>167</v>
      </c>
      <c r="O42" s="13">
        <f>ROUND((O16+O17)*1.19*0.14+(O36)*1.19*0.27,0)</f>
        <v>133</v>
      </c>
      <c r="P42" s="64">
        <v>16</v>
      </c>
      <c r="Q42" s="13">
        <f>ROUND((Q16+Q17)*1.19*0.14+(Q36)*1.19*0.27,0)</f>
        <v>32</v>
      </c>
      <c r="R42" s="64"/>
      <c r="S42" s="64"/>
      <c r="T42" s="64"/>
      <c r="U42" s="13">
        <f>ROUND((U16+U17)*1.19*0.14+(U36)*1.19*0.27,0)</f>
        <v>13</v>
      </c>
    </row>
    <row r="43" spans="1:21" s="15" customFormat="1" ht="11.45" customHeight="1" x14ac:dyDescent="0.25">
      <c r="A43" s="11"/>
      <c r="B43" s="11"/>
      <c r="C43" s="12" t="s">
        <v>62</v>
      </c>
      <c r="D43" s="13">
        <f t="shared" si="7"/>
        <v>3545</v>
      </c>
      <c r="E43" s="13">
        <f t="shared" si="7"/>
        <v>3545</v>
      </c>
      <c r="F43" s="14">
        <v>3545</v>
      </c>
      <c r="G43" s="14">
        <v>3545</v>
      </c>
      <c r="H43" s="14">
        <v>0</v>
      </c>
      <c r="I43" s="51"/>
      <c r="J43" s="64"/>
      <c r="K43" s="79"/>
      <c r="L43" s="64">
        <v>0</v>
      </c>
      <c r="M43" s="79">
        <v>0</v>
      </c>
      <c r="N43" s="64"/>
      <c r="O43" s="79"/>
      <c r="P43" s="64"/>
      <c r="Q43" s="79"/>
      <c r="R43" s="64"/>
      <c r="S43" s="64"/>
      <c r="T43" s="64"/>
      <c r="U43" s="14"/>
    </row>
    <row r="44" spans="1:21" s="15" customFormat="1" ht="11.45" customHeight="1" x14ac:dyDescent="0.25">
      <c r="A44" s="11"/>
      <c r="B44" s="11"/>
      <c r="C44" s="12" t="s">
        <v>63</v>
      </c>
      <c r="D44" s="13">
        <f t="shared" si="7"/>
        <v>3081</v>
      </c>
      <c r="E44" s="13">
        <f t="shared" si="7"/>
        <v>3087</v>
      </c>
      <c r="F44" s="14">
        <v>2873</v>
      </c>
      <c r="G44" s="14">
        <f>ROUND((G37+G17+G18)*1.19*0.16,0)</f>
        <v>2909</v>
      </c>
      <c r="H44" s="14">
        <v>0</v>
      </c>
      <c r="I44" s="14">
        <f>ROUND((I37+I17)*1.19*0.16,0)</f>
        <v>0</v>
      </c>
      <c r="J44" s="64"/>
      <c r="K44" s="14">
        <f>ROUND((K37+K17)*1.19*0.16,0)</f>
        <v>0</v>
      </c>
      <c r="L44" s="64">
        <v>0</v>
      </c>
      <c r="M44" s="14">
        <f>ROUND((M37+M17)*1.19*0.16,0)</f>
        <v>0</v>
      </c>
      <c r="N44" s="64">
        <v>190</v>
      </c>
      <c r="O44" s="14">
        <f>ROUND((O37+O17+O18)*1.19*0.16,0)</f>
        <v>152</v>
      </c>
      <c r="P44" s="64">
        <v>18</v>
      </c>
      <c r="Q44" s="14">
        <f>ROUND((Q37+Q17+Q18)*1.19*0.16,0)</f>
        <v>18</v>
      </c>
      <c r="R44" s="64"/>
      <c r="S44" s="64"/>
      <c r="T44" s="64"/>
      <c r="U44" s="14">
        <f>ROUND((U37+U17+U18)*1.19*0.16,0)</f>
        <v>8</v>
      </c>
    </row>
    <row r="45" spans="1:21" s="3" customFormat="1" ht="12.75" customHeight="1" x14ac:dyDescent="0.25">
      <c r="A45" s="20" t="s">
        <v>64</v>
      </c>
      <c r="B45" s="20" t="s">
        <v>65</v>
      </c>
      <c r="C45" s="21" t="s">
        <v>287</v>
      </c>
      <c r="D45" s="22">
        <f>D41+D42+D43+D44</f>
        <v>89284</v>
      </c>
      <c r="E45" s="22">
        <f>E41+E42+E43+E44</f>
        <v>81906</v>
      </c>
      <c r="F45" s="22">
        <f t="shared" ref="F45:Q45" si="8">F41+F42+F43+F44</f>
        <v>75989</v>
      </c>
      <c r="G45" s="22">
        <f t="shared" si="8"/>
        <v>77447</v>
      </c>
      <c r="H45" s="22">
        <f t="shared" si="8"/>
        <v>1782</v>
      </c>
      <c r="I45" s="53">
        <f t="shared" si="8"/>
        <v>0</v>
      </c>
      <c r="J45" s="53">
        <f t="shared" si="8"/>
        <v>425</v>
      </c>
      <c r="K45" s="53">
        <f t="shared" si="8"/>
        <v>0</v>
      </c>
      <c r="L45" s="22">
        <f t="shared" si="8"/>
        <v>6078</v>
      </c>
      <c r="M45" s="22">
        <f t="shared" si="8"/>
        <v>0</v>
      </c>
      <c r="N45" s="22">
        <f t="shared" si="8"/>
        <v>4133</v>
      </c>
      <c r="O45" s="22">
        <f t="shared" si="8"/>
        <v>3545</v>
      </c>
      <c r="P45" s="22">
        <f t="shared" si="8"/>
        <v>877</v>
      </c>
      <c r="Q45" s="22">
        <f t="shared" si="8"/>
        <v>893</v>
      </c>
      <c r="R45" s="22">
        <f>R41+R42+R43+R44</f>
        <v>0</v>
      </c>
      <c r="S45" s="22">
        <f>S41+S42+S43+S44</f>
        <v>0</v>
      </c>
      <c r="T45" s="22">
        <f>T41+T42+T43+T44</f>
        <v>0</v>
      </c>
      <c r="U45" s="22">
        <f>U41+U42+U43+U44</f>
        <v>21</v>
      </c>
    </row>
    <row r="46" spans="1:21" s="3" customFormat="1" ht="14.1" customHeight="1" x14ac:dyDescent="0.25">
      <c r="A46" s="1034" t="s">
        <v>66</v>
      </c>
      <c r="B46" s="1035"/>
      <c r="C46" s="1036"/>
      <c r="D46" s="84">
        <f>D40+D45</f>
        <v>449554</v>
      </c>
      <c r="E46" s="84">
        <f>E40+E45</f>
        <v>374460</v>
      </c>
      <c r="F46" s="84">
        <f t="shared" ref="F46:Q46" si="9">F40+F45</f>
        <v>386882</v>
      </c>
      <c r="G46" s="84">
        <f t="shared" si="9"/>
        <v>353337</v>
      </c>
      <c r="H46" s="84">
        <f t="shared" si="9"/>
        <v>8532</v>
      </c>
      <c r="I46" s="85">
        <f t="shared" si="9"/>
        <v>0</v>
      </c>
      <c r="J46" s="85">
        <f t="shared" si="9"/>
        <v>2028</v>
      </c>
      <c r="K46" s="85">
        <f t="shared" si="9"/>
        <v>0</v>
      </c>
      <c r="L46" s="84">
        <f t="shared" si="9"/>
        <v>28590</v>
      </c>
      <c r="M46" s="84">
        <f t="shared" si="9"/>
        <v>0</v>
      </c>
      <c r="N46" s="84">
        <f t="shared" si="9"/>
        <v>19415</v>
      </c>
      <c r="O46" s="84">
        <f t="shared" si="9"/>
        <v>16937</v>
      </c>
      <c r="P46" s="84">
        <f t="shared" si="9"/>
        <v>4107</v>
      </c>
      <c r="Q46" s="84">
        <f t="shared" si="9"/>
        <v>4125</v>
      </c>
      <c r="R46" s="84">
        <f>R40+R45</f>
        <v>0</v>
      </c>
      <c r="S46" s="84">
        <f>S40+S45</f>
        <v>0</v>
      </c>
      <c r="T46" s="84">
        <f>T40+T45</f>
        <v>0</v>
      </c>
      <c r="U46" s="84">
        <f>U40+U45</f>
        <v>61</v>
      </c>
    </row>
    <row r="47" spans="1:21" s="3" customFormat="1" ht="14.1" customHeight="1" x14ac:dyDescent="0.2">
      <c r="A47" s="73"/>
      <c r="B47" s="73"/>
      <c r="C47" s="73"/>
      <c r="D47" s="73"/>
      <c r="E47" s="73"/>
      <c r="F47" s="73"/>
      <c r="G47" s="73"/>
      <c r="H47" s="73"/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</row>
    <row r="48" spans="1:21" s="3" customFormat="1" ht="14.1" customHeight="1" x14ac:dyDescent="0.2">
      <c r="A48" s="73"/>
      <c r="B48" s="73"/>
      <c r="C48" s="73"/>
      <c r="D48" s="73"/>
      <c r="E48" s="73"/>
      <c r="F48" s="73"/>
      <c r="G48" s="73"/>
      <c r="H48" s="73"/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</row>
    <row r="49" spans="1:21" s="3" customFormat="1" ht="14.1" customHeight="1" x14ac:dyDescent="0.2">
      <c r="A49" s="87"/>
      <c r="B49" s="87"/>
      <c r="C49" s="87"/>
      <c r="D49" s="87"/>
      <c r="E49" s="87"/>
      <c r="F49" s="87"/>
      <c r="G49" s="87"/>
      <c r="H49" s="87"/>
      <c r="I49" s="87"/>
      <c r="J49" s="87"/>
      <c r="K49" s="87"/>
      <c r="L49" s="87"/>
      <c r="M49" s="87"/>
      <c r="N49" s="87"/>
      <c r="O49" s="87"/>
      <c r="P49" s="87"/>
      <c r="Q49" s="87"/>
      <c r="R49" s="87"/>
      <c r="S49" s="87"/>
      <c r="T49" s="87"/>
      <c r="U49" s="87"/>
    </row>
    <row r="50" spans="1:21" s="1" customFormat="1" ht="12.75" customHeight="1" x14ac:dyDescent="0.25">
      <c r="A50" s="1001" t="s">
        <v>606</v>
      </c>
      <c r="B50" s="1002"/>
      <c r="C50" s="1002"/>
      <c r="D50" s="1002"/>
      <c r="E50" s="1002"/>
      <c r="F50" s="1002"/>
      <c r="G50" s="1002"/>
      <c r="H50" s="1002"/>
      <c r="I50" s="1002"/>
      <c r="J50" s="1002"/>
      <c r="K50" s="1002"/>
      <c r="L50" s="1002"/>
      <c r="M50" s="1002"/>
      <c r="N50" s="1002" t="s">
        <v>606</v>
      </c>
      <c r="O50" s="1002"/>
      <c r="P50" s="1002"/>
      <c r="Q50" s="1002"/>
      <c r="R50" s="1002"/>
      <c r="S50" s="1002"/>
      <c r="T50" s="1002"/>
      <c r="U50" s="1003"/>
    </row>
    <row r="51" spans="1:21" s="1" customFormat="1" ht="14.1" customHeight="1" x14ac:dyDescent="0.25">
      <c r="A51" s="1027" t="s">
        <v>0</v>
      </c>
      <c r="B51" s="1028" t="s">
        <v>1</v>
      </c>
      <c r="C51" s="1027" t="s">
        <v>2</v>
      </c>
      <c r="D51" s="970" t="s">
        <v>260</v>
      </c>
      <c r="E51" s="1030" t="s">
        <v>259</v>
      </c>
      <c r="F51" s="1025" t="s">
        <v>607</v>
      </c>
      <c r="G51" s="1029"/>
      <c r="H51" s="1025" t="s">
        <v>608</v>
      </c>
      <c r="I51" s="1026"/>
      <c r="J51" s="1037" t="s">
        <v>609</v>
      </c>
      <c r="K51" s="1023"/>
      <c r="L51" s="1040" t="s">
        <v>646</v>
      </c>
      <c r="M51" s="1040"/>
      <c r="N51" s="1031" t="s">
        <v>610</v>
      </c>
      <c r="O51" s="1032"/>
      <c r="P51" s="1031" t="s">
        <v>611</v>
      </c>
      <c r="Q51" s="1032"/>
      <c r="R51" s="1038" t="s">
        <v>612</v>
      </c>
      <c r="S51" s="1039"/>
      <c r="T51" s="1038" t="s">
        <v>613</v>
      </c>
      <c r="U51" s="1039"/>
    </row>
    <row r="52" spans="1:21" s="3" customFormat="1" ht="33" customHeight="1" x14ac:dyDescent="0.25">
      <c r="A52" s="974"/>
      <c r="B52" s="975"/>
      <c r="C52" s="974"/>
      <c r="D52" s="976"/>
      <c r="E52" s="970"/>
      <c r="F52" s="2" t="s">
        <v>263</v>
      </c>
      <c r="G52" s="2" t="s">
        <v>259</v>
      </c>
      <c r="H52" s="2" t="s">
        <v>260</v>
      </c>
      <c r="I52" s="48" t="s">
        <v>259</v>
      </c>
      <c r="J52" s="60" t="s">
        <v>260</v>
      </c>
      <c r="K52" s="75" t="s">
        <v>259</v>
      </c>
      <c r="L52" s="127" t="s">
        <v>260</v>
      </c>
      <c r="M52" s="127" t="s">
        <v>259</v>
      </c>
      <c r="N52" s="82" t="s">
        <v>260</v>
      </c>
      <c r="O52" s="83" t="s">
        <v>259</v>
      </c>
      <c r="P52" s="82" t="s">
        <v>260</v>
      </c>
      <c r="Q52" s="83" t="s">
        <v>259</v>
      </c>
      <c r="R52" s="121" t="s">
        <v>260</v>
      </c>
      <c r="S52" s="122" t="s">
        <v>259</v>
      </c>
      <c r="T52" s="121" t="s">
        <v>260</v>
      </c>
      <c r="U52" s="122" t="s">
        <v>259</v>
      </c>
    </row>
    <row r="53" spans="1:21" ht="5.65" customHeight="1" x14ac:dyDescent="0.25">
      <c r="J53" s="61"/>
      <c r="K53" s="76"/>
      <c r="L53" s="61"/>
      <c r="M53" s="76"/>
      <c r="N53" s="61"/>
      <c r="O53" s="61"/>
      <c r="P53" s="61"/>
      <c r="Q53" s="61"/>
      <c r="R53" s="61"/>
      <c r="S53" s="61"/>
      <c r="T53" s="61"/>
      <c r="U53" s="61"/>
    </row>
    <row r="54" spans="1:21" ht="14.1" customHeight="1" x14ac:dyDescent="0.25">
      <c r="A54" s="973" t="s">
        <v>288</v>
      </c>
      <c r="B54" s="973"/>
      <c r="C54" s="973"/>
      <c r="D54" s="973"/>
      <c r="E54" s="973"/>
      <c r="F54" s="973"/>
      <c r="G54" s="973"/>
      <c r="H54" s="973"/>
      <c r="I54" s="973"/>
      <c r="J54" s="62"/>
      <c r="K54" s="77"/>
      <c r="L54" s="62"/>
      <c r="M54" s="77"/>
      <c r="N54" s="62"/>
      <c r="O54" s="62"/>
      <c r="P54" s="62"/>
      <c r="Q54" s="62"/>
      <c r="R54" s="62"/>
      <c r="S54" s="62"/>
      <c r="T54" s="62"/>
      <c r="U54" s="62"/>
    </row>
    <row r="55" spans="1:21" s="3" customFormat="1" ht="14.1" customHeight="1" x14ac:dyDescent="0.25">
      <c r="A55" s="7" t="s">
        <v>67</v>
      </c>
      <c r="B55" s="7" t="s">
        <v>68</v>
      </c>
      <c r="C55" s="8" t="s">
        <v>69</v>
      </c>
      <c r="D55" s="9">
        <f>F55+H55+J55+L55+N55+P55+R55+T55</f>
        <v>1650</v>
      </c>
      <c r="E55" s="9">
        <f>G55+I55+K55+M55+O55+Q55+S55+U55</f>
        <v>400</v>
      </c>
      <c r="F55" s="10">
        <f>SUM(F56:F61)</f>
        <v>1650</v>
      </c>
      <c r="G55" s="10">
        <f>SUM(G56:G61)</f>
        <v>400</v>
      </c>
      <c r="H55" s="10">
        <v>0</v>
      </c>
      <c r="I55" s="50"/>
      <c r="J55" s="50">
        <v>0</v>
      </c>
      <c r="K55" s="50"/>
      <c r="L55" s="63">
        <v>0</v>
      </c>
      <c r="M55" s="63">
        <v>0</v>
      </c>
      <c r="N55" s="50">
        <v>0</v>
      </c>
      <c r="O55" s="63">
        <v>0</v>
      </c>
      <c r="P55" s="63">
        <f>SUM(P56:P61)</f>
        <v>0</v>
      </c>
      <c r="Q55" s="63">
        <v>0</v>
      </c>
      <c r="R55" s="63">
        <v>0</v>
      </c>
      <c r="S55" s="63">
        <v>0</v>
      </c>
      <c r="T55" s="63">
        <f>SUM(T56:T61)</f>
        <v>0</v>
      </c>
      <c r="U55" s="63">
        <f>SUM(U56:U61)</f>
        <v>0</v>
      </c>
    </row>
    <row r="56" spans="1:21" ht="14.1" customHeight="1" x14ac:dyDescent="0.25">
      <c r="A56" s="24"/>
      <c r="B56" s="24"/>
      <c r="C56" s="25" t="s">
        <v>70</v>
      </c>
      <c r="D56" s="26"/>
      <c r="E56" s="26"/>
      <c r="F56" s="26"/>
      <c r="G56" s="26"/>
      <c r="H56" s="26"/>
      <c r="I56" s="56"/>
      <c r="J56" s="61"/>
      <c r="K56" s="76"/>
      <c r="L56" s="61"/>
      <c r="M56" s="76"/>
      <c r="N56" s="61"/>
      <c r="O56" s="61"/>
      <c r="P56" s="61"/>
      <c r="Q56" s="61"/>
      <c r="R56" s="61"/>
      <c r="S56" s="61"/>
      <c r="T56" s="61"/>
      <c r="U56" s="61"/>
    </row>
    <row r="57" spans="1:21" ht="14.1" customHeight="1" x14ac:dyDescent="0.25">
      <c r="A57" s="24"/>
      <c r="B57" s="24"/>
      <c r="C57" s="25" t="s">
        <v>71</v>
      </c>
      <c r="D57" s="26"/>
      <c r="E57" s="26"/>
      <c r="F57" s="26"/>
      <c r="G57" s="26"/>
      <c r="H57" s="26"/>
      <c r="I57" s="56"/>
      <c r="J57" s="61"/>
      <c r="K57" s="76"/>
      <c r="L57" s="61"/>
      <c r="M57" s="76"/>
      <c r="N57" s="61"/>
      <c r="O57" s="61"/>
      <c r="P57" s="61"/>
      <c r="Q57" s="61"/>
      <c r="R57" s="61"/>
      <c r="S57" s="61"/>
      <c r="T57" s="61"/>
      <c r="U57" s="61"/>
    </row>
    <row r="58" spans="1:21" ht="14.1" customHeight="1" x14ac:dyDescent="0.25">
      <c r="A58" s="24"/>
      <c r="B58" s="24"/>
      <c r="C58" s="25" t="s">
        <v>72</v>
      </c>
      <c r="D58" s="26"/>
      <c r="E58" s="26"/>
      <c r="F58" s="26">
        <v>150</v>
      </c>
      <c r="G58" s="26">
        <v>100</v>
      </c>
      <c r="H58" s="26"/>
      <c r="I58" s="56"/>
      <c r="J58" s="61"/>
      <c r="K58" s="76"/>
      <c r="L58" s="61"/>
      <c r="M58" s="76"/>
      <c r="N58" s="61"/>
      <c r="O58" s="61"/>
      <c r="P58" s="61"/>
      <c r="Q58" s="61"/>
      <c r="R58" s="61"/>
      <c r="S58" s="61"/>
      <c r="T58" s="61"/>
      <c r="U58" s="61"/>
    </row>
    <row r="59" spans="1:21" ht="14.1" customHeight="1" x14ac:dyDescent="0.25">
      <c r="A59" s="24"/>
      <c r="B59" s="24"/>
      <c r="C59" s="25" t="s">
        <v>73</v>
      </c>
      <c r="D59" s="26"/>
      <c r="E59" s="26"/>
      <c r="F59" s="26">
        <v>100</v>
      </c>
      <c r="G59" s="26">
        <v>200</v>
      </c>
      <c r="H59" s="26"/>
      <c r="I59" s="56"/>
      <c r="J59" s="61"/>
      <c r="K59" s="76"/>
      <c r="L59" s="61"/>
      <c r="M59" s="76"/>
      <c r="N59" s="61"/>
      <c r="O59" s="61"/>
      <c r="P59" s="61"/>
      <c r="Q59" s="61"/>
      <c r="R59" s="61"/>
      <c r="S59" s="61"/>
      <c r="T59" s="61"/>
      <c r="U59" s="61"/>
    </row>
    <row r="60" spans="1:21" ht="14.1" customHeight="1" x14ac:dyDescent="0.25">
      <c r="A60" s="24"/>
      <c r="B60" s="24"/>
      <c r="C60" s="25" t="s">
        <v>74</v>
      </c>
      <c r="D60" s="26"/>
      <c r="E60" s="26"/>
      <c r="F60" s="26">
        <v>1350</v>
      </c>
      <c r="G60" s="26">
        <v>50</v>
      </c>
      <c r="H60" s="26"/>
      <c r="I60" s="56"/>
      <c r="J60" s="61"/>
      <c r="K60" s="76"/>
      <c r="L60" s="61"/>
      <c r="M60" s="76"/>
      <c r="N60" s="61"/>
      <c r="O60" s="61"/>
      <c r="P60" s="61"/>
      <c r="Q60" s="61"/>
      <c r="R60" s="61"/>
      <c r="S60" s="61"/>
      <c r="T60" s="61"/>
      <c r="U60" s="61"/>
    </row>
    <row r="61" spans="1:21" ht="14.1" customHeight="1" x14ac:dyDescent="0.25">
      <c r="A61" s="24"/>
      <c r="B61" s="24"/>
      <c r="C61" s="25" t="s">
        <v>75</v>
      </c>
      <c r="D61" s="26"/>
      <c r="E61" s="26"/>
      <c r="F61" s="26">
        <v>50</v>
      </c>
      <c r="G61" s="26">
        <v>50</v>
      </c>
      <c r="H61" s="26"/>
      <c r="I61" s="56"/>
      <c r="J61" s="61"/>
      <c r="K61" s="76"/>
      <c r="L61" s="61"/>
      <c r="M61" s="76"/>
      <c r="N61" s="61"/>
      <c r="O61" s="61"/>
      <c r="P61" s="61"/>
      <c r="Q61" s="61"/>
      <c r="R61" s="61"/>
      <c r="S61" s="61"/>
      <c r="T61" s="61"/>
      <c r="U61" s="61"/>
    </row>
    <row r="62" spans="1:21" s="3" customFormat="1" ht="14.1" customHeight="1" x14ac:dyDescent="0.25">
      <c r="A62" s="7" t="s">
        <v>76</v>
      </c>
      <c r="B62" s="7" t="s">
        <v>77</v>
      </c>
      <c r="C62" s="8" t="s">
        <v>78</v>
      </c>
      <c r="D62" s="9">
        <f>F62+H62+J62+L62+N62+P62+R62+T62</f>
        <v>7530</v>
      </c>
      <c r="E62" s="9">
        <f>G62+I62+K62+M62+O62+Q62+S62+U62</f>
        <v>8370</v>
      </c>
      <c r="F62" s="10">
        <f>SUM(F63:F68)</f>
        <v>6000</v>
      </c>
      <c r="G62" s="10">
        <f>SUM(G63:G68)</f>
        <v>6600</v>
      </c>
      <c r="H62" s="10">
        <v>0</v>
      </c>
      <c r="I62" s="50"/>
      <c r="J62" s="50">
        <v>0</v>
      </c>
      <c r="K62" s="50"/>
      <c r="L62" s="63">
        <v>0</v>
      </c>
      <c r="M62" s="63">
        <v>0</v>
      </c>
      <c r="N62" s="10">
        <f>SUM(N63:N68)</f>
        <v>950</v>
      </c>
      <c r="O62" s="10">
        <f>SUM(O63:O68)</f>
        <v>1000</v>
      </c>
      <c r="P62" s="63">
        <f>SUM(P63:P68)</f>
        <v>420</v>
      </c>
      <c r="Q62" s="63">
        <f>SUM(Q63:Q68)</f>
        <v>300</v>
      </c>
      <c r="R62" s="63">
        <v>0</v>
      </c>
      <c r="S62" s="63">
        <v>0</v>
      </c>
      <c r="T62" s="63">
        <f>SUM(T63:T68)</f>
        <v>160</v>
      </c>
      <c r="U62" s="63">
        <f>SUM(U63:U68)</f>
        <v>470</v>
      </c>
    </row>
    <row r="63" spans="1:21" ht="14.1" customHeight="1" x14ac:dyDescent="0.25">
      <c r="A63" s="24"/>
      <c r="B63" s="24"/>
      <c r="C63" s="25" t="s">
        <v>79</v>
      </c>
      <c r="D63" s="26"/>
      <c r="E63" s="26"/>
      <c r="F63" s="26"/>
      <c r="G63" s="26"/>
      <c r="H63" s="26"/>
      <c r="I63" s="56"/>
      <c r="J63" s="61"/>
      <c r="K63" s="76"/>
      <c r="L63" s="61"/>
      <c r="M63" s="76"/>
      <c r="N63" s="61"/>
      <c r="O63" s="61"/>
      <c r="P63" s="61"/>
      <c r="Q63" s="61"/>
      <c r="R63" s="61"/>
      <c r="S63" s="61"/>
      <c r="T63" s="61"/>
      <c r="U63" s="61"/>
    </row>
    <row r="64" spans="1:21" ht="14.1" customHeight="1" x14ac:dyDescent="0.25">
      <c r="A64" s="24"/>
      <c r="B64" s="24"/>
      <c r="C64" s="25" t="s">
        <v>80</v>
      </c>
      <c r="D64" s="26"/>
      <c r="E64" s="26"/>
      <c r="F64" s="26">
        <v>2550</v>
      </c>
      <c r="G64" s="26">
        <v>3500</v>
      </c>
      <c r="H64" s="26"/>
      <c r="I64" s="56"/>
      <c r="J64" s="61"/>
      <c r="K64" s="76"/>
      <c r="L64" s="61"/>
      <c r="M64" s="76"/>
      <c r="N64" s="61"/>
      <c r="O64" s="61"/>
      <c r="P64" s="61"/>
      <c r="Q64" s="61"/>
      <c r="R64" s="61"/>
      <c r="S64" s="61"/>
      <c r="T64" s="61">
        <v>150</v>
      </c>
      <c r="U64" s="61">
        <v>150</v>
      </c>
    </row>
    <row r="65" spans="1:21" ht="14.1" customHeight="1" x14ac:dyDescent="0.25">
      <c r="A65" s="24"/>
      <c r="B65" s="24"/>
      <c r="C65" s="25" t="s">
        <v>81</v>
      </c>
      <c r="D65" s="26"/>
      <c r="E65" s="26"/>
      <c r="F65" s="26"/>
      <c r="G65" s="26"/>
      <c r="H65" s="26"/>
      <c r="I65" s="56"/>
      <c r="J65" s="61"/>
      <c r="K65" s="76"/>
      <c r="L65" s="61"/>
      <c r="M65" s="76"/>
      <c r="N65" s="61"/>
      <c r="O65" s="61"/>
      <c r="P65" s="61"/>
      <c r="Q65" s="61"/>
      <c r="R65" s="61"/>
      <c r="S65" s="61"/>
      <c r="T65" s="61"/>
      <c r="U65" s="61"/>
    </row>
    <row r="66" spans="1:21" ht="14.1" customHeight="1" x14ac:dyDescent="0.25">
      <c r="A66" s="24"/>
      <c r="B66" s="24"/>
      <c r="C66" s="25" t="s">
        <v>82</v>
      </c>
      <c r="D66" s="26"/>
      <c r="E66" s="26"/>
      <c r="F66" s="26">
        <v>950</v>
      </c>
      <c r="G66" s="26">
        <v>1500</v>
      </c>
      <c r="H66" s="26"/>
      <c r="I66" s="56"/>
      <c r="J66" s="61"/>
      <c r="K66" s="76"/>
      <c r="L66" s="61"/>
      <c r="M66" s="76"/>
      <c r="N66" s="61">
        <v>500</v>
      </c>
      <c r="O66" s="61">
        <v>500</v>
      </c>
      <c r="P66" s="61">
        <v>300</v>
      </c>
      <c r="Q66" s="61">
        <v>150</v>
      </c>
      <c r="R66" s="61"/>
      <c r="S66" s="61"/>
      <c r="T66" s="61"/>
      <c r="U66" s="61"/>
    </row>
    <row r="67" spans="1:21" ht="14.1" customHeight="1" x14ac:dyDescent="0.25">
      <c r="A67" s="24"/>
      <c r="B67" s="24"/>
      <c r="C67" s="25" t="s">
        <v>83</v>
      </c>
      <c r="D67" s="26"/>
      <c r="E67" s="26"/>
      <c r="F67" s="26"/>
      <c r="G67" s="26"/>
      <c r="H67" s="26"/>
      <c r="I67" s="56"/>
      <c r="J67" s="61"/>
      <c r="K67" s="76"/>
      <c r="L67" s="61"/>
      <c r="M67" s="76"/>
      <c r="N67" s="61">
        <v>400</v>
      </c>
      <c r="O67" s="61">
        <v>400</v>
      </c>
      <c r="P67" s="61">
        <v>100</v>
      </c>
      <c r="Q67" s="61">
        <v>100</v>
      </c>
      <c r="R67" s="61"/>
      <c r="S67" s="61"/>
      <c r="T67" s="61"/>
      <c r="U67" s="61">
        <v>300</v>
      </c>
    </row>
    <row r="68" spans="1:21" ht="14.1" customHeight="1" x14ac:dyDescent="0.25">
      <c r="A68" s="24"/>
      <c r="B68" s="24"/>
      <c r="C68" s="25" t="s">
        <v>84</v>
      </c>
      <c r="D68" s="26"/>
      <c r="E68" s="26"/>
      <c r="F68" s="26">
        <v>2500</v>
      </c>
      <c r="G68" s="26">
        <v>1600</v>
      </c>
      <c r="H68" s="26"/>
      <c r="I68" s="56"/>
      <c r="J68" s="61"/>
      <c r="K68" s="76"/>
      <c r="L68" s="61"/>
      <c r="M68" s="76"/>
      <c r="N68" s="61">
        <v>50</v>
      </c>
      <c r="O68" s="61">
        <v>100</v>
      </c>
      <c r="P68" s="61">
        <v>20</v>
      </c>
      <c r="Q68" s="61">
        <v>50</v>
      </c>
      <c r="R68" s="61"/>
      <c r="S68" s="61"/>
      <c r="T68" s="61">
        <v>10</v>
      </c>
      <c r="U68" s="61">
        <v>20</v>
      </c>
    </row>
    <row r="69" spans="1:21" s="3" customFormat="1" ht="14.1" customHeight="1" x14ac:dyDescent="0.25">
      <c r="A69" s="7" t="s">
        <v>85</v>
      </c>
      <c r="B69" s="7" t="s">
        <v>86</v>
      </c>
      <c r="C69" s="8" t="s">
        <v>87</v>
      </c>
      <c r="D69" s="9">
        <f>F69+H69+J69+L69+N69+P69+R69+T69</f>
        <v>0</v>
      </c>
      <c r="E69" s="9">
        <f>G69+I69+K69+M69+O69+Q69+S69+U69</f>
        <v>0</v>
      </c>
      <c r="F69" s="10">
        <f>SUM(F70:F71)</f>
        <v>0</v>
      </c>
      <c r="G69" s="10">
        <f>SUM(G70:G71)</f>
        <v>0</v>
      </c>
      <c r="H69" s="10">
        <v>0</v>
      </c>
      <c r="I69" s="50"/>
      <c r="J69" s="50">
        <v>0</v>
      </c>
      <c r="K69" s="50"/>
      <c r="L69" s="50">
        <v>0</v>
      </c>
      <c r="M69" s="50">
        <v>0</v>
      </c>
      <c r="N69" s="50">
        <v>0</v>
      </c>
      <c r="O69" s="50">
        <v>0</v>
      </c>
      <c r="P69" s="50">
        <f>SUM(P70:P71)</f>
        <v>0</v>
      </c>
      <c r="Q69" s="50">
        <f>SUM(Q70:Q71)</f>
        <v>0</v>
      </c>
      <c r="R69" s="50">
        <v>0</v>
      </c>
      <c r="S69" s="63">
        <v>0</v>
      </c>
      <c r="T69" s="50">
        <v>0</v>
      </c>
      <c r="U69" s="50">
        <v>0</v>
      </c>
    </row>
    <row r="70" spans="1:21" ht="14.1" customHeight="1" x14ac:dyDescent="0.25">
      <c r="A70" s="24"/>
      <c r="B70" s="24"/>
      <c r="C70" s="25" t="s">
        <v>88</v>
      </c>
      <c r="D70" s="26"/>
      <c r="E70" s="26"/>
      <c r="F70" s="26"/>
      <c r="G70" s="26"/>
      <c r="H70" s="26"/>
      <c r="I70" s="56"/>
      <c r="J70" s="61"/>
      <c r="K70" s="76"/>
      <c r="L70" s="61"/>
      <c r="M70" s="76"/>
      <c r="N70" s="61"/>
      <c r="O70" s="61"/>
      <c r="P70" s="61"/>
      <c r="Q70" s="61"/>
      <c r="R70" s="61"/>
      <c r="S70" s="61"/>
      <c r="T70" s="61"/>
      <c r="U70" s="61"/>
    </row>
    <row r="71" spans="1:21" ht="14.1" customHeight="1" x14ac:dyDescent="0.25">
      <c r="A71" s="24"/>
      <c r="B71" s="24"/>
      <c r="C71" s="25" t="s">
        <v>89</v>
      </c>
      <c r="D71" s="26"/>
      <c r="E71" s="26"/>
      <c r="F71" s="26"/>
      <c r="G71" s="26"/>
      <c r="H71" s="26"/>
      <c r="I71" s="56"/>
      <c r="J71" s="61"/>
      <c r="K71" s="76"/>
      <c r="L71" s="61"/>
      <c r="M71" s="76"/>
      <c r="N71" s="61"/>
      <c r="O71" s="61"/>
      <c r="P71" s="61"/>
      <c r="Q71" s="61"/>
      <c r="R71" s="61"/>
      <c r="S71" s="61"/>
      <c r="T71" s="61"/>
      <c r="U71" s="61"/>
    </row>
    <row r="72" spans="1:21" s="3" customFormat="1" ht="14.1" customHeight="1" x14ac:dyDescent="0.25">
      <c r="A72" s="16" t="s">
        <v>90</v>
      </c>
      <c r="B72" s="16" t="s">
        <v>91</v>
      </c>
      <c r="C72" s="17" t="s">
        <v>92</v>
      </c>
      <c r="D72" s="19">
        <f>D55+D62</f>
        <v>9180</v>
      </c>
      <c r="E72" s="19">
        <f>E55+E62</f>
        <v>8770</v>
      </c>
      <c r="F72" s="19">
        <f>F55+F62</f>
        <v>7650</v>
      </c>
      <c r="G72" s="19">
        <f t="shared" ref="G72:U72" si="10">G55+G62</f>
        <v>7000</v>
      </c>
      <c r="H72" s="19">
        <f t="shared" si="10"/>
        <v>0</v>
      </c>
      <c r="I72" s="19">
        <f t="shared" si="10"/>
        <v>0</v>
      </c>
      <c r="J72" s="19">
        <f t="shared" si="10"/>
        <v>0</v>
      </c>
      <c r="K72" s="19">
        <f t="shared" si="10"/>
        <v>0</v>
      </c>
      <c r="L72" s="19">
        <f t="shared" si="10"/>
        <v>0</v>
      </c>
      <c r="M72" s="19">
        <f t="shared" si="10"/>
        <v>0</v>
      </c>
      <c r="N72" s="19">
        <f t="shared" si="10"/>
        <v>950</v>
      </c>
      <c r="O72" s="19">
        <f t="shared" si="10"/>
        <v>1000</v>
      </c>
      <c r="P72" s="19">
        <f t="shared" si="10"/>
        <v>420</v>
      </c>
      <c r="Q72" s="19">
        <f t="shared" si="10"/>
        <v>300</v>
      </c>
      <c r="R72" s="19">
        <f t="shared" si="10"/>
        <v>0</v>
      </c>
      <c r="S72" s="19">
        <f t="shared" si="10"/>
        <v>0</v>
      </c>
      <c r="T72" s="19">
        <f t="shared" si="10"/>
        <v>160</v>
      </c>
      <c r="U72" s="19">
        <f t="shared" si="10"/>
        <v>470</v>
      </c>
    </row>
    <row r="73" spans="1:21" s="3" customFormat="1" ht="14.1" customHeight="1" x14ac:dyDescent="0.25">
      <c r="A73" s="7" t="s">
        <v>93</v>
      </c>
      <c r="B73" s="7" t="s">
        <v>94</v>
      </c>
      <c r="C73" s="8" t="s">
        <v>95</v>
      </c>
      <c r="D73" s="9">
        <f>F73+H73+J73+L73+N73+P73+R73+T73</f>
        <v>22253</v>
      </c>
      <c r="E73" s="9">
        <f>G73+I73+K73+M73+O73+Q73+S73+U73</f>
        <v>22192</v>
      </c>
      <c r="F73" s="10">
        <f>SUM(F74:F79)</f>
        <v>20753</v>
      </c>
      <c r="G73" s="10">
        <f>SUM(G74:G79)</f>
        <v>21592</v>
      </c>
      <c r="H73" s="10">
        <v>0</v>
      </c>
      <c r="I73" s="50"/>
      <c r="J73" s="50">
        <v>0</v>
      </c>
      <c r="K73" s="50"/>
      <c r="L73" s="50">
        <v>0</v>
      </c>
      <c r="M73" s="50">
        <v>0</v>
      </c>
      <c r="N73" s="10">
        <f>SUM(N74:N79)</f>
        <v>0</v>
      </c>
      <c r="O73" s="50">
        <v>0</v>
      </c>
      <c r="P73" s="50">
        <f>SUM(P74:P79)</f>
        <v>0</v>
      </c>
      <c r="Q73" s="50">
        <f>SUM(Q74:Q79)</f>
        <v>0</v>
      </c>
      <c r="R73" s="50">
        <v>0</v>
      </c>
      <c r="S73" s="63">
        <v>0</v>
      </c>
      <c r="T73" s="50">
        <f>SUM(T74:T79)</f>
        <v>1500</v>
      </c>
      <c r="U73" s="50">
        <f>SUM(U74:U79)</f>
        <v>600</v>
      </c>
    </row>
    <row r="74" spans="1:21" ht="14.1" customHeight="1" x14ac:dyDescent="0.25">
      <c r="A74" s="24"/>
      <c r="B74" s="24"/>
      <c r="C74" s="25" t="s">
        <v>96</v>
      </c>
      <c r="D74" s="26"/>
      <c r="E74" s="26"/>
      <c r="F74" s="26"/>
      <c r="G74" s="26"/>
      <c r="H74" s="26"/>
      <c r="I74" s="56"/>
      <c r="J74" s="61"/>
      <c r="K74" s="76"/>
      <c r="L74" s="61"/>
      <c r="M74" s="76"/>
      <c r="N74" s="61"/>
      <c r="O74" s="61"/>
      <c r="P74" s="61" t="s">
        <v>619</v>
      </c>
      <c r="Q74" s="61"/>
      <c r="R74" s="61"/>
      <c r="S74" s="61"/>
      <c r="T74" s="61"/>
      <c r="U74" s="61"/>
    </row>
    <row r="75" spans="1:21" ht="14.1" customHeight="1" x14ac:dyDescent="0.25">
      <c r="A75" s="24"/>
      <c r="B75" s="24"/>
      <c r="C75" s="25" t="s">
        <v>97</v>
      </c>
      <c r="D75" s="26"/>
      <c r="E75" s="26"/>
      <c r="F75" s="26">
        <v>12241</v>
      </c>
      <c r="G75" s="26"/>
      <c r="H75" s="26"/>
      <c r="I75" s="56"/>
      <c r="J75" s="61"/>
      <c r="K75" s="76"/>
      <c r="L75" s="61"/>
      <c r="M75" s="76"/>
      <c r="N75" s="61"/>
      <c r="O75" s="61"/>
      <c r="P75" s="61"/>
      <c r="Q75" s="61"/>
      <c r="R75" s="61"/>
      <c r="S75" s="61"/>
      <c r="T75" s="61">
        <v>1500</v>
      </c>
      <c r="U75" s="61">
        <v>600</v>
      </c>
    </row>
    <row r="76" spans="1:21" ht="14.1" customHeight="1" x14ac:dyDescent="0.25">
      <c r="A76" s="24"/>
      <c r="B76" s="24"/>
      <c r="C76" s="25" t="s">
        <v>98</v>
      </c>
      <c r="D76" s="26"/>
      <c r="E76" s="26"/>
      <c r="F76" s="26">
        <v>4752</v>
      </c>
      <c r="G76" s="26"/>
      <c r="H76" s="26"/>
      <c r="I76" s="56"/>
      <c r="J76" s="61"/>
      <c r="K76" s="76"/>
      <c r="L76" s="61"/>
      <c r="M76" s="76"/>
      <c r="N76" s="61"/>
      <c r="O76" s="61"/>
      <c r="P76" s="61"/>
      <c r="Q76" s="61"/>
      <c r="R76" s="61"/>
      <c r="S76" s="61"/>
      <c r="T76" s="61"/>
      <c r="U76" s="61"/>
    </row>
    <row r="77" spans="1:21" ht="14.1" customHeight="1" x14ac:dyDescent="0.25">
      <c r="A77" s="24"/>
      <c r="B77" s="24"/>
      <c r="C77" s="25" t="s">
        <v>99</v>
      </c>
      <c r="D77" s="26"/>
      <c r="E77" s="26"/>
      <c r="F77" s="26">
        <v>200</v>
      </c>
      <c r="G77" s="26"/>
      <c r="H77" s="26"/>
      <c r="I77" s="56"/>
      <c r="J77" s="61"/>
      <c r="K77" s="76"/>
      <c r="L77" s="61"/>
      <c r="M77" s="76"/>
      <c r="N77" s="61"/>
      <c r="O77" s="61"/>
      <c r="P77" s="61"/>
      <c r="Q77" s="61"/>
      <c r="R77" s="61"/>
      <c r="S77" s="61"/>
      <c r="T77" s="61"/>
      <c r="U77" s="61"/>
    </row>
    <row r="78" spans="1:21" ht="14.1" customHeight="1" x14ac:dyDescent="0.25">
      <c r="A78" s="24"/>
      <c r="B78" s="24"/>
      <c r="C78" s="25" t="s">
        <v>100</v>
      </c>
      <c r="D78" s="26"/>
      <c r="E78" s="26"/>
      <c r="F78" s="26">
        <v>3530</v>
      </c>
      <c r="G78" s="26"/>
      <c r="H78" s="26"/>
      <c r="I78" s="56"/>
      <c r="J78" s="61"/>
      <c r="K78" s="76"/>
      <c r="L78" s="61"/>
      <c r="M78" s="76"/>
      <c r="N78" s="61"/>
      <c r="O78" s="61"/>
      <c r="P78" s="61"/>
      <c r="Q78" s="61"/>
      <c r="R78" s="61"/>
      <c r="S78" s="61"/>
      <c r="T78" s="61"/>
      <c r="U78" s="61"/>
    </row>
    <row r="79" spans="1:21" ht="14.1" customHeight="1" x14ac:dyDescent="0.25">
      <c r="A79" s="24"/>
      <c r="B79" s="24"/>
      <c r="C79" s="25" t="s">
        <v>101</v>
      </c>
      <c r="D79" s="26"/>
      <c r="E79" s="26"/>
      <c r="F79" s="26">
        <v>30</v>
      </c>
      <c r="G79" s="26">
        <v>21592</v>
      </c>
      <c r="H79" s="26"/>
      <c r="I79" s="56"/>
      <c r="J79" s="61"/>
      <c r="K79" s="76"/>
      <c r="L79" s="61"/>
      <c r="M79" s="76"/>
      <c r="N79" s="61"/>
      <c r="O79" s="61"/>
      <c r="P79" s="61"/>
      <c r="Q79" s="61"/>
      <c r="R79" s="61"/>
      <c r="S79" s="61"/>
      <c r="T79" s="61"/>
      <c r="U79" s="61"/>
    </row>
    <row r="80" spans="1:21" s="3" customFormat="1" ht="14.1" customHeight="1" x14ac:dyDescent="0.25">
      <c r="A80" s="7" t="s">
        <v>102</v>
      </c>
      <c r="B80" s="7" t="s">
        <v>103</v>
      </c>
      <c r="C80" s="8" t="s">
        <v>104</v>
      </c>
      <c r="D80" s="9">
        <f>F80+H80+J80+L80+N80+P80+R80+T80</f>
        <v>3514</v>
      </c>
      <c r="E80" s="9">
        <f>G80+I80+K80+M80+O80+Q80+S80+U80</f>
        <v>3510</v>
      </c>
      <c r="F80" s="10">
        <f>SUM(F81:F82)</f>
        <v>2684</v>
      </c>
      <c r="G80" s="10">
        <f>SUM(G81:G82)</f>
        <v>2600</v>
      </c>
      <c r="H80" s="10">
        <v>0</v>
      </c>
      <c r="I80" s="50"/>
      <c r="J80" s="50">
        <v>0</v>
      </c>
      <c r="K80" s="50"/>
      <c r="L80" s="50">
        <v>0</v>
      </c>
      <c r="M80" s="50">
        <v>0</v>
      </c>
      <c r="N80" s="10">
        <f>SUM(N81:N82)</f>
        <v>230</v>
      </c>
      <c r="O80" s="10">
        <f>SUM(O81:O82)</f>
        <v>200</v>
      </c>
      <c r="P80" s="50">
        <f>SUM(P81:P82)</f>
        <v>50</v>
      </c>
      <c r="Q80" s="50">
        <f>SUM(Q81:Q82)</f>
        <v>50</v>
      </c>
      <c r="R80" s="50">
        <v>0</v>
      </c>
      <c r="S80" s="63">
        <v>0</v>
      </c>
      <c r="T80" s="50">
        <f>SUM(T81:T82)</f>
        <v>550</v>
      </c>
      <c r="U80" s="50">
        <f>SUM(U81:U82)</f>
        <v>660</v>
      </c>
    </row>
    <row r="81" spans="1:21" ht="14.1" customHeight="1" x14ac:dyDescent="0.25">
      <c r="A81" s="24"/>
      <c r="B81" s="24"/>
      <c r="C81" s="25" t="s">
        <v>105</v>
      </c>
      <c r="D81" s="26"/>
      <c r="E81" s="26"/>
      <c r="F81" s="26">
        <v>2234</v>
      </c>
      <c r="G81" s="26">
        <v>2600</v>
      </c>
      <c r="H81" s="26"/>
      <c r="I81" s="56"/>
      <c r="J81" s="61"/>
      <c r="K81" s="76"/>
      <c r="L81" s="61"/>
      <c r="M81" s="76"/>
      <c r="N81" s="61">
        <v>230</v>
      </c>
      <c r="O81" s="61">
        <v>200</v>
      </c>
      <c r="P81" s="61">
        <v>50</v>
      </c>
      <c r="Q81" s="61">
        <v>50</v>
      </c>
      <c r="R81" s="61"/>
      <c r="S81" s="61"/>
      <c r="T81" s="61">
        <v>550</v>
      </c>
      <c r="U81" s="61">
        <v>660</v>
      </c>
    </row>
    <row r="82" spans="1:21" ht="14.1" customHeight="1" x14ac:dyDescent="0.25">
      <c r="A82" s="24"/>
      <c r="B82" s="24"/>
      <c r="C82" s="25" t="s">
        <v>106</v>
      </c>
      <c r="D82" s="26"/>
      <c r="E82" s="26"/>
      <c r="F82" s="26">
        <v>450</v>
      </c>
      <c r="G82" s="26">
        <v>0</v>
      </c>
      <c r="H82" s="26"/>
      <c r="I82" s="56"/>
      <c r="J82" s="61"/>
      <c r="K82" s="76"/>
      <c r="L82" s="61"/>
      <c r="M82" s="76"/>
      <c r="N82" s="61"/>
      <c r="O82" s="61"/>
      <c r="P82" s="61"/>
      <c r="Q82" s="61"/>
      <c r="R82" s="61"/>
      <c r="S82" s="61"/>
      <c r="T82" s="61"/>
      <c r="U82" s="61"/>
    </row>
    <row r="83" spans="1:21" s="3" customFormat="1" ht="14.1" customHeight="1" x14ac:dyDescent="0.25">
      <c r="A83" s="16" t="s">
        <v>107</v>
      </c>
      <c r="B83" s="16" t="s">
        <v>108</v>
      </c>
      <c r="C83" s="17" t="s">
        <v>109</v>
      </c>
      <c r="D83" s="19">
        <f>D73+D80</f>
        <v>25767</v>
      </c>
      <c r="E83" s="19">
        <f>E73+E80</f>
        <v>25702</v>
      </c>
      <c r="F83" s="19">
        <f>F73+F80</f>
        <v>23437</v>
      </c>
      <c r="G83" s="19">
        <f t="shared" ref="G83:U83" si="11">G73+G80</f>
        <v>24192</v>
      </c>
      <c r="H83" s="19">
        <f t="shared" si="11"/>
        <v>0</v>
      </c>
      <c r="I83" s="19">
        <f t="shared" si="11"/>
        <v>0</v>
      </c>
      <c r="J83" s="19">
        <f t="shared" si="11"/>
        <v>0</v>
      </c>
      <c r="K83" s="19">
        <f t="shared" si="11"/>
        <v>0</v>
      </c>
      <c r="L83" s="19">
        <f t="shared" si="11"/>
        <v>0</v>
      </c>
      <c r="M83" s="19">
        <f t="shared" si="11"/>
        <v>0</v>
      </c>
      <c r="N83" s="19">
        <f t="shared" si="11"/>
        <v>230</v>
      </c>
      <c r="O83" s="19">
        <f t="shared" si="11"/>
        <v>200</v>
      </c>
      <c r="P83" s="19">
        <f t="shared" si="11"/>
        <v>50</v>
      </c>
      <c r="Q83" s="19">
        <f t="shared" si="11"/>
        <v>50</v>
      </c>
      <c r="R83" s="19">
        <f t="shared" si="11"/>
        <v>0</v>
      </c>
      <c r="S83" s="19">
        <f t="shared" si="11"/>
        <v>0</v>
      </c>
      <c r="T83" s="19">
        <f t="shared" si="11"/>
        <v>2050</v>
      </c>
      <c r="U83" s="19">
        <f t="shared" si="11"/>
        <v>1260</v>
      </c>
    </row>
    <row r="84" spans="1:21" s="3" customFormat="1" ht="14.1" customHeight="1" x14ac:dyDescent="0.25">
      <c r="A84" s="7" t="s">
        <v>110</v>
      </c>
      <c r="B84" s="7" t="s">
        <v>111</v>
      </c>
      <c r="C84" s="8" t="s">
        <v>112</v>
      </c>
      <c r="D84" s="9">
        <f>F84+H84+J84+L84+N84+P84+R84+T84</f>
        <v>7850</v>
      </c>
      <c r="E84" s="9">
        <f>G84+I84+K84+M84+O84+Q84+S84+U84</f>
        <v>7750</v>
      </c>
      <c r="F84" s="10">
        <f>SUM(F85:F87)</f>
        <v>7850</v>
      </c>
      <c r="G84" s="10">
        <f>SUM(G85:G87)</f>
        <v>7750</v>
      </c>
      <c r="H84" s="10">
        <v>0</v>
      </c>
      <c r="I84" s="50"/>
      <c r="J84" s="50">
        <v>0</v>
      </c>
      <c r="K84" s="50"/>
      <c r="L84" s="50">
        <v>0</v>
      </c>
      <c r="M84" s="50">
        <v>0</v>
      </c>
      <c r="N84" s="10">
        <f>SUM(N85:N87)</f>
        <v>0</v>
      </c>
      <c r="O84" s="50">
        <v>0</v>
      </c>
      <c r="P84" s="50">
        <f>SUM(P85:P87)</f>
        <v>0</v>
      </c>
      <c r="Q84" s="50">
        <f>SUM(Q85:Q87)</f>
        <v>0</v>
      </c>
      <c r="R84" s="50">
        <v>0</v>
      </c>
      <c r="S84" s="63">
        <v>0</v>
      </c>
      <c r="T84" s="50">
        <f>SUM(T85:T87)</f>
        <v>0</v>
      </c>
      <c r="U84" s="50">
        <f>SUM(U85:U87)</f>
        <v>0</v>
      </c>
    </row>
    <row r="85" spans="1:21" ht="14.1" customHeight="1" x14ac:dyDescent="0.25">
      <c r="A85" s="24"/>
      <c r="B85" s="24"/>
      <c r="C85" s="25" t="s">
        <v>113</v>
      </c>
      <c r="D85" s="26"/>
      <c r="E85" s="26"/>
      <c r="F85" s="26">
        <v>3300</v>
      </c>
      <c r="G85" s="26">
        <v>3300</v>
      </c>
      <c r="H85" s="26"/>
      <c r="I85" s="56"/>
      <c r="J85" s="61"/>
      <c r="K85" s="76"/>
      <c r="L85" s="61"/>
      <c r="M85" s="76"/>
      <c r="N85" s="61"/>
      <c r="O85" s="61"/>
      <c r="P85" s="61"/>
      <c r="Q85" s="61"/>
      <c r="R85" s="61"/>
      <c r="S85" s="61"/>
      <c r="T85" s="61"/>
      <c r="U85" s="61"/>
    </row>
    <row r="86" spans="1:21" ht="14.1" customHeight="1" x14ac:dyDescent="0.25">
      <c r="A86" s="24"/>
      <c r="B86" s="24"/>
      <c r="C86" s="25" t="s">
        <v>114</v>
      </c>
      <c r="D86" s="26"/>
      <c r="E86" s="26"/>
      <c r="F86" s="26">
        <v>4000</v>
      </c>
      <c r="G86" s="26">
        <v>4000</v>
      </c>
      <c r="H86" s="26"/>
      <c r="I86" s="56"/>
      <c r="J86" s="61"/>
      <c r="K86" s="76"/>
      <c r="L86" s="61"/>
      <c r="M86" s="76"/>
      <c r="N86" s="61"/>
      <c r="O86" s="61"/>
      <c r="P86" s="61"/>
      <c r="Q86" s="61"/>
      <c r="R86" s="61"/>
      <c r="S86" s="61"/>
      <c r="T86" s="61"/>
      <c r="U86" s="61"/>
    </row>
    <row r="87" spans="1:21" ht="14.1" customHeight="1" x14ac:dyDescent="0.25">
      <c r="A87" s="24"/>
      <c r="B87" s="24"/>
      <c r="C87" s="25" t="s">
        <v>115</v>
      </c>
      <c r="D87" s="26"/>
      <c r="E87" s="26"/>
      <c r="F87" s="26">
        <v>550</v>
      </c>
      <c r="G87" s="26">
        <v>450</v>
      </c>
      <c r="H87" s="26"/>
      <c r="I87" s="56"/>
      <c r="J87" s="61"/>
      <c r="K87" s="76"/>
      <c r="L87" s="61"/>
      <c r="M87" s="76"/>
      <c r="N87" s="61"/>
      <c r="O87" s="61"/>
      <c r="P87" s="61"/>
      <c r="Q87" s="61"/>
      <c r="R87" s="61"/>
      <c r="S87" s="61"/>
      <c r="T87" s="61"/>
      <c r="U87" s="61"/>
    </row>
    <row r="88" spans="1:21" s="3" customFormat="1" ht="14.1" customHeight="1" x14ac:dyDescent="0.25">
      <c r="A88" s="7" t="s">
        <v>116</v>
      </c>
      <c r="B88" s="7" t="s">
        <v>117</v>
      </c>
      <c r="C88" s="8" t="s">
        <v>118</v>
      </c>
      <c r="D88" s="9">
        <f>F88+H88+J88+L88+N88+P88+R88+T88</f>
        <v>0</v>
      </c>
      <c r="E88" s="9">
        <f>G88+I88+K88+M88+O88+Q88+S88+U88</f>
        <v>0</v>
      </c>
      <c r="F88" s="10">
        <v>0</v>
      </c>
      <c r="G88" s="10">
        <v>0</v>
      </c>
      <c r="H88" s="10">
        <v>0</v>
      </c>
      <c r="I88" s="50"/>
      <c r="J88" s="50">
        <v>0</v>
      </c>
      <c r="K88" s="50"/>
      <c r="L88" s="50">
        <v>0</v>
      </c>
      <c r="M88" s="78">
        <v>0</v>
      </c>
      <c r="N88" s="50">
        <v>0</v>
      </c>
      <c r="O88" s="50">
        <v>0</v>
      </c>
      <c r="P88" s="50">
        <v>0</v>
      </c>
      <c r="Q88" s="63">
        <v>0</v>
      </c>
      <c r="R88" s="50">
        <v>0</v>
      </c>
      <c r="S88" s="63">
        <v>0</v>
      </c>
      <c r="T88" s="50">
        <v>0</v>
      </c>
      <c r="U88" s="50">
        <v>0</v>
      </c>
    </row>
    <row r="89" spans="1:21" s="3" customFormat="1" ht="14.1" customHeight="1" x14ac:dyDescent="0.25">
      <c r="A89" s="7" t="s">
        <v>119</v>
      </c>
      <c r="B89" s="7" t="s">
        <v>120</v>
      </c>
      <c r="C89" s="8" t="s">
        <v>121</v>
      </c>
      <c r="D89" s="9">
        <f>F89+H89+J89+L89+N89+P89+R89+T89</f>
        <v>9290</v>
      </c>
      <c r="E89" s="9">
        <f>G89+I89+K89+M89+O89+Q89+S89+U89</f>
        <v>9115</v>
      </c>
      <c r="F89" s="10">
        <f>SUM(F90:F91)</f>
        <v>9290</v>
      </c>
      <c r="G89" s="10">
        <f>SUM(G90:G91)</f>
        <v>9115</v>
      </c>
      <c r="H89" s="10">
        <v>0</v>
      </c>
      <c r="I89" s="50"/>
      <c r="J89" s="50">
        <v>0</v>
      </c>
      <c r="K89" s="50"/>
      <c r="L89" s="50">
        <v>0</v>
      </c>
      <c r="M89" s="50">
        <v>0</v>
      </c>
      <c r="N89" s="10">
        <f>SUM(N90:N91)</f>
        <v>0</v>
      </c>
      <c r="O89" s="50">
        <v>0</v>
      </c>
      <c r="P89" s="50">
        <f>SUM(P90:P91)</f>
        <v>0</v>
      </c>
      <c r="Q89" s="50">
        <f>SUM(Q90:Q91)</f>
        <v>0</v>
      </c>
      <c r="R89" s="50">
        <v>0</v>
      </c>
      <c r="S89" s="63">
        <v>0</v>
      </c>
      <c r="T89" s="50">
        <f>SUM(T90:T91)</f>
        <v>0</v>
      </c>
      <c r="U89" s="50">
        <f>SUM(U90:U91)</f>
        <v>0</v>
      </c>
    </row>
    <row r="90" spans="1:21" ht="14.1" customHeight="1" x14ac:dyDescent="0.25">
      <c r="A90" s="24"/>
      <c r="B90" s="24"/>
      <c r="C90" s="25" t="s">
        <v>122</v>
      </c>
      <c r="D90" s="26"/>
      <c r="E90" s="26"/>
      <c r="F90" s="26"/>
      <c r="G90" s="26"/>
      <c r="H90" s="26"/>
      <c r="I90" s="56"/>
      <c r="J90" s="61"/>
      <c r="K90" s="76"/>
      <c r="L90" s="61"/>
      <c r="M90" s="76"/>
      <c r="N90" s="61"/>
      <c r="O90" s="61"/>
      <c r="P90" s="61"/>
      <c r="Q90" s="61"/>
      <c r="R90" s="61"/>
      <c r="S90" s="61"/>
      <c r="T90" s="61"/>
      <c r="U90" s="61"/>
    </row>
    <row r="91" spans="1:21" ht="14.1" customHeight="1" x14ac:dyDescent="0.25">
      <c r="A91" s="24"/>
      <c r="B91" s="24"/>
      <c r="C91" s="25" t="s">
        <v>123</v>
      </c>
      <c r="D91" s="26"/>
      <c r="E91" s="26"/>
      <c r="F91" s="26">
        <v>9290</v>
      </c>
      <c r="G91" s="26">
        <v>9115</v>
      </c>
      <c r="H91" s="26"/>
      <c r="I91" s="56"/>
      <c r="J91" s="61"/>
      <c r="K91" s="76"/>
      <c r="L91" s="61"/>
      <c r="M91" s="76"/>
      <c r="N91" s="61"/>
      <c r="O91" s="61"/>
      <c r="P91" s="61"/>
      <c r="Q91" s="61"/>
      <c r="R91" s="61"/>
      <c r="S91" s="61"/>
      <c r="T91" s="61"/>
      <c r="U91" s="61"/>
    </row>
    <row r="92" spans="1:21" s="3" customFormat="1" ht="14.1" customHeight="1" x14ac:dyDescent="0.25">
      <c r="A92" s="7" t="s">
        <v>124</v>
      </c>
      <c r="B92" s="7" t="s">
        <v>125</v>
      </c>
      <c r="C92" s="8" t="s">
        <v>126</v>
      </c>
      <c r="D92" s="9">
        <f>F92+H92+J92+L92+N92+P92+R92+T92</f>
        <v>1650</v>
      </c>
      <c r="E92" s="9">
        <f>G92+I92+K92+M92+O92+Q92+S92+U92</f>
        <v>1895</v>
      </c>
      <c r="F92" s="10">
        <v>1450</v>
      </c>
      <c r="G92" s="10">
        <v>1650</v>
      </c>
      <c r="H92" s="10">
        <v>0</v>
      </c>
      <c r="I92" s="50"/>
      <c r="J92" s="63">
        <v>0</v>
      </c>
      <c r="K92" s="78"/>
      <c r="L92" s="63">
        <v>0</v>
      </c>
      <c r="M92" s="78">
        <v>0</v>
      </c>
      <c r="N92" s="63">
        <v>100</v>
      </c>
      <c r="O92" s="63">
        <f>100+55+40</f>
        <v>195</v>
      </c>
      <c r="P92" s="63">
        <v>100</v>
      </c>
      <c r="Q92" s="63">
        <f>50</f>
        <v>50</v>
      </c>
      <c r="R92" s="63">
        <v>0</v>
      </c>
      <c r="S92" s="63">
        <v>0</v>
      </c>
      <c r="T92" s="63">
        <v>0</v>
      </c>
      <c r="U92" s="63">
        <v>0</v>
      </c>
    </row>
    <row r="93" spans="1:21" s="3" customFormat="1" ht="14.1" customHeight="1" x14ac:dyDescent="0.25">
      <c r="A93" s="7" t="s">
        <v>127</v>
      </c>
      <c r="B93" s="7" t="s">
        <v>128</v>
      </c>
      <c r="C93" s="8" t="s">
        <v>129</v>
      </c>
      <c r="D93" s="9">
        <f>F93+H93+J93+L93+N93+P93+R93+T93</f>
        <v>1160</v>
      </c>
      <c r="E93" s="9">
        <f>G93+I93+K93+M93+O93+Q93+S93+U93</f>
        <v>1160</v>
      </c>
      <c r="F93" s="10">
        <f>SUM(F94:F95)</f>
        <v>1000</v>
      </c>
      <c r="G93" s="10">
        <f>SUM(G94:G95)</f>
        <v>1000</v>
      </c>
      <c r="H93" s="10">
        <v>0</v>
      </c>
      <c r="I93" s="50"/>
      <c r="J93" s="50">
        <v>0</v>
      </c>
      <c r="K93" s="50"/>
      <c r="L93" s="50">
        <v>0</v>
      </c>
      <c r="M93" s="50">
        <v>0</v>
      </c>
      <c r="N93" s="10">
        <f>SUM(N94:N95)</f>
        <v>0</v>
      </c>
      <c r="O93" s="10">
        <f>SUM(O94:O95)</f>
        <v>0</v>
      </c>
      <c r="P93" s="50">
        <f>SUM(P94:P95)</f>
        <v>0</v>
      </c>
      <c r="Q93" s="63">
        <v>0</v>
      </c>
      <c r="R93" s="50">
        <v>0</v>
      </c>
      <c r="S93" s="63">
        <v>0</v>
      </c>
      <c r="T93" s="50">
        <f>SUM(T94:T95)</f>
        <v>160</v>
      </c>
      <c r="U93" s="50">
        <f>SUM(U94:U95)</f>
        <v>160</v>
      </c>
    </row>
    <row r="94" spans="1:21" ht="14.1" customHeight="1" x14ac:dyDescent="0.25">
      <c r="A94" s="24"/>
      <c r="B94" s="24"/>
      <c r="C94" s="25" t="s">
        <v>130</v>
      </c>
      <c r="D94" s="26"/>
      <c r="E94" s="26"/>
      <c r="F94" s="26">
        <v>500</v>
      </c>
      <c r="G94" s="26">
        <v>500</v>
      </c>
      <c r="H94" s="26"/>
      <c r="I94" s="56"/>
      <c r="J94" s="61"/>
      <c r="K94" s="76"/>
      <c r="L94" s="61"/>
      <c r="M94" s="76"/>
      <c r="N94" s="61"/>
      <c r="O94" s="61"/>
      <c r="P94" s="61"/>
      <c r="Q94" s="61"/>
      <c r="R94" s="61"/>
      <c r="S94" s="61"/>
      <c r="T94" s="61"/>
      <c r="U94" s="61"/>
    </row>
    <row r="95" spans="1:21" ht="14.1" customHeight="1" x14ac:dyDescent="0.25">
      <c r="A95" s="24"/>
      <c r="B95" s="24"/>
      <c r="C95" s="25" t="s">
        <v>131</v>
      </c>
      <c r="D95" s="26"/>
      <c r="E95" s="26"/>
      <c r="F95" s="26">
        <v>500</v>
      </c>
      <c r="G95" s="26">
        <v>500</v>
      </c>
      <c r="H95" s="26"/>
      <c r="I95" s="56"/>
      <c r="J95" s="61"/>
      <c r="K95" s="76"/>
      <c r="L95" s="61"/>
      <c r="M95" s="76"/>
      <c r="N95" s="61"/>
      <c r="O95" s="61"/>
      <c r="P95" s="61"/>
      <c r="Q95" s="61"/>
      <c r="R95" s="61"/>
      <c r="S95" s="61"/>
      <c r="T95" s="61">
        <v>160</v>
      </c>
      <c r="U95" s="61">
        <v>160</v>
      </c>
    </row>
    <row r="96" spans="1:21" s="3" customFormat="1" ht="14.1" customHeight="1" x14ac:dyDescent="0.25">
      <c r="A96" s="7" t="s">
        <v>132</v>
      </c>
      <c r="B96" s="7" t="s">
        <v>133</v>
      </c>
      <c r="C96" s="8" t="s">
        <v>134</v>
      </c>
      <c r="D96" s="9">
        <f>F96+H96+J96+L96+N96+P96+R96+T96</f>
        <v>10115</v>
      </c>
      <c r="E96" s="9">
        <f>G96+I96+K96+M96+O96+Q96+S96+U96</f>
        <v>13000</v>
      </c>
      <c r="F96" s="10">
        <f>SUM(F97:F99)</f>
        <v>8490</v>
      </c>
      <c r="G96" s="10">
        <f>SUM(G97:G99)</f>
        <v>13000</v>
      </c>
      <c r="H96" s="10">
        <v>0</v>
      </c>
      <c r="I96" s="50"/>
      <c r="J96" s="50">
        <v>0</v>
      </c>
      <c r="K96" s="50"/>
      <c r="L96" s="50">
        <v>0</v>
      </c>
      <c r="M96" s="50">
        <v>0</v>
      </c>
      <c r="N96" s="10">
        <f>SUM(N97:N99)</f>
        <v>0</v>
      </c>
      <c r="O96" s="10">
        <f>SUM(O97:O99)</f>
        <v>0</v>
      </c>
      <c r="P96" s="50">
        <f>SUM(P97:P99)</f>
        <v>25</v>
      </c>
      <c r="Q96" s="63">
        <v>0</v>
      </c>
      <c r="R96" s="50">
        <v>0</v>
      </c>
      <c r="S96" s="63">
        <v>0</v>
      </c>
      <c r="T96" s="50">
        <f>SUM(T97:T99)</f>
        <v>1600</v>
      </c>
      <c r="U96" s="50">
        <f>SUM(U97:U99)</f>
        <v>0</v>
      </c>
    </row>
    <row r="97" spans="1:21" ht="14.1" customHeight="1" x14ac:dyDescent="0.25">
      <c r="A97" s="24"/>
      <c r="B97" s="24"/>
      <c r="C97" s="25" t="s">
        <v>135</v>
      </c>
      <c r="D97" s="26"/>
      <c r="E97" s="26"/>
      <c r="F97" s="26"/>
      <c r="G97" s="26"/>
      <c r="H97" s="26"/>
      <c r="I97" s="56"/>
      <c r="J97" s="61"/>
      <c r="K97" s="76"/>
      <c r="L97" s="61"/>
      <c r="M97" s="76"/>
      <c r="N97" s="61"/>
      <c r="O97" s="61"/>
      <c r="P97" s="61"/>
      <c r="Q97" s="61"/>
      <c r="R97" s="61"/>
      <c r="S97" s="61"/>
      <c r="T97" s="61"/>
      <c r="U97" s="61"/>
    </row>
    <row r="98" spans="1:21" ht="14.1" customHeight="1" x14ac:dyDescent="0.25">
      <c r="A98" s="24"/>
      <c r="B98" s="24"/>
      <c r="C98" s="25" t="s">
        <v>136</v>
      </c>
      <c r="D98" s="26"/>
      <c r="E98" s="26"/>
      <c r="F98" s="26"/>
      <c r="G98" s="26"/>
      <c r="H98" s="26"/>
      <c r="I98" s="56"/>
      <c r="J98" s="61"/>
      <c r="K98" s="76"/>
      <c r="L98" s="61"/>
      <c r="M98" s="76"/>
      <c r="N98" s="61"/>
      <c r="O98" s="61"/>
      <c r="P98" s="61"/>
      <c r="Q98" s="61"/>
      <c r="R98" s="61"/>
      <c r="S98" s="61"/>
      <c r="T98" s="61"/>
      <c r="U98" s="61"/>
    </row>
    <row r="99" spans="1:21" ht="14.1" customHeight="1" x14ac:dyDescent="0.25">
      <c r="A99" s="24"/>
      <c r="B99" s="24"/>
      <c r="C99" s="25" t="s">
        <v>137</v>
      </c>
      <c r="D99" s="26"/>
      <c r="E99" s="26"/>
      <c r="F99" s="26">
        <v>8490</v>
      </c>
      <c r="G99" s="26">
        <v>13000</v>
      </c>
      <c r="H99" s="26"/>
      <c r="I99" s="56"/>
      <c r="J99" s="61"/>
      <c r="K99" s="76"/>
      <c r="L99" s="61"/>
      <c r="M99" s="76"/>
      <c r="N99" s="61"/>
      <c r="O99" s="61"/>
      <c r="P99" s="61">
        <v>25</v>
      </c>
      <c r="Q99" s="61"/>
      <c r="R99" s="61"/>
      <c r="S99" s="61"/>
      <c r="T99" s="61">
        <v>1600</v>
      </c>
      <c r="U99" s="61">
        <v>0</v>
      </c>
    </row>
    <row r="100" spans="1:21" s="3" customFormat="1" ht="14.1" customHeight="1" x14ac:dyDescent="0.25">
      <c r="A100" s="7" t="s">
        <v>138</v>
      </c>
      <c r="B100" s="7" t="s">
        <v>139</v>
      </c>
      <c r="C100" s="8" t="s">
        <v>140</v>
      </c>
      <c r="D100" s="9">
        <f>F100+H100+J100+L100+N100+P100+R100+T100</f>
        <v>21218</v>
      </c>
      <c r="E100" s="9">
        <f>G100+I100+K100+M100+O100+Q100+S100+U100</f>
        <v>25742</v>
      </c>
      <c r="F100" s="10">
        <f>SUM(F101:F104)</f>
        <v>21023</v>
      </c>
      <c r="G100" s="10">
        <f>SUM(G101:G104)</f>
        <v>23357</v>
      </c>
      <c r="H100" s="10">
        <v>0</v>
      </c>
      <c r="I100" s="50"/>
      <c r="J100" s="50">
        <v>0</v>
      </c>
      <c r="K100" s="50"/>
      <c r="L100" s="50">
        <v>0</v>
      </c>
      <c r="M100" s="50">
        <v>0</v>
      </c>
      <c r="N100" s="10">
        <f>SUM(N101:N104)</f>
        <v>170</v>
      </c>
      <c r="O100" s="10">
        <f>SUM(O101:O104)</f>
        <v>320</v>
      </c>
      <c r="P100" s="50">
        <f>SUM(P101:P104)</f>
        <v>25</v>
      </c>
      <c r="Q100" s="50">
        <f>SUM(Q101:Q104)</f>
        <v>25</v>
      </c>
      <c r="R100" s="50">
        <v>0</v>
      </c>
      <c r="S100" s="63">
        <v>0</v>
      </c>
      <c r="T100" s="50">
        <f>SUM(T101:T104)</f>
        <v>0</v>
      </c>
      <c r="U100" s="50">
        <f>SUM(U101:U104)</f>
        <v>2040</v>
      </c>
    </row>
    <row r="101" spans="1:21" ht="14.1" customHeight="1" x14ac:dyDescent="0.25">
      <c r="A101" s="24"/>
      <c r="B101" s="24"/>
      <c r="C101" s="25" t="s">
        <v>141</v>
      </c>
      <c r="D101" s="26"/>
      <c r="E101" s="26"/>
      <c r="F101" s="26">
        <v>447</v>
      </c>
      <c r="G101" s="26"/>
      <c r="H101" s="26"/>
      <c r="I101" s="56"/>
      <c r="J101" s="61"/>
      <c r="K101" s="76"/>
      <c r="L101" s="61"/>
      <c r="M101" s="76"/>
      <c r="N101" s="61">
        <v>120</v>
      </c>
      <c r="O101" s="61">
        <v>120</v>
      </c>
      <c r="P101" s="61">
        <v>6</v>
      </c>
      <c r="Q101" s="61">
        <v>6</v>
      </c>
      <c r="R101" s="61"/>
      <c r="S101" s="61"/>
      <c r="T101" s="61"/>
      <c r="U101" s="61"/>
    </row>
    <row r="102" spans="1:21" ht="14.1" customHeight="1" x14ac:dyDescent="0.25">
      <c r="A102" s="24"/>
      <c r="B102" s="24"/>
      <c r="C102" s="25" t="s">
        <v>142</v>
      </c>
      <c r="D102" s="26"/>
      <c r="E102" s="26"/>
      <c r="F102" s="26">
        <v>900</v>
      </c>
      <c r="G102" s="26"/>
      <c r="H102" s="26"/>
      <c r="I102" s="56"/>
      <c r="J102" s="61"/>
      <c r="K102" s="76"/>
      <c r="L102" s="61"/>
      <c r="M102" s="76"/>
      <c r="N102" s="61"/>
      <c r="O102" s="61"/>
      <c r="P102" s="61"/>
      <c r="Q102" s="61"/>
      <c r="R102" s="61"/>
      <c r="S102" s="61"/>
      <c r="T102" s="61"/>
      <c r="U102" s="61"/>
    </row>
    <row r="103" spans="1:21" ht="14.1" customHeight="1" x14ac:dyDescent="0.25">
      <c r="A103" s="24"/>
      <c r="B103" s="24"/>
      <c r="C103" s="25" t="s">
        <v>143</v>
      </c>
      <c r="D103" s="26"/>
      <c r="E103" s="26"/>
      <c r="F103" s="26"/>
      <c r="G103" s="26"/>
      <c r="H103" s="26"/>
      <c r="I103" s="56"/>
      <c r="J103" s="61"/>
      <c r="K103" s="76"/>
      <c r="L103" s="61"/>
      <c r="M103" s="76"/>
      <c r="N103" s="61"/>
      <c r="O103" s="61"/>
      <c r="P103" s="61"/>
      <c r="Q103" s="61"/>
      <c r="R103" s="61"/>
      <c r="S103" s="61"/>
      <c r="T103" s="61"/>
      <c r="U103" s="61"/>
    </row>
    <row r="104" spans="1:21" ht="14.1" customHeight="1" x14ac:dyDescent="0.25">
      <c r="A104" s="24"/>
      <c r="B104" s="24"/>
      <c r="C104" s="25" t="s">
        <v>144</v>
      </c>
      <c r="D104" s="26"/>
      <c r="E104" s="26"/>
      <c r="F104" s="26">
        <v>19676</v>
      </c>
      <c r="G104" s="26">
        <v>23357</v>
      </c>
      <c r="H104" s="26"/>
      <c r="I104" s="56"/>
      <c r="J104" s="61"/>
      <c r="K104" s="76"/>
      <c r="L104" s="61"/>
      <c r="M104" s="76"/>
      <c r="N104" s="61">
        <v>50</v>
      </c>
      <c r="O104" s="61">
        <v>200</v>
      </c>
      <c r="P104" s="61">
        <v>19</v>
      </c>
      <c r="Q104" s="61">
        <v>19</v>
      </c>
      <c r="R104" s="61"/>
      <c r="S104" s="61"/>
      <c r="T104" s="61"/>
      <c r="U104" s="61">
        <f>680*3</f>
        <v>2040</v>
      </c>
    </row>
    <row r="105" spans="1:21" s="3" customFormat="1" ht="14.1" customHeight="1" x14ac:dyDescent="0.25">
      <c r="A105" s="16" t="s">
        <v>145</v>
      </c>
      <c r="B105" s="16" t="s">
        <v>146</v>
      </c>
      <c r="C105" s="17" t="s">
        <v>147</v>
      </c>
      <c r="D105" s="19">
        <f>D84+D88+D89+D92+D93+D96+D100</f>
        <v>51283</v>
      </c>
      <c r="E105" s="19">
        <f>E84+E88+E89+E92+E93+E96+E100</f>
        <v>58662</v>
      </c>
      <c r="F105" s="19">
        <f>F84+F88+F89+F92+F93+F96+F100</f>
        <v>49103</v>
      </c>
      <c r="G105" s="19">
        <f t="shared" ref="G105:U105" si="12">G84+G88+G89+G92+G93+G96+G100</f>
        <v>55872</v>
      </c>
      <c r="H105" s="19">
        <f t="shared" si="12"/>
        <v>0</v>
      </c>
      <c r="I105" s="19">
        <f t="shared" si="12"/>
        <v>0</v>
      </c>
      <c r="J105" s="19">
        <f t="shared" si="12"/>
        <v>0</v>
      </c>
      <c r="K105" s="19">
        <f t="shared" si="12"/>
        <v>0</v>
      </c>
      <c r="L105" s="19">
        <f t="shared" si="12"/>
        <v>0</v>
      </c>
      <c r="M105" s="19">
        <f t="shared" si="12"/>
        <v>0</v>
      </c>
      <c r="N105" s="19">
        <f t="shared" si="12"/>
        <v>270</v>
      </c>
      <c r="O105" s="19">
        <f t="shared" si="12"/>
        <v>515</v>
      </c>
      <c r="P105" s="19">
        <f t="shared" si="12"/>
        <v>150</v>
      </c>
      <c r="Q105" s="19">
        <f t="shared" si="12"/>
        <v>75</v>
      </c>
      <c r="R105" s="19">
        <f t="shared" si="12"/>
        <v>0</v>
      </c>
      <c r="S105" s="19">
        <f t="shared" si="12"/>
        <v>0</v>
      </c>
      <c r="T105" s="19">
        <f t="shared" si="12"/>
        <v>1760</v>
      </c>
      <c r="U105" s="19">
        <f t="shared" si="12"/>
        <v>2200</v>
      </c>
    </row>
    <row r="106" spans="1:21" s="3" customFormat="1" ht="14.1" customHeight="1" x14ac:dyDescent="0.25">
      <c r="A106" s="7" t="s">
        <v>148</v>
      </c>
      <c r="B106" s="7" t="s">
        <v>149</v>
      </c>
      <c r="C106" s="8" t="s">
        <v>150</v>
      </c>
      <c r="D106" s="9">
        <f>F106+H106+J106+L106+N106+P106+R106+T106</f>
        <v>460</v>
      </c>
      <c r="E106" s="9">
        <f>G106+I106+K106+M106+O106+Q106+S106+U106</f>
        <v>350</v>
      </c>
      <c r="F106" s="10">
        <f>SUM(F107:F108)</f>
        <v>400</v>
      </c>
      <c r="G106" s="10">
        <f>SUM(G107:G108)</f>
        <v>300</v>
      </c>
      <c r="H106" s="10">
        <v>0</v>
      </c>
      <c r="I106" s="50"/>
      <c r="J106" s="50">
        <v>0</v>
      </c>
      <c r="K106" s="50"/>
      <c r="L106" s="50">
        <v>0</v>
      </c>
      <c r="M106" s="50">
        <v>0</v>
      </c>
      <c r="N106" s="50">
        <f>SUM(N107:N108)</f>
        <v>60</v>
      </c>
      <c r="O106" s="50">
        <f>SUM(O107:O108)</f>
        <v>50</v>
      </c>
      <c r="P106" s="50">
        <f>SUM(P107:P108)</f>
        <v>0</v>
      </c>
      <c r="Q106" s="50">
        <f>SUM(Q107:Q108)</f>
        <v>0</v>
      </c>
      <c r="R106" s="50">
        <v>0</v>
      </c>
      <c r="S106" s="63">
        <v>0</v>
      </c>
      <c r="T106" s="50">
        <f>SUM(T107:T108)</f>
        <v>0</v>
      </c>
      <c r="U106" s="50">
        <f>SUM(U107:U108)</f>
        <v>0</v>
      </c>
    </row>
    <row r="107" spans="1:21" ht="14.1" customHeight="1" x14ac:dyDescent="0.25">
      <c r="A107" s="24"/>
      <c r="B107" s="24"/>
      <c r="C107" s="25" t="s">
        <v>151</v>
      </c>
      <c r="D107" s="26"/>
      <c r="E107" s="26"/>
      <c r="F107" s="26">
        <v>400</v>
      </c>
      <c r="G107" s="26">
        <v>300</v>
      </c>
      <c r="H107" s="26"/>
      <c r="I107" s="56"/>
      <c r="J107" s="61"/>
      <c r="K107" s="76"/>
      <c r="L107" s="61"/>
      <c r="M107" s="76"/>
      <c r="N107" s="61">
        <v>60</v>
      </c>
      <c r="O107" s="61">
        <v>50</v>
      </c>
      <c r="P107" s="61"/>
      <c r="Q107" s="61"/>
      <c r="R107" s="61"/>
      <c r="S107" s="61"/>
      <c r="T107" s="61"/>
      <c r="U107" s="61"/>
    </row>
    <row r="108" spans="1:21" ht="14.1" customHeight="1" x14ac:dyDescent="0.25">
      <c r="A108" s="24"/>
      <c r="B108" s="24"/>
      <c r="C108" s="25" t="s">
        <v>152</v>
      </c>
      <c r="D108" s="26"/>
      <c r="E108" s="26"/>
      <c r="F108" s="26">
        <v>0</v>
      </c>
      <c r="G108" s="26"/>
      <c r="H108" s="26"/>
      <c r="I108" s="56"/>
      <c r="J108" s="61"/>
      <c r="K108" s="76"/>
      <c r="L108" s="61"/>
      <c r="M108" s="76"/>
      <c r="N108" s="61"/>
      <c r="O108" s="61"/>
      <c r="P108" s="61"/>
      <c r="Q108" s="61"/>
      <c r="R108" s="61"/>
      <c r="S108" s="61"/>
      <c r="T108" s="61"/>
      <c r="U108" s="61"/>
    </row>
    <row r="109" spans="1:21" s="3" customFormat="1" ht="14.1" customHeight="1" x14ac:dyDescent="0.25">
      <c r="A109" s="7" t="s">
        <v>153</v>
      </c>
      <c r="B109" s="7" t="s">
        <v>154</v>
      </c>
      <c r="C109" s="8" t="s">
        <v>155</v>
      </c>
      <c r="D109" s="9">
        <f>F109+H109+J109+L109+N109+P109+R109+T109</f>
        <v>0</v>
      </c>
      <c r="E109" s="9">
        <f>G109+I109+K109+M109+O109+Q109+S109+U109</f>
        <v>0</v>
      </c>
      <c r="F109" s="10">
        <v>0</v>
      </c>
      <c r="G109" s="10">
        <v>0</v>
      </c>
      <c r="H109" s="10">
        <v>0</v>
      </c>
      <c r="I109" s="50"/>
      <c r="J109" s="50">
        <v>0</v>
      </c>
      <c r="K109" s="78"/>
      <c r="L109" s="63">
        <v>0</v>
      </c>
      <c r="M109" s="78">
        <v>0</v>
      </c>
      <c r="N109" s="63">
        <v>0</v>
      </c>
      <c r="O109" s="63">
        <v>0</v>
      </c>
      <c r="P109" s="63">
        <v>0</v>
      </c>
      <c r="Q109" s="63"/>
      <c r="R109" s="63">
        <v>0</v>
      </c>
      <c r="S109" s="63">
        <v>0</v>
      </c>
      <c r="T109" s="63">
        <v>0</v>
      </c>
      <c r="U109" s="63">
        <v>0</v>
      </c>
    </row>
    <row r="110" spans="1:21" s="3" customFormat="1" ht="14.1" customHeight="1" x14ac:dyDescent="0.25">
      <c r="A110" s="16" t="s">
        <v>156</v>
      </c>
      <c r="B110" s="16" t="s">
        <v>157</v>
      </c>
      <c r="C110" s="17" t="s">
        <v>158</v>
      </c>
      <c r="D110" s="19">
        <f>D106+D109</f>
        <v>460</v>
      </c>
      <c r="E110" s="19">
        <f>E106+E109</f>
        <v>350</v>
      </c>
      <c r="F110" s="19">
        <f>F106+F109</f>
        <v>400</v>
      </c>
      <c r="G110" s="19">
        <f t="shared" ref="G110:U110" si="13">G106+G109</f>
        <v>300</v>
      </c>
      <c r="H110" s="19">
        <f t="shared" si="13"/>
        <v>0</v>
      </c>
      <c r="I110" s="19">
        <f t="shared" si="13"/>
        <v>0</v>
      </c>
      <c r="J110" s="19">
        <f t="shared" si="13"/>
        <v>0</v>
      </c>
      <c r="K110" s="19">
        <f t="shared" si="13"/>
        <v>0</v>
      </c>
      <c r="L110" s="19">
        <f t="shared" si="13"/>
        <v>0</v>
      </c>
      <c r="M110" s="19">
        <f t="shared" si="13"/>
        <v>0</v>
      </c>
      <c r="N110" s="19">
        <f t="shared" si="13"/>
        <v>60</v>
      </c>
      <c r="O110" s="19">
        <f t="shared" si="13"/>
        <v>50</v>
      </c>
      <c r="P110" s="19">
        <f t="shared" si="13"/>
        <v>0</v>
      </c>
      <c r="Q110" s="19">
        <f t="shared" si="13"/>
        <v>0</v>
      </c>
      <c r="R110" s="19">
        <f t="shared" si="13"/>
        <v>0</v>
      </c>
      <c r="S110" s="19">
        <f t="shared" si="13"/>
        <v>0</v>
      </c>
      <c r="T110" s="19">
        <f t="shared" si="13"/>
        <v>0</v>
      </c>
      <c r="U110" s="19">
        <f t="shared" si="13"/>
        <v>0</v>
      </c>
    </row>
    <row r="111" spans="1:21" s="3" customFormat="1" ht="14.1" customHeight="1" x14ac:dyDescent="0.25">
      <c r="A111" s="7" t="s">
        <v>159</v>
      </c>
      <c r="B111" s="7" t="s">
        <v>160</v>
      </c>
      <c r="C111" s="8" t="s">
        <v>161</v>
      </c>
      <c r="D111" s="9">
        <f>F111+H111+J111+L111+N111+P111+R111+T111</f>
        <v>22742</v>
      </c>
      <c r="E111" s="9">
        <f>G111+I111+K111+M111+O111+Q111+S111+U111</f>
        <v>25146</v>
      </c>
      <c r="F111" s="10">
        <f>SUM(F112:F113)</f>
        <v>21543</v>
      </c>
      <c r="G111" s="10">
        <f t="shared" ref="G111:Q111" si="14">SUM(G112:G113)</f>
        <v>23507</v>
      </c>
      <c r="H111" s="10">
        <f t="shared" si="14"/>
        <v>0</v>
      </c>
      <c r="I111" s="50">
        <f t="shared" si="14"/>
        <v>0</v>
      </c>
      <c r="J111" s="50">
        <f t="shared" si="14"/>
        <v>0</v>
      </c>
      <c r="K111" s="50">
        <f t="shared" si="14"/>
        <v>0</v>
      </c>
      <c r="L111" s="50">
        <f t="shared" si="14"/>
        <v>0</v>
      </c>
      <c r="M111" s="78">
        <v>0</v>
      </c>
      <c r="N111" s="50">
        <f t="shared" si="14"/>
        <v>392</v>
      </c>
      <c r="O111" s="50">
        <f t="shared" si="14"/>
        <v>463</v>
      </c>
      <c r="P111" s="50">
        <f t="shared" si="14"/>
        <v>167</v>
      </c>
      <c r="Q111" s="50">
        <f t="shared" si="14"/>
        <v>115</v>
      </c>
      <c r="R111" s="50">
        <f>SUM(R112:R113)</f>
        <v>0</v>
      </c>
      <c r="S111" s="63">
        <v>0</v>
      </c>
      <c r="T111" s="50">
        <f>SUM(T112:T113)</f>
        <v>640</v>
      </c>
      <c r="U111" s="50">
        <f>SUM(U112:U113)</f>
        <v>1061</v>
      </c>
    </row>
    <row r="112" spans="1:21" ht="14.1" customHeight="1" x14ac:dyDescent="0.25">
      <c r="A112" s="24"/>
      <c r="B112" s="24"/>
      <c r="C112" s="25" t="s">
        <v>162</v>
      </c>
      <c r="D112" s="26"/>
      <c r="E112" s="26"/>
      <c r="F112" s="26"/>
      <c r="G112" s="26"/>
      <c r="H112" s="26"/>
      <c r="I112" s="56"/>
      <c r="J112" s="61"/>
      <c r="K112" s="76"/>
      <c r="L112" s="61"/>
      <c r="M112" s="76"/>
      <c r="N112" s="61"/>
      <c r="O112" s="61"/>
      <c r="P112" s="61"/>
      <c r="Q112" s="61"/>
      <c r="R112" s="61"/>
      <c r="S112" s="61"/>
      <c r="T112" s="61"/>
      <c r="U112" s="61"/>
    </row>
    <row r="113" spans="1:21" ht="14.1" customHeight="1" x14ac:dyDescent="0.25">
      <c r="A113" s="24"/>
      <c r="B113" s="24"/>
      <c r="C113" s="25" t="s">
        <v>163</v>
      </c>
      <c r="D113" s="26"/>
      <c r="E113" s="26"/>
      <c r="F113" s="26">
        <v>21543</v>
      </c>
      <c r="G113" s="26">
        <f>ROUND((G72+G83+G105+G109)*0.27,0)</f>
        <v>23507</v>
      </c>
      <c r="H113" s="26"/>
      <c r="I113" s="56"/>
      <c r="J113" s="61"/>
      <c r="K113" s="56"/>
      <c r="L113" s="61"/>
      <c r="M113" s="56"/>
      <c r="N113" s="61">
        <v>392</v>
      </c>
      <c r="O113" s="26">
        <f>ROUND((O72+O83+O105+O109)*0.27,0)</f>
        <v>463</v>
      </c>
      <c r="P113" s="61">
        <v>167</v>
      </c>
      <c r="Q113" s="26">
        <f>ROUND((Q72+Q83+Q105+Q109)*0.27,0)</f>
        <v>115</v>
      </c>
      <c r="R113" s="61"/>
      <c r="S113" s="61"/>
      <c r="T113" s="61">
        <v>640</v>
      </c>
      <c r="U113" s="26">
        <f>ROUND((U72+U83+U105+U109)*0.27,0)</f>
        <v>1061</v>
      </c>
    </row>
    <row r="114" spans="1:21" s="3" customFormat="1" ht="14.1" customHeight="1" x14ac:dyDescent="0.25">
      <c r="A114" s="7" t="s">
        <v>164</v>
      </c>
      <c r="B114" s="7" t="s">
        <v>165</v>
      </c>
      <c r="C114" s="8" t="s">
        <v>166</v>
      </c>
      <c r="D114" s="9">
        <f>F114+H114+J114+L114+N114+P114+R114+T114</f>
        <v>0</v>
      </c>
      <c r="E114" s="9">
        <f>G114+I114+K114+M114+O114+Q114+S114+U114</f>
        <v>400</v>
      </c>
      <c r="F114" s="10">
        <f>SUM(F115:F117)</f>
        <v>0</v>
      </c>
      <c r="G114" s="10">
        <f>SUM(G115:G117)</f>
        <v>400</v>
      </c>
      <c r="H114" s="10">
        <v>0</v>
      </c>
      <c r="I114" s="50"/>
      <c r="J114" s="50">
        <v>0</v>
      </c>
      <c r="K114" s="50"/>
      <c r="L114" s="50">
        <v>0</v>
      </c>
      <c r="M114" s="50">
        <v>0</v>
      </c>
      <c r="N114" s="50">
        <v>0</v>
      </c>
      <c r="O114" s="50">
        <v>0</v>
      </c>
      <c r="P114" s="50">
        <f>SUM(P115:P117)</f>
        <v>0</v>
      </c>
      <c r="Q114" s="50">
        <f>SUM(Q115:Q117)</f>
        <v>0</v>
      </c>
      <c r="R114" s="50">
        <v>0</v>
      </c>
      <c r="S114" s="63">
        <v>0</v>
      </c>
      <c r="T114" s="50">
        <f>SUM(T115:T117)</f>
        <v>0</v>
      </c>
      <c r="U114" s="50">
        <f>SUM(U115:U117)</f>
        <v>0</v>
      </c>
    </row>
    <row r="115" spans="1:21" ht="14.1" customHeight="1" x14ac:dyDescent="0.25">
      <c r="A115" s="24"/>
      <c r="B115" s="24"/>
      <c r="C115" s="25" t="s">
        <v>167</v>
      </c>
      <c r="D115" s="26"/>
      <c r="E115" s="26"/>
      <c r="F115" s="26"/>
      <c r="G115" s="26">
        <v>400</v>
      </c>
      <c r="H115" s="26"/>
      <c r="I115" s="56"/>
      <c r="J115" s="61"/>
      <c r="K115" s="76"/>
      <c r="L115" s="61"/>
      <c r="M115" s="76"/>
      <c r="N115" s="61"/>
      <c r="O115" s="61"/>
      <c r="P115" s="61"/>
      <c r="Q115" s="61"/>
      <c r="R115" s="61"/>
      <c r="S115" s="61"/>
      <c r="T115" s="61"/>
      <c r="U115" s="61"/>
    </row>
    <row r="116" spans="1:21" ht="14.1" customHeight="1" x14ac:dyDescent="0.25">
      <c r="A116" s="24"/>
      <c r="B116" s="24"/>
      <c r="C116" s="25" t="s">
        <v>168</v>
      </c>
      <c r="D116" s="26"/>
      <c r="E116" s="26"/>
      <c r="F116" s="26"/>
      <c r="G116" s="26"/>
      <c r="H116" s="26"/>
      <c r="I116" s="56"/>
      <c r="J116" s="61"/>
      <c r="K116" s="76"/>
      <c r="L116" s="61"/>
      <c r="M116" s="76"/>
      <c r="N116" s="61"/>
      <c r="O116" s="61"/>
      <c r="P116" s="61"/>
      <c r="Q116" s="61"/>
      <c r="R116" s="61"/>
      <c r="S116" s="61"/>
      <c r="T116" s="61"/>
      <c r="U116" s="61"/>
    </row>
    <row r="117" spans="1:21" ht="14.1" customHeight="1" x14ac:dyDescent="0.25">
      <c r="A117" s="24"/>
      <c r="B117" s="24"/>
      <c r="C117" s="25" t="s">
        <v>169</v>
      </c>
      <c r="D117" s="26"/>
      <c r="E117" s="26"/>
      <c r="F117" s="26"/>
      <c r="G117" s="26"/>
      <c r="H117" s="26"/>
      <c r="I117" s="56"/>
      <c r="J117" s="61"/>
      <c r="K117" s="76"/>
      <c r="L117" s="61"/>
      <c r="M117" s="76"/>
      <c r="N117" s="61"/>
      <c r="O117" s="61"/>
      <c r="P117" s="61"/>
      <c r="Q117" s="61"/>
      <c r="R117" s="61"/>
      <c r="S117" s="61"/>
      <c r="T117" s="61"/>
      <c r="U117" s="61"/>
    </row>
    <row r="118" spans="1:21" s="3" customFormat="1" ht="14.1" customHeight="1" x14ac:dyDescent="0.25">
      <c r="A118" s="7" t="s">
        <v>170</v>
      </c>
      <c r="B118" s="7" t="s">
        <v>171</v>
      </c>
      <c r="C118" s="8" t="s">
        <v>172</v>
      </c>
      <c r="D118" s="9">
        <f>F118+H118+J118+L118+N118+P118+R118+T118</f>
        <v>0</v>
      </c>
      <c r="E118" s="9">
        <f>G118+I118+K118+M118+O118+Q118+S118+U118</f>
        <v>0</v>
      </c>
      <c r="F118" s="10">
        <f>SUM(F119:F122)</f>
        <v>0</v>
      </c>
      <c r="G118" s="10">
        <f>SUM(G119:G122)</f>
        <v>0</v>
      </c>
      <c r="H118" s="10">
        <v>0</v>
      </c>
      <c r="I118" s="50"/>
      <c r="J118" s="50">
        <v>0</v>
      </c>
      <c r="K118" s="50"/>
      <c r="L118" s="50">
        <v>0</v>
      </c>
      <c r="M118" s="50">
        <v>0</v>
      </c>
      <c r="N118" s="50">
        <v>0</v>
      </c>
      <c r="O118" s="50">
        <v>0</v>
      </c>
      <c r="P118" s="50">
        <f>SUM(P119:P122)</f>
        <v>0</v>
      </c>
      <c r="Q118" s="50">
        <f>SUM(Q119:Q122)</f>
        <v>0</v>
      </c>
      <c r="R118" s="50">
        <v>0</v>
      </c>
      <c r="S118" s="63">
        <v>0</v>
      </c>
      <c r="T118" s="50">
        <f>SUM(T119:T122)</f>
        <v>0</v>
      </c>
      <c r="U118" s="50">
        <f>SUM(U119:U122)</f>
        <v>0</v>
      </c>
    </row>
    <row r="119" spans="1:21" ht="14.1" customHeight="1" x14ac:dyDescent="0.25">
      <c r="A119" s="24"/>
      <c r="B119" s="24"/>
      <c r="C119" s="25" t="s">
        <v>173</v>
      </c>
      <c r="D119" s="26"/>
      <c r="E119" s="26"/>
      <c r="F119" s="26"/>
      <c r="G119" s="26"/>
      <c r="H119" s="26"/>
      <c r="I119" s="56"/>
      <c r="J119" s="61"/>
      <c r="K119" s="76"/>
      <c r="L119" s="61"/>
      <c r="M119" s="76"/>
      <c r="N119" s="61"/>
      <c r="O119" s="61"/>
      <c r="P119" s="61"/>
      <c r="Q119" s="61"/>
      <c r="R119" s="61"/>
      <c r="S119" s="61"/>
      <c r="T119" s="61"/>
      <c r="U119" s="61"/>
    </row>
    <row r="120" spans="1:21" ht="14.1" customHeight="1" x14ac:dyDescent="0.25">
      <c r="A120" s="24"/>
      <c r="B120" s="24"/>
      <c r="C120" s="25" t="s">
        <v>174</v>
      </c>
      <c r="D120" s="26"/>
      <c r="E120" s="26"/>
      <c r="F120" s="26"/>
      <c r="G120" s="26"/>
      <c r="H120" s="26"/>
      <c r="I120" s="56"/>
      <c r="J120" s="61"/>
      <c r="K120" s="76"/>
      <c r="L120" s="61"/>
      <c r="M120" s="76"/>
      <c r="N120" s="61"/>
      <c r="O120" s="61"/>
      <c r="P120" s="61"/>
      <c r="Q120" s="61"/>
      <c r="R120" s="61"/>
      <c r="S120" s="61"/>
      <c r="T120" s="61"/>
      <c r="U120" s="61"/>
    </row>
    <row r="121" spans="1:21" ht="14.1" customHeight="1" x14ac:dyDescent="0.25">
      <c r="A121" s="24"/>
      <c r="B121" s="24"/>
      <c r="C121" s="25" t="s">
        <v>175</v>
      </c>
      <c r="D121" s="26"/>
      <c r="E121" s="26"/>
      <c r="F121" s="26"/>
      <c r="G121" s="26"/>
      <c r="H121" s="26"/>
      <c r="I121" s="56"/>
      <c r="J121" s="61"/>
      <c r="K121" s="76"/>
      <c r="L121" s="61"/>
      <c r="M121" s="76"/>
      <c r="N121" s="61"/>
      <c r="O121" s="61"/>
      <c r="P121" s="61"/>
      <c r="Q121" s="61"/>
      <c r="R121" s="61"/>
      <c r="S121" s="61"/>
      <c r="T121" s="61"/>
      <c r="U121" s="61"/>
    </row>
    <row r="122" spans="1:21" ht="14.1" customHeight="1" x14ac:dyDescent="0.25">
      <c r="A122" s="24"/>
      <c r="B122" s="24"/>
      <c r="C122" s="25" t="s">
        <v>176</v>
      </c>
      <c r="D122" s="26"/>
      <c r="E122" s="26"/>
      <c r="F122" s="26"/>
      <c r="G122" s="26"/>
      <c r="H122" s="26"/>
      <c r="I122" s="56"/>
      <c r="J122" s="61"/>
      <c r="K122" s="76"/>
      <c r="L122" s="61"/>
      <c r="M122" s="76"/>
      <c r="N122" s="61"/>
      <c r="O122" s="61"/>
      <c r="P122" s="61"/>
      <c r="Q122" s="61"/>
      <c r="R122" s="61"/>
      <c r="S122" s="61"/>
      <c r="T122" s="61"/>
      <c r="U122" s="61"/>
    </row>
    <row r="123" spans="1:21" s="3" customFormat="1" ht="14.1" customHeight="1" x14ac:dyDescent="0.25">
      <c r="A123" s="7" t="s">
        <v>177</v>
      </c>
      <c r="B123" s="7" t="s">
        <v>178</v>
      </c>
      <c r="C123" s="8" t="s">
        <v>179</v>
      </c>
      <c r="D123" s="9">
        <f>F123+H123+J123+L123+N123+P123+R123+T123</f>
        <v>0</v>
      </c>
      <c r="E123" s="9">
        <f>G123+I123+K123+M123+O123+Q123+S123+U123</f>
        <v>0</v>
      </c>
      <c r="F123" s="10">
        <f>SUM(F124:F125)</f>
        <v>0</v>
      </c>
      <c r="G123" s="10">
        <f>SUM(G124:G125)</f>
        <v>0</v>
      </c>
      <c r="H123" s="10">
        <v>0</v>
      </c>
      <c r="I123" s="50"/>
      <c r="J123" s="50">
        <v>0</v>
      </c>
      <c r="K123" s="50"/>
      <c r="L123" s="50">
        <v>0</v>
      </c>
      <c r="M123" s="50">
        <v>0</v>
      </c>
      <c r="N123" s="50">
        <v>0</v>
      </c>
      <c r="O123" s="50">
        <v>0</v>
      </c>
      <c r="P123" s="50">
        <f>SUM(P124:P125)</f>
        <v>0</v>
      </c>
      <c r="Q123" s="50">
        <f>SUM(Q124:Q125)</f>
        <v>0</v>
      </c>
      <c r="R123" s="50">
        <v>0</v>
      </c>
      <c r="S123" s="63">
        <v>0</v>
      </c>
      <c r="T123" s="50">
        <f>SUM(T124:T125)</f>
        <v>0</v>
      </c>
      <c r="U123" s="50">
        <f>SUM(U124:U125)</f>
        <v>0</v>
      </c>
    </row>
    <row r="124" spans="1:21" ht="14.1" customHeight="1" x14ac:dyDescent="0.25">
      <c r="A124" s="24"/>
      <c r="B124" s="24"/>
      <c r="C124" s="25" t="s">
        <v>180</v>
      </c>
      <c r="D124" s="26"/>
      <c r="E124" s="26"/>
      <c r="F124" s="26"/>
      <c r="G124" s="26"/>
      <c r="H124" s="26"/>
      <c r="I124" s="56"/>
      <c r="J124" s="61"/>
      <c r="K124" s="76"/>
      <c r="L124" s="61"/>
      <c r="M124" s="76"/>
      <c r="N124" s="61"/>
      <c r="O124" s="61"/>
      <c r="P124" s="61"/>
      <c r="Q124" s="61"/>
      <c r="R124" s="61"/>
      <c r="S124" s="61"/>
      <c r="T124" s="61"/>
      <c r="U124" s="61"/>
    </row>
    <row r="125" spans="1:21" ht="14.1" customHeight="1" x14ac:dyDescent="0.25">
      <c r="A125" s="24"/>
      <c r="B125" s="24"/>
      <c r="C125" s="25" t="s">
        <v>181</v>
      </c>
      <c r="D125" s="26"/>
      <c r="E125" s="26"/>
      <c r="F125" s="26"/>
      <c r="G125" s="26"/>
      <c r="H125" s="26"/>
      <c r="I125" s="56"/>
      <c r="J125" s="61"/>
      <c r="K125" s="76"/>
      <c r="L125" s="61"/>
      <c r="M125" s="76"/>
      <c r="N125" s="61"/>
      <c r="O125" s="61"/>
      <c r="P125" s="61"/>
      <c r="Q125" s="61"/>
      <c r="R125" s="61"/>
      <c r="S125" s="61"/>
      <c r="T125" s="61"/>
      <c r="U125" s="61"/>
    </row>
    <row r="126" spans="1:21" s="3" customFormat="1" ht="14.1" customHeight="1" x14ac:dyDescent="0.25">
      <c r="A126" s="7" t="s">
        <v>182</v>
      </c>
      <c r="B126" s="7" t="s">
        <v>183</v>
      </c>
      <c r="C126" s="8" t="s">
        <v>184</v>
      </c>
      <c r="D126" s="9">
        <f>F126+H126+J126+L126+N126+P126+R126+T126</f>
        <v>1140</v>
      </c>
      <c r="E126" s="9">
        <f>G126+I126+K126+M126+O126+Q126+S126+U126</f>
        <v>2600</v>
      </c>
      <c r="F126" s="10">
        <f>SUM(F127:F130)</f>
        <v>1110</v>
      </c>
      <c r="G126" s="10">
        <f>SUM(G127:G130)</f>
        <v>2530</v>
      </c>
      <c r="H126" s="10">
        <v>0</v>
      </c>
      <c r="I126" s="50"/>
      <c r="J126" s="50">
        <v>0</v>
      </c>
      <c r="K126" s="50"/>
      <c r="L126" s="50">
        <v>0</v>
      </c>
      <c r="M126" s="50">
        <v>0</v>
      </c>
      <c r="N126" s="50">
        <f>SUM(N127:N130)</f>
        <v>20</v>
      </c>
      <c r="O126" s="50">
        <f>SUM(O127:O130)</f>
        <v>70</v>
      </c>
      <c r="P126" s="50">
        <f>SUM(P127:P130)</f>
        <v>10</v>
      </c>
      <c r="Q126" s="50">
        <f>SUM(Q127:Q130)</f>
        <v>0</v>
      </c>
      <c r="R126" s="50">
        <v>0</v>
      </c>
      <c r="S126" s="63">
        <v>0</v>
      </c>
      <c r="T126" s="50">
        <f>SUM(T127:T130)</f>
        <v>0</v>
      </c>
      <c r="U126" s="50">
        <f>SUM(U127:U130)</f>
        <v>0</v>
      </c>
    </row>
    <row r="127" spans="1:21" ht="14.1" customHeight="1" x14ac:dyDescent="0.25">
      <c r="A127" s="24"/>
      <c r="B127" s="24"/>
      <c r="C127" s="25" t="s">
        <v>185</v>
      </c>
      <c r="D127" s="26"/>
      <c r="E127" s="26"/>
      <c r="F127" s="26">
        <v>450</v>
      </c>
      <c r="G127" s="26">
        <v>530</v>
      </c>
      <c r="H127" s="26"/>
      <c r="I127" s="56"/>
      <c r="J127" s="61"/>
      <c r="K127" s="76"/>
      <c r="L127" s="61"/>
      <c r="M127" s="76"/>
      <c r="N127" s="61"/>
      <c r="O127" s="61"/>
      <c r="P127" s="61"/>
      <c r="Q127" s="61"/>
      <c r="R127" s="61"/>
      <c r="S127" s="61"/>
      <c r="T127" s="61"/>
      <c r="U127" s="61"/>
    </row>
    <row r="128" spans="1:21" ht="14.1" customHeight="1" x14ac:dyDescent="0.25">
      <c r="A128" s="24"/>
      <c r="B128" s="24"/>
      <c r="C128" s="25" t="s">
        <v>186</v>
      </c>
      <c r="D128" s="26"/>
      <c r="E128" s="26"/>
      <c r="F128" s="26">
        <v>560</v>
      </c>
      <c r="G128" s="26">
        <v>1500</v>
      </c>
      <c r="H128" s="26"/>
      <c r="I128" s="56"/>
      <c r="J128" s="61"/>
      <c r="K128" s="76"/>
      <c r="L128" s="61"/>
      <c r="M128" s="76"/>
      <c r="N128" s="61">
        <v>20</v>
      </c>
      <c r="O128" s="61">
        <v>20</v>
      </c>
      <c r="P128" s="61"/>
      <c r="Q128" s="61"/>
      <c r="R128" s="61"/>
      <c r="S128" s="61"/>
      <c r="T128" s="61"/>
      <c r="U128" s="61"/>
    </row>
    <row r="129" spans="1:256" ht="14.1" customHeight="1" x14ac:dyDescent="0.25">
      <c r="A129" s="24"/>
      <c r="B129" s="24"/>
      <c r="C129" s="25" t="s">
        <v>187</v>
      </c>
      <c r="D129" s="26"/>
      <c r="E129" s="26"/>
      <c r="F129" s="26"/>
      <c r="G129" s="26"/>
      <c r="H129" s="26"/>
      <c r="I129" s="56"/>
      <c r="J129" s="61"/>
      <c r="K129" s="76"/>
      <c r="L129" s="61"/>
      <c r="M129" s="76"/>
      <c r="N129" s="61"/>
      <c r="O129" s="61"/>
      <c r="P129" s="61"/>
      <c r="Q129" s="61"/>
      <c r="R129" s="61"/>
      <c r="S129" s="61"/>
      <c r="T129" s="61"/>
      <c r="U129" s="61"/>
    </row>
    <row r="130" spans="1:256" ht="14.1" customHeight="1" x14ac:dyDescent="0.25">
      <c r="A130" s="24"/>
      <c r="B130" s="24"/>
      <c r="C130" s="25" t="s">
        <v>188</v>
      </c>
      <c r="D130" s="26"/>
      <c r="E130" s="26"/>
      <c r="F130" s="26">
        <v>100</v>
      </c>
      <c r="G130" s="26">
        <v>500</v>
      </c>
      <c r="H130" s="26"/>
      <c r="I130" s="56"/>
      <c r="J130" s="61"/>
      <c r="K130" s="76"/>
      <c r="L130" s="61"/>
      <c r="M130" s="76"/>
      <c r="N130" s="61"/>
      <c r="O130" s="61">
        <v>50</v>
      </c>
      <c r="P130" s="61">
        <v>10</v>
      </c>
      <c r="Q130" s="61"/>
      <c r="R130" s="61"/>
      <c r="S130" s="61"/>
      <c r="T130" s="61"/>
      <c r="U130" s="61"/>
    </row>
    <row r="131" spans="1:256" s="3" customFormat="1" ht="14.1" customHeight="1" x14ac:dyDescent="0.25">
      <c r="A131" s="16" t="s">
        <v>189</v>
      </c>
      <c r="B131" s="16" t="s">
        <v>190</v>
      </c>
      <c r="C131" s="17" t="s">
        <v>191</v>
      </c>
      <c r="D131" s="19">
        <f>D111+D114+D118+D123+D126</f>
        <v>23882</v>
      </c>
      <c r="E131" s="19">
        <f>E111+E114+E118+E123+E126</f>
        <v>28146</v>
      </c>
      <c r="F131" s="19">
        <f>F111+F114+F118+F123+F126</f>
        <v>22653</v>
      </c>
      <c r="G131" s="19">
        <f t="shared" ref="G131:U131" si="15">G111+G114+G118+G123+G126</f>
        <v>26437</v>
      </c>
      <c r="H131" s="19">
        <f t="shared" si="15"/>
        <v>0</v>
      </c>
      <c r="I131" s="19">
        <f t="shared" si="15"/>
        <v>0</v>
      </c>
      <c r="J131" s="19">
        <f t="shared" si="15"/>
        <v>0</v>
      </c>
      <c r="K131" s="19">
        <f t="shared" si="15"/>
        <v>0</v>
      </c>
      <c r="L131" s="19">
        <f t="shared" si="15"/>
        <v>0</v>
      </c>
      <c r="M131" s="19">
        <f t="shared" si="15"/>
        <v>0</v>
      </c>
      <c r="N131" s="19">
        <f t="shared" si="15"/>
        <v>412</v>
      </c>
      <c r="O131" s="19">
        <f t="shared" si="15"/>
        <v>533</v>
      </c>
      <c r="P131" s="19">
        <f t="shared" si="15"/>
        <v>177</v>
      </c>
      <c r="Q131" s="19">
        <f t="shared" si="15"/>
        <v>115</v>
      </c>
      <c r="R131" s="19">
        <f t="shared" si="15"/>
        <v>0</v>
      </c>
      <c r="S131" s="19">
        <f t="shared" si="15"/>
        <v>0</v>
      </c>
      <c r="T131" s="19">
        <f t="shared" si="15"/>
        <v>640</v>
      </c>
      <c r="U131" s="19">
        <f t="shared" si="15"/>
        <v>1061</v>
      </c>
    </row>
    <row r="132" spans="1:256" s="3" customFormat="1" ht="14.1" customHeight="1" x14ac:dyDescent="0.25">
      <c r="A132" s="20" t="s">
        <v>192</v>
      </c>
      <c r="B132" s="20" t="s">
        <v>193</v>
      </c>
      <c r="C132" s="21" t="s">
        <v>292</v>
      </c>
      <c r="D132" s="23">
        <f>D72+D83+D105+D110+D131</f>
        <v>110572</v>
      </c>
      <c r="E132" s="23">
        <f>E72+E83+E105+E110+E131</f>
        <v>121630</v>
      </c>
      <c r="F132" s="23">
        <f>F72+F83+F105+F110+F131</f>
        <v>103243</v>
      </c>
      <c r="G132" s="23">
        <f t="shared" ref="G132:U132" si="16">G72+G83+G105+G110+G131</f>
        <v>113801</v>
      </c>
      <c r="H132" s="23">
        <f t="shared" si="16"/>
        <v>0</v>
      </c>
      <c r="I132" s="23">
        <f t="shared" si="16"/>
        <v>0</v>
      </c>
      <c r="J132" s="23">
        <f t="shared" si="16"/>
        <v>0</v>
      </c>
      <c r="K132" s="23">
        <f t="shared" si="16"/>
        <v>0</v>
      </c>
      <c r="L132" s="23">
        <f t="shared" si="16"/>
        <v>0</v>
      </c>
      <c r="M132" s="23">
        <f t="shared" si="16"/>
        <v>0</v>
      </c>
      <c r="N132" s="23">
        <f t="shared" si="16"/>
        <v>1922</v>
      </c>
      <c r="O132" s="23">
        <f t="shared" si="16"/>
        <v>2298</v>
      </c>
      <c r="P132" s="23">
        <f t="shared" si="16"/>
        <v>797</v>
      </c>
      <c r="Q132" s="23">
        <f t="shared" si="16"/>
        <v>540</v>
      </c>
      <c r="R132" s="23">
        <f t="shared" si="16"/>
        <v>0</v>
      </c>
      <c r="S132" s="23">
        <f t="shared" si="16"/>
        <v>0</v>
      </c>
      <c r="T132" s="23">
        <f t="shared" si="16"/>
        <v>4610</v>
      </c>
      <c r="U132" s="23">
        <f t="shared" si="16"/>
        <v>4991</v>
      </c>
    </row>
    <row r="133" spans="1:256" ht="14.1" customHeight="1" x14ac:dyDescent="0.25">
      <c r="A133" s="24" t="s">
        <v>622</v>
      </c>
      <c r="B133" s="24" t="s">
        <v>630</v>
      </c>
      <c r="C133" s="25" t="s">
        <v>638</v>
      </c>
      <c r="D133" s="26">
        <f>F133+H133+J133+L133+N133+P133+R133+T133</f>
        <v>0</v>
      </c>
      <c r="E133" s="26">
        <f>G133+I133+K133+M133+O133+Q133+S133+U133</f>
        <v>0</v>
      </c>
      <c r="F133" s="26"/>
      <c r="G133" s="26"/>
      <c r="H133" s="26"/>
      <c r="I133" s="56"/>
      <c r="J133" s="61"/>
      <c r="K133" s="76"/>
      <c r="L133" s="61"/>
      <c r="M133" s="76"/>
      <c r="N133" s="61"/>
      <c r="O133" s="61"/>
      <c r="P133" s="61"/>
      <c r="Q133" s="61"/>
      <c r="R133" s="61"/>
      <c r="S133" s="61"/>
      <c r="T133" s="61"/>
      <c r="U133" s="61"/>
    </row>
    <row r="134" spans="1:256" ht="14.1" customHeight="1" x14ac:dyDescent="0.25">
      <c r="A134" s="24" t="s">
        <v>623</v>
      </c>
      <c r="B134" s="24" t="s">
        <v>631</v>
      </c>
      <c r="C134" s="25" t="s">
        <v>639</v>
      </c>
      <c r="D134" s="26">
        <f t="shared" ref="D134:E140" si="17">F134+H134+J134+L134+N134+P134+R134+T134</f>
        <v>20</v>
      </c>
      <c r="E134" s="26">
        <f t="shared" si="17"/>
        <v>0</v>
      </c>
      <c r="F134" s="26"/>
      <c r="G134" s="26"/>
      <c r="H134" s="26"/>
      <c r="I134" s="56"/>
      <c r="J134" s="61"/>
      <c r="K134" s="76"/>
      <c r="L134" s="61"/>
      <c r="M134" s="76"/>
      <c r="N134" s="61"/>
      <c r="O134" s="61"/>
      <c r="P134" s="61"/>
      <c r="Q134" s="61"/>
      <c r="R134" s="61">
        <v>20</v>
      </c>
      <c r="S134" s="61"/>
      <c r="T134" s="61"/>
      <c r="U134" s="61"/>
    </row>
    <row r="135" spans="1:256" ht="14.1" customHeight="1" x14ac:dyDescent="0.25">
      <c r="A135" s="24" t="s">
        <v>624</v>
      </c>
      <c r="B135" s="24" t="s">
        <v>632</v>
      </c>
      <c r="C135" s="25" t="s">
        <v>640</v>
      </c>
      <c r="D135" s="26">
        <f t="shared" si="17"/>
        <v>0</v>
      </c>
      <c r="E135" s="26">
        <f t="shared" si="17"/>
        <v>0</v>
      </c>
      <c r="F135" s="26"/>
      <c r="G135" s="26"/>
      <c r="H135" s="26"/>
      <c r="I135" s="56"/>
      <c r="J135" s="61"/>
      <c r="K135" s="76"/>
      <c r="L135" s="61"/>
      <c r="M135" s="76"/>
      <c r="N135" s="61"/>
      <c r="O135" s="61"/>
      <c r="P135" s="61"/>
      <c r="Q135" s="61"/>
      <c r="R135" s="61"/>
      <c r="S135" s="61"/>
      <c r="T135" s="61"/>
      <c r="U135" s="61"/>
    </row>
    <row r="136" spans="1:256" ht="14.1" customHeight="1" x14ac:dyDescent="0.25">
      <c r="A136" s="24" t="s">
        <v>625</v>
      </c>
      <c r="B136" s="24" t="s">
        <v>633</v>
      </c>
      <c r="C136" s="25" t="s">
        <v>641</v>
      </c>
      <c r="D136" s="26">
        <f t="shared" si="17"/>
        <v>0</v>
      </c>
      <c r="E136" s="26">
        <f t="shared" si="17"/>
        <v>0</v>
      </c>
      <c r="F136" s="26"/>
      <c r="G136" s="26"/>
      <c r="H136" s="26"/>
      <c r="I136" s="56"/>
      <c r="J136" s="61"/>
      <c r="K136" s="76"/>
      <c r="L136" s="61"/>
      <c r="M136" s="76"/>
      <c r="N136" s="61"/>
      <c r="O136" s="61"/>
      <c r="P136" s="61"/>
      <c r="Q136" s="61"/>
      <c r="R136" s="61"/>
      <c r="S136" s="61"/>
      <c r="T136" s="61"/>
      <c r="U136" s="61"/>
    </row>
    <row r="137" spans="1:256" ht="14.1" customHeight="1" x14ac:dyDescent="0.25">
      <c r="A137" s="24" t="s">
        <v>626</v>
      </c>
      <c r="B137" s="24" t="s">
        <v>634</v>
      </c>
      <c r="C137" s="25" t="s">
        <v>642</v>
      </c>
      <c r="D137" s="26">
        <f t="shared" si="17"/>
        <v>2000</v>
      </c>
      <c r="E137" s="26">
        <f t="shared" si="17"/>
        <v>0</v>
      </c>
      <c r="F137" s="26"/>
      <c r="G137" s="26"/>
      <c r="H137" s="26"/>
      <c r="I137" s="56"/>
      <c r="J137" s="61"/>
      <c r="K137" s="76"/>
      <c r="L137" s="61"/>
      <c r="M137" s="76"/>
      <c r="N137" s="61"/>
      <c r="O137" s="61"/>
      <c r="P137" s="61"/>
      <c r="Q137" s="61"/>
      <c r="R137" s="61">
        <v>2000</v>
      </c>
      <c r="S137" s="61"/>
      <c r="T137" s="61"/>
      <c r="U137" s="61"/>
    </row>
    <row r="138" spans="1:256" ht="14.1" customHeight="1" x14ac:dyDescent="0.25">
      <c r="A138" s="24" t="s">
        <v>627</v>
      </c>
      <c r="B138" s="24" t="s">
        <v>635</v>
      </c>
      <c r="C138" s="25" t="s">
        <v>643</v>
      </c>
      <c r="D138" s="26">
        <f t="shared" si="17"/>
        <v>0</v>
      </c>
      <c r="E138" s="26">
        <f t="shared" si="17"/>
        <v>0</v>
      </c>
      <c r="F138" s="26"/>
      <c r="G138" s="26"/>
      <c r="H138" s="26"/>
      <c r="I138" s="56"/>
      <c r="J138" s="61"/>
      <c r="K138" s="76"/>
      <c r="L138" s="61"/>
      <c r="M138" s="76"/>
      <c r="N138" s="61"/>
      <c r="O138" s="61"/>
      <c r="P138" s="61"/>
      <c r="Q138" s="61"/>
      <c r="R138" s="61"/>
      <c r="S138" s="61"/>
      <c r="T138" s="61"/>
      <c r="U138" s="61"/>
    </row>
    <row r="139" spans="1:256" ht="14.1" customHeight="1" x14ac:dyDescent="0.25">
      <c r="A139" s="24" t="s">
        <v>628</v>
      </c>
      <c r="B139" s="24" t="s">
        <v>636</v>
      </c>
      <c r="C139" s="25" t="s">
        <v>644</v>
      </c>
      <c r="D139" s="26">
        <f t="shared" si="17"/>
        <v>0</v>
      </c>
      <c r="E139" s="26">
        <f t="shared" si="17"/>
        <v>0</v>
      </c>
      <c r="F139" s="26"/>
      <c r="G139" s="26"/>
      <c r="H139" s="26"/>
      <c r="I139" s="56"/>
      <c r="J139" s="61"/>
      <c r="K139" s="76"/>
      <c r="L139" s="61"/>
      <c r="M139" s="76"/>
      <c r="N139" s="61"/>
      <c r="O139" s="61"/>
      <c r="P139" s="61"/>
      <c r="Q139" s="61"/>
      <c r="R139" s="61"/>
      <c r="S139" s="61"/>
      <c r="T139" s="61"/>
      <c r="U139" s="61"/>
    </row>
    <row r="140" spans="1:256" ht="14.1" customHeight="1" x14ac:dyDescent="0.25">
      <c r="A140" s="24" t="s">
        <v>629</v>
      </c>
      <c r="B140" s="24" t="s">
        <v>637</v>
      </c>
      <c r="C140" s="25" t="s">
        <v>645</v>
      </c>
      <c r="D140" s="26">
        <f t="shared" si="17"/>
        <v>2600</v>
      </c>
      <c r="E140" s="26">
        <f t="shared" si="17"/>
        <v>0</v>
      </c>
      <c r="F140" s="26"/>
      <c r="G140" s="26"/>
      <c r="H140" s="26"/>
      <c r="I140" s="56"/>
      <c r="J140" s="61"/>
      <c r="K140" s="76"/>
      <c r="L140" s="61"/>
      <c r="M140" s="76"/>
      <c r="N140" s="61"/>
      <c r="O140" s="61"/>
      <c r="P140" s="61"/>
      <c r="Q140" s="61"/>
      <c r="R140" s="61">
        <v>2600</v>
      </c>
      <c r="S140" s="61"/>
      <c r="T140" s="61"/>
      <c r="U140" s="61"/>
    </row>
    <row r="141" spans="1:256" s="3" customFormat="1" ht="14.1" customHeight="1" x14ac:dyDescent="0.25">
      <c r="A141" s="123" t="s">
        <v>620</v>
      </c>
      <c r="B141" s="124" t="s">
        <v>621</v>
      </c>
      <c r="C141" s="125" t="s">
        <v>337</v>
      </c>
      <c r="D141" s="23">
        <f>SUM(D133:D140)</f>
        <v>4620</v>
      </c>
      <c r="E141" s="23">
        <f t="shared" ref="E141:U141" si="18">SUM(E133:E140)</f>
        <v>0</v>
      </c>
      <c r="F141" s="23">
        <f t="shared" si="18"/>
        <v>0</v>
      </c>
      <c r="G141" s="23">
        <f t="shared" si="18"/>
        <v>0</v>
      </c>
      <c r="H141" s="23">
        <f t="shared" si="18"/>
        <v>0</v>
      </c>
      <c r="I141" s="23">
        <f t="shared" si="18"/>
        <v>0</v>
      </c>
      <c r="J141" s="23">
        <f t="shared" si="18"/>
        <v>0</v>
      </c>
      <c r="K141" s="23">
        <f t="shared" si="18"/>
        <v>0</v>
      </c>
      <c r="L141" s="23">
        <f t="shared" si="18"/>
        <v>0</v>
      </c>
      <c r="M141" s="23">
        <f t="shared" si="18"/>
        <v>0</v>
      </c>
      <c r="N141" s="23">
        <f t="shared" si="18"/>
        <v>0</v>
      </c>
      <c r="O141" s="23">
        <f t="shared" si="18"/>
        <v>0</v>
      </c>
      <c r="P141" s="23">
        <f t="shared" si="18"/>
        <v>0</v>
      </c>
      <c r="Q141" s="23">
        <f t="shared" si="18"/>
        <v>0</v>
      </c>
      <c r="R141" s="23">
        <f t="shared" si="18"/>
        <v>4620</v>
      </c>
      <c r="S141" s="23">
        <f t="shared" si="18"/>
        <v>0</v>
      </c>
      <c r="T141" s="23">
        <f t="shared" si="18"/>
        <v>0</v>
      </c>
      <c r="U141" s="23">
        <f t="shared" si="18"/>
        <v>0</v>
      </c>
    </row>
    <row r="142" spans="1:256" ht="14.1" customHeight="1" x14ac:dyDescent="0.2">
      <c r="A142" s="977" t="s">
        <v>291</v>
      </c>
      <c r="B142" s="978"/>
      <c r="C142" s="979"/>
      <c r="D142" s="28">
        <f>D46+D132+D141</f>
        <v>564746</v>
      </c>
      <c r="E142" s="28">
        <f t="shared" ref="E142:U142" si="19">E46+E132+E141</f>
        <v>496090</v>
      </c>
      <c r="F142" s="28">
        <f t="shared" si="19"/>
        <v>490125</v>
      </c>
      <c r="G142" s="28">
        <f t="shared" si="19"/>
        <v>467138</v>
      </c>
      <c r="H142" s="28">
        <f t="shared" si="19"/>
        <v>8532</v>
      </c>
      <c r="I142" s="28">
        <f t="shared" si="19"/>
        <v>0</v>
      </c>
      <c r="J142" s="28">
        <f t="shared" si="19"/>
        <v>2028</v>
      </c>
      <c r="K142" s="28">
        <f t="shared" si="19"/>
        <v>0</v>
      </c>
      <c r="L142" s="28">
        <f t="shared" si="19"/>
        <v>28590</v>
      </c>
      <c r="M142" s="28">
        <f t="shared" si="19"/>
        <v>0</v>
      </c>
      <c r="N142" s="28">
        <f t="shared" si="19"/>
        <v>21337</v>
      </c>
      <c r="O142" s="28">
        <f t="shared" si="19"/>
        <v>19235</v>
      </c>
      <c r="P142" s="28">
        <f t="shared" si="19"/>
        <v>4904</v>
      </c>
      <c r="Q142" s="28">
        <f t="shared" si="19"/>
        <v>4665</v>
      </c>
      <c r="R142" s="28">
        <f t="shared" si="19"/>
        <v>4620</v>
      </c>
      <c r="S142" s="28">
        <f t="shared" si="19"/>
        <v>0</v>
      </c>
      <c r="T142" s="28">
        <f t="shared" si="19"/>
        <v>4610</v>
      </c>
      <c r="U142" s="28">
        <f t="shared" si="19"/>
        <v>5052</v>
      </c>
      <c r="V142" s="27"/>
      <c r="W142" s="27"/>
      <c r="X142" s="27"/>
      <c r="Y142" s="27"/>
      <c r="Z142" s="27"/>
      <c r="AA142" s="27"/>
      <c r="AB142" s="27"/>
      <c r="AC142" s="27"/>
      <c r="AD142" s="27"/>
      <c r="AE142" s="27"/>
      <c r="AF142" s="27"/>
      <c r="AG142" s="27"/>
      <c r="AH142" s="27"/>
      <c r="AI142" s="27"/>
      <c r="AJ142" s="27"/>
      <c r="AK142" s="27"/>
      <c r="AL142" s="27"/>
      <c r="AM142" s="27"/>
      <c r="AN142" s="27"/>
      <c r="AO142" s="27"/>
      <c r="AP142" s="27"/>
      <c r="AQ142" s="27"/>
      <c r="AR142" s="27"/>
      <c r="AS142" s="27"/>
      <c r="AT142" s="27"/>
      <c r="AU142" s="27"/>
      <c r="AV142" s="27"/>
      <c r="AW142" s="27"/>
      <c r="AX142" s="27"/>
      <c r="AY142" s="27"/>
      <c r="AZ142" s="27"/>
      <c r="BA142" s="27"/>
      <c r="BB142" s="27"/>
      <c r="BC142" s="27"/>
      <c r="BD142" s="27"/>
      <c r="BE142" s="27"/>
      <c r="BF142" s="27"/>
      <c r="BG142" s="27"/>
      <c r="BH142" s="27"/>
      <c r="BI142" s="27"/>
      <c r="BJ142" s="27"/>
      <c r="BK142" s="27"/>
      <c r="BL142" s="27"/>
      <c r="BM142" s="27"/>
      <c r="BN142" s="27"/>
      <c r="BO142" s="27"/>
      <c r="BP142" s="27"/>
      <c r="BQ142" s="27"/>
      <c r="BR142" s="27"/>
      <c r="BS142" s="27"/>
      <c r="BT142" s="27"/>
      <c r="BU142" s="27"/>
      <c r="BV142" s="27"/>
      <c r="BW142" s="27"/>
      <c r="BX142" s="27"/>
      <c r="BY142" s="27"/>
      <c r="BZ142" s="27"/>
      <c r="CA142" s="27"/>
      <c r="CB142" s="27"/>
      <c r="CC142" s="27"/>
      <c r="CD142" s="27"/>
      <c r="CE142" s="27"/>
      <c r="CF142" s="27"/>
      <c r="CG142" s="27"/>
      <c r="CH142" s="27"/>
      <c r="CI142" s="27"/>
      <c r="CJ142" s="27"/>
      <c r="CK142" s="27"/>
      <c r="CL142" s="27"/>
      <c r="CM142" s="27"/>
      <c r="CN142" s="27"/>
      <c r="CO142" s="27"/>
      <c r="CP142" s="27"/>
      <c r="CQ142" s="27"/>
      <c r="CR142" s="27"/>
      <c r="CS142" s="27"/>
      <c r="CT142" s="27"/>
      <c r="CU142" s="27"/>
      <c r="CV142" s="27"/>
      <c r="CW142" s="27"/>
      <c r="CX142" s="27"/>
      <c r="CY142" s="27"/>
      <c r="CZ142" s="27"/>
      <c r="DA142" s="27"/>
      <c r="DB142" s="27"/>
      <c r="DC142" s="27"/>
      <c r="DD142" s="27"/>
      <c r="DE142" s="27"/>
      <c r="DF142" s="27"/>
      <c r="DG142" s="27"/>
      <c r="DH142" s="27"/>
      <c r="DI142" s="27"/>
      <c r="DJ142" s="27"/>
      <c r="DK142" s="27"/>
      <c r="DL142" s="27"/>
      <c r="DM142" s="27"/>
      <c r="DN142" s="27"/>
      <c r="DO142" s="27"/>
      <c r="DP142" s="27"/>
      <c r="DQ142" s="27"/>
      <c r="DR142" s="27"/>
      <c r="DS142" s="27"/>
      <c r="DT142" s="27"/>
      <c r="DU142" s="27"/>
      <c r="DV142" s="27"/>
      <c r="DW142" s="27"/>
      <c r="DX142" s="27"/>
      <c r="DY142" s="27"/>
      <c r="DZ142" s="27"/>
      <c r="EA142" s="27"/>
      <c r="EB142" s="27"/>
      <c r="EC142" s="27"/>
      <c r="ED142" s="27"/>
      <c r="EE142" s="27"/>
      <c r="EF142" s="27"/>
      <c r="EG142" s="27"/>
      <c r="EH142" s="27"/>
      <c r="EI142" s="27"/>
      <c r="EJ142" s="27"/>
      <c r="EK142" s="27"/>
      <c r="EL142" s="27"/>
      <c r="EM142" s="27"/>
      <c r="EN142" s="27"/>
      <c r="EO142" s="27"/>
      <c r="EP142" s="27"/>
      <c r="EQ142" s="27"/>
      <c r="ER142" s="27"/>
      <c r="ES142" s="27"/>
      <c r="ET142" s="27"/>
      <c r="EU142" s="27"/>
      <c r="EV142" s="27"/>
      <c r="EW142" s="27"/>
      <c r="EX142" s="27"/>
      <c r="EY142" s="27"/>
      <c r="EZ142" s="27"/>
      <c r="FA142" s="27"/>
      <c r="FB142" s="27"/>
      <c r="FC142" s="27"/>
      <c r="FD142" s="27"/>
      <c r="FE142" s="27"/>
      <c r="FF142" s="27"/>
      <c r="FG142" s="27"/>
      <c r="FH142" s="27"/>
      <c r="FI142" s="27"/>
      <c r="FJ142" s="27"/>
      <c r="FK142" s="27"/>
      <c r="FL142" s="27"/>
      <c r="FM142" s="27"/>
      <c r="FN142" s="27"/>
      <c r="FO142" s="27"/>
      <c r="FP142" s="27"/>
      <c r="FQ142" s="27"/>
      <c r="FR142" s="27"/>
      <c r="FS142" s="27"/>
      <c r="FT142" s="27"/>
      <c r="FU142" s="27"/>
      <c r="FV142" s="27"/>
      <c r="FW142" s="27"/>
      <c r="FX142" s="27"/>
      <c r="FY142" s="27"/>
      <c r="FZ142" s="27"/>
      <c r="GA142" s="27"/>
      <c r="GB142" s="27"/>
      <c r="GC142" s="27"/>
      <c r="GD142" s="27"/>
      <c r="GE142" s="27"/>
      <c r="GF142" s="27"/>
      <c r="GG142" s="27"/>
      <c r="GH142" s="27"/>
      <c r="GI142" s="27"/>
      <c r="GJ142" s="27"/>
      <c r="GK142" s="27"/>
      <c r="GL142" s="27"/>
      <c r="GM142" s="27"/>
      <c r="GN142" s="27"/>
      <c r="GO142" s="27"/>
      <c r="GP142" s="27"/>
      <c r="GQ142" s="27"/>
      <c r="GR142" s="27"/>
      <c r="GS142" s="27"/>
      <c r="GT142" s="27"/>
      <c r="GU142" s="27"/>
      <c r="GV142" s="27"/>
      <c r="GW142" s="27"/>
      <c r="GX142" s="27"/>
      <c r="GY142" s="27"/>
      <c r="GZ142" s="27"/>
      <c r="HA142" s="27"/>
      <c r="HB142" s="27"/>
      <c r="HC142" s="27"/>
      <c r="HD142" s="27"/>
      <c r="HE142" s="27"/>
      <c r="HF142" s="27"/>
      <c r="HG142" s="27"/>
      <c r="HH142" s="27"/>
      <c r="HI142" s="27"/>
      <c r="HJ142" s="27"/>
      <c r="HK142" s="27"/>
      <c r="HL142" s="27"/>
      <c r="HM142" s="27"/>
      <c r="HN142" s="27"/>
      <c r="HO142" s="27"/>
      <c r="HP142" s="27"/>
      <c r="HQ142" s="27"/>
      <c r="HR142" s="27"/>
      <c r="HS142" s="27"/>
      <c r="HT142" s="27"/>
      <c r="HU142" s="27"/>
      <c r="HV142" s="27"/>
      <c r="HW142" s="27"/>
      <c r="HX142" s="27"/>
      <c r="HY142" s="27"/>
      <c r="HZ142" s="27"/>
      <c r="IA142" s="27"/>
      <c r="IB142" s="27"/>
      <c r="IC142" s="27"/>
      <c r="ID142" s="27"/>
      <c r="IE142" s="27"/>
      <c r="IF142" s="27"/>
      <c r="IG142" s="27"/>
      <c r="IH142" s="27"/>
      <c r="II142" s="27"/>
      <c r="IJ142" s="27"/>
      <c r="IK142" s="27"/>
      <c r="IL142" s="27"/>
      <c r="IM142" s="27"/>
      <c r="IN142" s="27"/>
      <c r="IO142" s="27"/>
      <c r="IP142" s="27"/>
      <c r="IQ142" s="27"/>
      <c r="IR142" s="27"/>
      <c r="IS142" s="27"/>
      <c r="IT142" s="27"/>
      <c r="IU142" s="27"/>
      <c r="IV142" s="27"/>
    </row>
    <row r="143" spans="1:256" ht="12.75" customHeight="1" x14ac:dyDescent="0.2">
      <c r="A143" s="27"/>
      <c r="B143" s="27"/>
      <c r="C143" s="27"/>
      <c r="D143" s="27"/>
      <c r="E143" s="27"/>
      <c r="F143" s="27"/>
      <c r="G143" s="27"/>
      <c r="H143" s="27"/>
      <c r="I143" s="27"/>
      <c r="J143" s="72"/>
      <c r="K143" s="72"/>
      <c r="L143" s="72"/>
      <c r="M143" s="72"/>
      <c r="N143" s="72"/>
      <c r="O143" s="72"/>
      <c r="P143" s="72"/>
      <c r="Q143" s="72"/>
      <c r="R143" s="72"/>
      <c r="S143" s="72"/>
      <c r="T143" s="27"/>
      <c r="U143" s="27"/>
      <c r="V143" s="27"/>
      <c r="W143" s="27"/>
      <c r="X143" s="27"/>
      <c r="Y143" s="27"/>
      <c r="Z143" s="27"/>
      <c r="AA143" s="27"/>
      <c r="AB143" s="27"/>
      <c r="AC143" s="27"/>
      <c r="AD143" s="27"/>
      <c r="AE143" s="27"/>
      <c r="AF143" s="27"/>
      <c r="AG143" s="27"/>
      <c r="AH143" s="27"/>
      <c r="AI143" s="27"/>
      <c r="AJ143" s="27"/>
      <c r="AK143" s="27"/>
      <c r="AL143" s="27"/>
      <c r="AM143" s="27"/>
      <c r="AN143" s="27"/>
      <c r="AO143" s="27"/>
      <c r="AP143" s="27"/>
      <c r="AQ143" s="27"/>
      <c r="AR143" s="27"/>
      <c r="AS143" s="27"/>
      <c r="AT143" s="27"/>
      <c r="AU143" s="27"/>
      <c r="AV143" s="27"/>
      <c r="AW143" s="27"/>
      <c r="AX143" s="27"/>
      <c r="AY143" s="27"/>
      <c r="AZ143" s="27"/>
      <c r="BA143" s="27"/>
      <c r="BB143" s="27"/>
      <c r="BC143" s="27"/>
      <c r="BD143" s="27"/>
      <c r="BE143" s="27"/>
      <c r="BF143" s="27"/>
      <c r="BG143" s="27"/>
      <c r="BH143" s="27"/>
      <c r="BI143" s="27"/>
      <c r="BJ143" s="27"/>
      <c r="BK143" s="27"/>
      <c r="BL143" s="27"/>
      <c r="BM143" s="27"/>
      <c r="BN143" s="27"/>
      <c r="BO143" s="27"/>
      <c r="BP143" s="27"/>
      <c r="BQ143" s="27"/>
      <c r="BR143" s="27"/>
      <c r="BS143" s="27"/>
      <c r="BT143" s="27"/>
      <c r="BU143" s="27"/>
      <c r="BV143" s="27"/>
      <c r="BW143" s="27"/>
      <c r="BX143" s="27"/>
      <c r="BY143" s="27"/>
      <c r="BZ143" s="27"/>
      <c r="CA143" s="27"/>
      <c r="CB143" s="27"/>
      <c r="CC143" s="27"/>
      <c r="CD143" s="27"/>
      <c r="CE143" s="27"/>
      <c r="CF143" s="27"/>
      <c r="CG143" s="27"/>
      <c r="CH143" s="27"/>
      <c r="CI143" s="27"/>
      <c r="CJ143" s="27"/>
      <c r="CK143" s="27"/>
      <c r="CL143" s="27"/>
      <c r="CM143" s="27"/>
      <c r="CN143" s="27"/>
      <c r="CO143" s="27"/>
      <c r="CP143" s="27"/>
      <c r="CQ143" s="27"/>
      <c r="CR143" s="27"/>
      <c r="CS143" s="27"/>
      <c r="CT143" s="27"/>
      <c r="CU143" s="27"/>
      <c r="CV143" s="27"/>
      <c r="CW143" s="27"/>
      <c r="CX143" s="27"/>
      <c r="CY143" s="27"/>
      <c r="CZ143" s="27"/>
      <c r="DA143" s="27"/>
      <c r="DB143" s="27"/>
      <c r="DC143" s="27"/>
      <c r="DD143" s="27"/>
      <c r="DE143" s="27"/>
      <c r="DF143" s="27"/>
      <c r="DG143" s="27"/>
      <c r="DH143" s="27"/>
      <c r="DI143" s="27"/>
      <c r="DJ143" s="27"/>
      <c r="DK143" s="27"/>
      <c r="DL143" s="27"/>
      <c r="DM143" s="27"/>
      <c r="DN143" s="27"/>
      <c r="DO143" s="27"/>
      <c r="DP143" s="27"/>
      <c r="DQ143" s="27"/>
      <c r="DR143" s="27"/>
      <c r="DS143" s="27"/>
      <c r="DT143" s="27"/>
      <c r="DU143" s="27"/>
      <c r="DV143" s="27"/>
      <c r="DW143" s="27"/>
      <c r="DX143" s="27"/>
      <c r="DY143" s="27"/>
      <c r="DZ143" s="27"/>
      <c r="EA143" s="27"/>
      <c r="EB143" s="27"/>
      <c r="EC143" s="27"/>
      <c r="ED143" s="27"/>
      <c r="EE143" s="27"/>
      <c r="EF143" s="27"/>
      <c r="EG143" s="27"/>
      <c r="EH143" s="27"/>
      <c r="EI143" s="27"/>
      <c r="EJ143" s="27"/>
      <c r="EK143" s="27"/>
      <c r="EL143" s="27"/>
      <c r="EM143" s="27"/>
      <c r="EN143" s="27"/>
      <c r="EO143" s="27"/>
      <c r="EP143" s="27"/>
      <c r="EQ143" s="27"/>
      <c r="ER143" s="27"/>
      <c r="ES143" s="27"/>
      <c r="ET143" s="27"/>
      <c r="EU143" s="27"/>
      <c r="EV143" s="27"/>
      <c r="EW143" s="27"/>
      <c r="EX143" s="27"/>
      <c r="EY143" s="27"/>
      <c r="EZ143" s="27"/>
      <c r="FA143" s="27"/>
      <c r="FB143" s="27"/>
      <c r="FC143" s="27"/>
      <c r="FD143" s="27"/>
      <c r="FE143" s="27"/>
      <c r="FF143" s="27"/>
      <c r="FG143" s="27"/>
      <c r="FH143" s="27"/>
      <c r="FI143" s="27"/>
      <c r="FJ143" s="27"/>
      <c r="FK143" s="27"/>
      <c r="FL143" s="27"/>
      <c r="FM143" s="27"/>
      <c r="FN143" s="27"/>
      <c r="FO143" s="27"/>
      <c r="FP143" s="27"/>
      <c r="FQ143" s="27"/>
      <c r="FR143" s="27"/>
      <c r="FS143" s="27"/>
      <c r="FT143" s="27"/>
      <c r="FU143" s="27"/>
      <c r="FV143" s="27"/>
      <c r="FW143" s="27"/>
      <c r="FX143" s="27"/>
      <c r="FY143" s="27"/>
      <c r="FZ143" s="27"/>
      <c r="GA143" s="27"/>
      <c r="GB143" s="27"/>
      <c r="GC143" s="27"/>
      <c r="GD143" s="27"/>
      <c r="GE143" s="27"/>
      <c r="GF143" s="27"/>
      <c r="GG143" s="27"/>
      <c r="GH143" s="27"/>
      <c r="GI143" s="27"/>
      <c r="GJ143" s="27"/>
      <c r="GK143" s="27"/>
      <c r="GL143" s="27"/>
      <c r="GM143" s="27"/>
      <c r="GN143" s="27"/>
      <c r="GO143" s="27"/>
      <c r="GP143" s="27"/>
      <c r="GQ143" s="27"/>
      <c r="GR143" s="27"/>
      <c r="GS143" s="27"/>
      <c r="GT143" s="27"/>
      <c r="GU143" s="27"/>
      <c r="GV143" s="27"/>
      <c r="GW143" s="27"/>
      <c r="GX143" s="27"/>
      <c r="GY143" s="27"/>
      <c r="GZ143" s="27"/>
      <c r="HA143" s="27"/>
      <c r="HB143" s="27"/>
      <c r="HC143" s="27"/>
      <c r="HD143" s="27"/>
      <c r="HE143" s="27"/>
      <c r="HF143" s="27"/>
      <c r="HG143" s="27"/>
      <c r="HH143" s="27"/>
      <c r="HI143" s="27"/>
      <c r="HJ143" s="27"/>
      <c r="HK143" s="27"/>
      <c r="HL143" s="27"/>
      <c r="HM143" s="27"/>
      <c r="HN143" s="27"/>
      <c r="HO143" s="27"/>
      <c r="HP143" s="27"/>
      <c r="HQ143" s="27"/>
      <c r="HR143" s="27"/>
      <c r="HS143" s="27"/>
      <c r="HT143" s="27"/>
      <c r="HU143" s="27"/>
      <c r="HV143" s="27"/>
      <c r="HW143" s="27"/>
      <c r="HX143" s="27"/>
      <c r="HY143" s="27"/>
      <c r="HZ143" s="27"/>
      <c r="IA143" s="27"/>
      <c r="IB143" s="27"/>
      <c r="IC143" s="27"/>
      <c r="ID143" s="27"/>
      <c r="IE143" s="27"/>
      <c r="IF143" s="27"/>
      <c r="IG143" s="27"/>
      <c r="IH143" s="27"/>
      <c r="II143" s="27"/>
      <c r="IJ143" s="27"/>
      <c r="IK143" s="27"/>
      <c r="IL143" s="27"/>
      <c r="IM143" s="27"/>
      <c r="IN143" s="27"/>
      <c r="IO143" s="27"/>
      <c r="IP143" s="27"/>
      <c r="IQ143" s="27"/>
      <c r="IR143" s="27"/>
      <c r="IS143" s="27"/>
      <c r="IT143" s="27"/>
      <c r="IU143" s="27"/>
      <c r="IV143" s="27"/>
    </row>
    <row r="144" spans="1:256" ht="14.1" customHeight="1" x14ac:dyDescent="0.2">
      <c r="A144" s="27"/>
      <c r="B144" s="27"/>
      <c r="C144" s="27"/>
      <c r="D144" s="27"/>
      <c r="E144" s="27"/>
      <c r="F144" s="27"/>
      <c r="G144" s="27"/>
      <c r="H144" s="27"/>
      <c r="I144" s="27"/>
      <c r="J144" s="73"/>
      <c r="K144" s="73"/>
      <c r="L144" s="73"/>
      <c r="M144" s="73"/>
      <c r="N144" s="73"/>
      <c r="O144" s="73"/>
      <c r="P144" s="73"/>
      <c r="Q144" s="73"/>
      <c r="R144" s="73"/>
      <c r="S144" s="73"/>
      <c r="T144" s="27"/>
      <c r="U144" s="27"/>
      <c r="V144" s="27"/>
      <c r="W144" s="27"/>
      <c r="X144" s="27"/>
      <c r="Y144" s="27"/>
      <c r="Z144" s="27"/>
      <c r="AA144" s="27"/>
      <c r="AB144" s="27"/>
      <c r="AC144" s="27"/>
      <c r="AD144" s="27"/>
      <c r="AE144" s="27"/>
      <c r="AF144" s="27"/>
      <c r="AG144" s="27"/>
      <c r="AH144" s="27"/>
      <c r="AI144" s="27"/>
      <c r="AJ144" s="27"/>
      <c r="AK144" s="27"/>
      <c r="AL144" s="27"/>
      <c r="AM144" s="27"/>
      <c r="AN144" s="27"/>
      <c r="AO144" s="27"/>
      <c r="AP144" s="27"/>
      <c r="AQ144" s="27"/>
      <c r="AR144" s="27"/>
      <c r="AS144" s="27"/>
      <c r="AT144" s="27"/>
      <c r="AU144" s="27"/>
      <c r="AV144" s="27"/>
      <c r="AW144" s="27"/>
      <c r="AX144" s="27"/>
      <c r="AY144" s="27"/>
      <c r="AZ144" s="27"/>
      <c r="BA144" s="27"/>
      <c r="BB144" s="27"/>
      <c r="BC144" s="27"/>
      <c r="BD144" s="27"/>
      <c r="BE144" s="27"/>
      <c r="BF144" s="27"/>
      <c r="BG144" s="27"/>
      <c r="BH144" s="27"/>
      <c r="BI144" s="27"/>
      <c r="BJ144" s="27"/>
      <c r="BK144" s="27"/>
      <c r="BL144" s="27"/>
      <c r="BM144" s="27"/>
      <c r="BN144" s="27"/>
      <c r="BO144" s="27"/>
      <c r="BP144" s="27"/>
      <c r="BQ144" s="27"/>
      <c r="BR144" s="27"/>
      <c r="BS144" s="27"/>
      <c r="BT144" s="27"/>
      <c r="BU144" s="27"/>
      <c r="BV144" s="27"/>
      <c r="BW144" s="27"/>
      <c r="BX144" s="27"/>
      <c r="BY144" s="27"/>
      <c r="BZ144" s="27"/>
      <c r="CA144" s="27"/>
      <c r="CB144" s="27"/>
      <c r="CC144" s="27"/>
      <c r="CD144" s="27"/>
      <c r="CE144" s="27"/>
      <c r="CF144" s="27"/>
      <c r="CG144" s="27"/>
      <c r="CH144" s="27"/>
      <c r="CI144" s="27"/>
      <c r="CJ144" s="27"/>
      <c r="CK144" s="27"/>
      <c r="CL144" s="27"/>
      <c r="CM144" s="27"/>
      <c r="CN144" s="27"/>
      <c r="CO144" s="27"/>
      <c r="CP144" s="27"/>
      <c r="CQ144" s="27"/>
      <c r="CR144" s="27"/>
      <c r="CS144" s="27"/>
      <c r="CT144" s="27"/>
      <c r="CU144" s="27"/>
      <c r="CV144" s="27"/>
      <c r="CW144" s="27"/>
      <c r="CX144" s="27"/>
      <c r="CY144" s="27"/>
      <c r="CZ144" s="27"/>
      <c r="DA144" s="27"/>
      <c r="DB144" s="27"/>
      <c r="DC144" s="27"/>
      <c r="DD144" s="27"/>
      <c r="DE144" s="27"/>
      <c r="DF144" s="27"/>
      <c r="DG144" s="27"/>
      <c r="DH144" s="27"/>
      <c r="DI144" s="27"/>
      <c r="DJ144" s="27"/>
      <c r="DK144" s="27"/>
      <c r="DL144" s="27"/>
      <c r="DM144" s="27"/>
      <c r="DN144" s="27"/>
      <c r="DO144" s="27"/>
      <c r="DP144" s="27"/>
      <c r="DQ144" s="27"/>
      <c r="DR144" s="27"/>
      <c r="DS144" s="27"/>
      <c r="DT144" s="27"/>
      <c r="DU144" s="27"/>
      <c r="DV144" s="27"/>
      <c r="DW144" s="27"/>
      <c r="DX144" s="27"/>
      <c r="DY144" s="27"/>
      <c r="DZ144" s="27"/>
      <c r="EA144" s="27"/>
      <c r="EB144" s="27"/>
      <c r="EC144" s="27"/>
      <c r="ED144" s="27"/>
      <c r="EE144" s="27"/>
      <c r="EF144" s="27"/>
      <c r="EG144" s="27"/>
      <c r="EH144" s="27"/>
      <c r="EI144" s="27"/>
      <c r="EJ144" s="27"/>
      <c r="EK144" s="27"/>
      <c r="EL144" s="27"/>
      <c r="EM144" s="27"/>
      <c r="EN144" s="27"/>
      <c r="EO144" s="27"/>
      <c r="EP144" s="27"/>
      <c r="EQ144" s="27"/>
      <c r="ER144" s="27"/>
      <c r="ES144" s="27"/>
      <c r="ET144" s="27"/>
      <c r="EU144" s="27"/>
      <c r="EV144" s="27"/>
      <c r="EW144" s="27"/>
      <c r="EX144" s="27"/>
      <c r="EY144" s="27"/>
      <c r="EZ144" s="27"/>
      <c r="FA144" s="27"/>
      <c r="FB144" s="27"/>
      <c r="FC144" s="27"/>
      <c r="FD144" s="27"/>
      <c r="FE144" s="27"/>
      <c r="FF144" s="27"/>
      <c r="FG144" s="27"/>
      <c r="FH144" s="27"/>
      <c r="FI144" s="27"/>
      <c r="FJ144" s="27"/>
      <c r="FK144" s="27"/>
      <c r="FL144" s="27"/>
      <c r="FM144" s="27"/>
      <c r="FN144" s="27"/>
      <c r="FO144" s="27"/>
      <c r="FP144" s="27"/>
      <c r="FQ144" s="27"/>
      <c r="FR144" s="27"/>
      <c r="FS144" s="27"/>
      <c r="FT144" s="27"/>
      <c r="FU144" s="27"/>
      <c r="FV144" s="27"/>
      <c r="FW144" s="27"/>
      <c r="FX144" s="27"/>
      <c r="FY144" s="27"/>
      <c r="FZ144" s="27"/>
      <c r="GA144" s="27"/>
      <c r="GB144" s="27"/>
      <c r="GC144" s="27"/>
      <c r="GD144" s="27"/>
      <c r="GE144" s="27"/>
      <c r="GF144" s="27"/>
      <c r="GG144" s="27"/>
      <c r="GH144" s="27"/>
      <c r="GI144" s="27"/>
      <c r="GJ144" s="27"/>
      <c r="GK144" s="27"/>
      <c r="GL144" s="27"/>
      <c r="GM144" s="27"/>
      <c r="GN144" s="27"/>
      <c r="GO144" s="27"/>
      <c r="GP144" s="27"/>
      <c r="GQ144" s="27"/>
      <c r="GR144" s="27"/>
      <c r="GS144" s="27"/>
      <c r="GT144" s="27"/>
      <c r="GU144" s="27"/>
      <c r="GV144" s="27"/>
      <c r="GW144" s="27"/>
      <c r="GX144" s="27"/>
      <c r="GY144" s="27"/>
      <c r="GZ144" s="27"/>
      <c r="HA144" s="27"/>
      <c r="HB144" s="27"/>
      <c r="HC144" s="27"/>
      <c r="HD144" s="27"/>
      <c r="HE144" s="27"/>
      <c r="HF144" s="27"/>
      <c r="HG144" s="27"/>
      <c r="HH144" s="27"/>
      <c r="HI144" s="27"/>
      <c r="HJ144" s="27"/>
      <c r="HK144" s="27"/>
      <c r="HL144" s="27"/>
      <c r="HM144" s="27"/>
      <c r="HN144" s="27"/>
      <c r="HO144" s="27"/>
      <c r="HP144" s="27"/>
      <c r="HQ144" s="27"/>
      <c r="HR144" s="27"/>
      <c r="HS144" s="27"/>
      <c r="HT144" s="27"/>
      <c r="HU144" s="27"/>
      <c r="HV144" s="27"/>
      <c r="HW144" s="27"/>
      <c r="HX144" s="27"/>
      <c r="HY144" s="27"/>
      <c r="HZ144" s="27"/>
      <c r="IA144" s="27"/>
      <c r="IB144" s="27"/>
      <c r="IC144" s="27"/>
      <c r="ID144" s="27"/>
      <c r="IE144" s="27"/>
      <c r="IF144" s="27"/>
      <c r="IG144" s="27"/>
      <c r="IH144" s="27"/>
      <c r="II144" s="27"/>
      <c r="IJ144" s="27"/>
      <c r="IK144" s="27"/>
      <c r="IL144" s="27"/>
      <c r="IM144" s="27"/>
      <c r="IN144" s="27"/>
      <c r="IO144" s="27"/>
      <c r="IP144" s="27"/>
      <c r="IQ144" s="27"/>
      <c r="IR144" s="27"/>
      <c r="IS144" s="27"/>
      <c r="IT144" s="27"/>
      <c r="IU144" s="27"/>
      <c r="IV144" s="27"/>
    </row>
    <row r="145" spans="1:21" ht="14.1" customHeight="1" x14ac:dyDescent="0.25">
      <c r="J145" s="49"/>
      <c r="K145" s="49"/>
      <c r="L145" s="49"/>
      <c r="M145" s="49"/>
      <c r="N145" s="49"/>
      <c r="O145" s="49"/>
      <c r="P145" s="49"/>
      <c r="Q145" s="49"/>
      <c r="R145" s="49"/>
      <c r="S145" s="49"/>
    </row>
    <row r="146" spans="1:21" s="1" customFormat="1" ht="12.75" customHeight="1" x14ac:dyDescent="0.25">
      <c r="A146" s="1001" t="s">
        <v>606</v>
      </c>
      <c r="B146" s="1002"/>
      <c r="C146" s="1002"/>
      <c r="D146" s="1002"/>
      <c r="E146" s="1002"/>
      <c r="F146" s="1002"/>
      <c r="G146" s="1002"/>
      <c r="H146" s="1002"/>
      <c r="I146" s="1002"/>
      <c r="J146" s="1002"/>
      <c r="K146" s="1002"/>
      <c r="L146" s="1002"/>
      <c r="M146" s="1002"/>
      <c r="N146" s="1002" t="s">
        <v>606</v>
      </c>
      <c r="O146" s="1002"/>
      <c r="P146" s="1002"/>
      <c r="Q146" s="1002"/>
      <c r="R146" s="1002"/>
      <c r="S146" s="1002"/>
      <c r="T146" s="1002"/>
      <c r="U146" s="1003"/>
    </row>
    <row r="147" spans="1:21" s="1" customFormat="1" ht="14.1" customHeight="1" x14ac:dyDescent="0.25">
      <c r="A147" s="1027" t="s">
        <v>0</v>
      </c>
      <c r="B147" s="1028" t="s">
        <v>1</v>
      </c>
      <c r="C147" s="1027" t="s">
        <v>2</v>
      </c>
      <c r="D147" s="970" t="s">
        <v>260</v>
      </c>
      <c r="E147" s="1030" t="s">
        <v>259</v>
      </c>
      <c r="F147" s="1025" t="s">
        <v>607</v>
      </c>
      <c r="G147" s="1029"/>
      <c r="H147" s="1025" t="s">
        <v>608</v>
      </c>
      <c r="I147" s="1026"/>
      <c r="J147" s="1037" t="s">
        <v>609</v>
      </c>
      <c r="K147" s="1023"/>
      <c r="L147" s="1040" t="s">
        <v>646</v>
      </c>
      <c r="M147" s="1040"/>
      <c r="N147" s="1031" t="s">
        <v>610</v>
      </c>
      <c r="O147" s="1032"/>
      <c r="P147" s="1031" t="s">
        <v>611</v>
      </c>
      <c r="Q147" s="1032"/>
      <c r="R147" s="1038" t="s">
        <v>612</v>
      </c>
      <c r="S147" s="1039"/>
      <c r="T147" s="1038" t="s">
        <v>613</v>
      </c>
      <c r="U147" s="1039"/>
    </row>
    <row r="148" spans="1:21" s="3" customFormat="1" ht="27" customHeight="1" x14ac:dyDescent="0.25">
      <c r="A148" s="974"/>
      <c r="B148" s="975"/>
      <c r="C148" s="974"/>
      <c r="D148" s="976"/>
      <c r="E148" s="970"/>
      <c r="F148" s="2" t="s">
        <v>263</v>
      </c>
      <c r="G148" s="2" t="s">
        <v>259</v>
      </c>
      <c r="H148" s="2" t="s">
        <v>260</v>
      </c>
      <c r="I148" s="48" t="s">
        <v>259</v>
      </c>
      <c r="J148" s="60" t="s">
        <v>260</v>
      </c>
      <c r="K148" s="75" t="s">
        <v>259</v>
      </c>
      <c r="L148" s="127" t="s">
        <v>260</v>
      </c>
      <c r="M148" s="127" t="s">
        <v>259</v>
      </c>
      <c r="N148" s="82" t="s">
        <v>260</v>
      </c>
      <c r="O148" s="83" t="s">
        <v>259</v>
      </c>
      <c r="P148" s="82" t="s">
        <v>260</v>
      </c>
      <c r="Q148" s="83" t="s">
        <v>259</v>
      </c>
      <c r="R148" s="121" t="s">
        <v>260</v>
      </c>
      <c r="S148" s="122" t="s">
        <v>259</v>
      </c>
      <c r="T148" s="121" t="s">
        <v>260</v>
      </c>
      <c r="U148" s="122" t="s">
        <v>259</v>
      </c>
    </row>
    <row r="149" spans="1:21" ht="5.65" customHeight="1" x14ac:dyDescent="0.25">
      <c r="J149" s="61"/>
      <c r="K149" s="76"/>
      <c r="L149" s="61"/>
      <c r="M149" s="76"/>
      <c r="N149" s="61"/>
      <c r="O149" s="61"/>
      <c r="P149" s="61"/>
      <c r="Q149" s="61"/>
      <c r="R149" s="61"/>
      <c r="S149" s="61"/>
      <c r="T149" s="61"/>
      <c r="U149" s="61"/>
    </row>
    <row r="150" spans="1:21" ht="14.1" customHeight="1" x14ac:dyDescent="0.25">
      <c r="A150" s="973" t="s">
        <v>194</v>
      </c>
      <c r="B150" s="973"/>
      <c r="C150" s="973"/>
      <c r="D150" s="973"/>
      <c r="E150" s="973"/>
      <c r="F150" s="973"/>
      <c r="G150" s="973"/>
      <c r="H150" s="973"/>
      <c r="I150" s="973"/>
      <c r="J150" s="62"/>
      <c r="K150" s="77"/>
      <c r="L150" s="62"/>
      <c r="M150" s="77"/>
      <c r="N150" s="62"/>
      <c r="O150" s="62"/>
      <c r="P150" s="62"/>
      <c r="Q150" s="62"/>
      <c r="R150" s="62"/>
      <c r="S150" s="62"/>
      <c r="T150" s="62"/>
      <c r="U150" s="62"/>
    </row>
    <row r="151" spans="1:21" ht="14.1" customHeight="1" x14ac:dyDescent="0.25">
      <c r="A151" s="24" t="s">
        <v>195</v>
      </c>
      <c r="B151" s="24" t="s">
        <v>196</v>
      </c>
      <c r="C151" s="25" t="s">
        <v>197</v>
      </c>
      <c r="D151" s="26">
        <f>F151+H151+J151+L151+N151+P151+R151+T151</f>
        <v>0</v>
      </c>
      <c r="E151" s="26">
        <f>G151+I151+K151+M151+O151+Q151+S151+U151</f>
        <v>2083</v>
      </c>
      <c r="F151" s="26"/>
      <c r="G151" s="26">
        <v>2083</v>
      </c>
      <c r="H151" s="26"/>
      <c r="I151" s="56"/>
      <c r="J151" s="61"/>
      <c r="K151" s="76"/>
      <c r="L151" s="61"/>
      <c r="M151" s="76"/>
      <c r="N151" s="61"/>
      <c r="O151" s="61"/>
      <c r="P151" s="61"/>
      <c r="Q151" s="61"/>
      <c r="R151" s="61"/>
      <c r="S151" s="61"/>
      <c r="T151" s="61"/>
      <c r="U151" s="61"/>
    </row>
    <row r="152" spans="1:21" ht="14.1" customHeight="1" x14ac:dyDescent="0.25">
      <c r="A152" s="24" t="s">
        <v>198</v>
      </c>
      <c r="B152" s="24" t="s">
        <v>199</v>
      </c>
      <c r="C152" s="25" t="s">
        <v>200</v>
      </c>
      <c r="D152" s="26">
        <f t="shared" ref="D152:E158" si="20">F152+H152+J152+L152+N152+P152+R152+T152</f>
        <v>0</v>
      </c>
      <c r="E152" s="26">
        <f t="shared" si="20"/>
        <v>0</v>
      </c>
      <c r="F152" s="26"/>
      <c r="G152" s="26"/>
      <c r="H152" s="26"/>
      <c r="I152" s="56"/>
      <c r="J152" s="61"/>
      <c r="K152" s="76"/>
      <c r="L152" s="61"/>
      <c r="M152" s="76"/>
      <c r="N152" s="61"/>
      <c r="O152" s="61"/>
      <c r="P152" s="61"/>
      <c r="Q152" s="61"/>
      <c r="R152" s="61"/>
      <c r="S152" s="61"/>
      <c r="T152" s="61"/>
      <c r="U152" s="61"/>
    </row>
    <row r="153" spans="1:21" ht="14.1" customHeight="1" x14ac:dyDescent="0.25">
      <c r="A153" s="24" t="s">
        <v>201</v>
      </c>
      <c r="B153" s="24" t="s">
        <v>202</v>
      </c>
      <c r="C153" s="25" t="s">
        <v>203</v>
      </c>
      <c r="D153" s="26">
        <f t="shared" si="20"/>
        <v>1000</v>
      </c>
      <c r="E153" s="26">
        <f t="shared" si="20"/>
        <v>1000</v>
      </c>
      <c r="F153" s="26">
        <v>1000</v>
      </c>
      <c r="G153" s="26">
        <v>1000</v>
      </c>
      <c r="H153" s="26"/>
      <c r="I153" s="56"/>
      <c r="J153" s="61"/>
      <c r="K153" s="76"/>
      <c r="L153" s="61"/>
      <c r="M153" s="76"/>
      <c r="N153" s="61"/>
      <c r="O153" s="61"/>
      <c r="P153" s="61"/>
      <c r="Q153" s="61"/>
      <c r="R153" s="61"/>
      <c r="S153" s="61"/>
      <c r="T153" s="61"/>
      <c r="U153" s="61"/>
    </row>
    <row r="154" spans="1:21" ht="14.1" customHeight="1" x14ac:dyDescent="0.25">
      <c r="A154" s="24" t="s">
        <v>204</v>
      </c>
      <c r="B154" s="24" t="s">
        <v>205</v>
      </c>
      <c r="C154" s="25" t="s">
        <v>206</v>
      </c>
      <c r="D154" s="26">
        <f t="shared" si="20"/>
        <v>900</v>
      </c>
      <c r="E154" s="26">
        <f t="shared" si="20"/>
        <v>4220</v>
      </c>
      <c r="F154" s="26">
        <v>800</v>
      </c>
      <c r="G154" s="26">
        <f>1000+3150</f>
        <v>4150</v>
      </c>
      <c r="H154" s="26"/>
      <c r="I154" s="56"/>
      <c r="J154" s="61"/>
      <c r="K154" s="76"/>
      <c r="L154" s="61"/>
      <c r="M154" s="76"/>
      <c r="N154" s="61">
        <v>100</v>
      </c>
      <c r="O154" s="61">
        <v>40</v>
      </c>
      <c r="P154" s="61"/>
      <c r="Q154" s="61"/>
      <c r="R154" s="61"/>
      <c r="S154" s="61"/>
      <c r="T154" s="61"/>
      <c r="U154" s="61">
        <v>30</v>
      </c>
    </row>
    <row r="155" spans="1:21" ht="14.1" customHeight="1" x14ac:dyDescent="0.25">
      <c r="A155" s="24"/>
      <c r="B155" s="24" t="s">
        <v>207</v>
      </c>
      <c r="C155" s="25" t="s">
        <v>208</v>
      </c>
      <c r="D155" s="26">
        <f t="shared" si="20"/>
        <v>5000</v>
      </c>
      <c r="E155" s="26">
        <f t="shared" si="20"/>
        <v>0</v>
      </c>
      <c r="F155" s="26">
        <v>5000</v>
      </c>
      <c r="G155" s="26"/>
      <c r="H155" s="26"/>
      <c r="I155" s="56"/>
      <c r="J155" s="61"/>
      <c r="K155" s="76"/>
      <c r="L155" s="61"/>
      <c r="M155" s="76"/>
      <c r="N155" s="61"/>
      <c r="O155" s="61"/>
      <c r="P155" s="61"/>
      <c r="Q155" s="61"/>
      <c r="R155" s="61"/>
      <c r="S155" s="61"/>
      <c r="T155" s="61"/>
      <c r="U155" s="61"/>
    </row>
    <row r="156" spans="1:21" ht="14.1" customHeight="1" x14ac:dyDescent="0.25">
      <c r="A156" s="24" t="s">
        <v>209</v>
      </c>
      <c r="B156" s="24" t="s">
        <v>210</v>
      </c>
      <c r="C156" s="25" t="s">
        <v>211</v>
      </c>
      <c r="D156" s="26">
        <f t="shared" si="20"/>
        <v>0</v>
      </c>
      <c r="E156" s="26">
        <f t="shared" si="20"/>
        <v>0</v>
      </c>
      <c r="F156" s="26"/>
      <c r="G156" s="26"/>
      <c r="H156" s="26"/>
      <c r="I156" s="56"/>
      <c r="J156" s="61"/>
      <c r="K156" s="76"/>
      <c r="L156" s="61"/>
      <c r="M156" s="76"/>
      <c r="N156" s="61"/>
      <c r="O156" s="61"/>
      <c r="P156" s="61"/>
      <c r="Q156" s="61"/>
      <c r="R156" s="61"/>
      <c r="S156" s="61"/>
      <c r="T156" s="61"/>
      <c r="U156" s="61"/>
    </row>
    <row r="157" spans="1:21" ht="14.1" customHeight="1" x14ac:dyDescent="0.25">
      <c r="A157" s="24" t="s">
        <v>212</v>
      </c>
      <c r="B157" s="24" t="s">
        <v>213</v>
      </c>
      <c r="C157" s="25" t="s">
        <v>214</v>
      </c>
      <c r="D157" s="26">
        <f t="shared" si="20"/>
        <v>0</v>
      </c>
      <c r="E157" s="26">
        <f t="shared" si="20"/>
        <v>0</v>
      </c>
      <c r="F157" s="26"/>
      <c r="G157" s="26"/>
      <c r="H157" s="26"/>
      <c r="I157" s="56"/>
      <c r="J157" s="61"/>
      <c r="K157" s="76"/>
      <c r="L157" s="61"/>
      <c r="M157" s="76"/>
      <c r="N157" s="61"/>
      <c r="O157" s="61"/>
      <c r="P157" s="61"/>
      <c r="Q157" s="61"/>
      <c r="R157" s="61"/>
      <c r="S157" s="61"/>
      <c r="T157" s="61"/>
      <c r="U157" s="61"/>
    </row>
    <row r="158" spans="1:21" ht="14.1" customHeight="1" x14ac:dyDescent="0.25">
      <c r="A158" s="24" t="s">
        <v>215</v>
      </c>
      <c r="B158" s="24" t="s">
        <v>216</v>
      </c>
      <c r="C158" s="25" t="s">
        <v>217</v>
      </c>
      <c r="D158" s="26">
        <f t="shared" si="20"/>
        <v>1863</v>
      </c>
      <c r="E158" s="26">
        <f t="shared" si="20"/>
        <v>1972</v>
      </c>
      <c r="F158" s="26">
        <v>1836</v>
      </c>
      <c r="G158" s="26">
        <f>ROUND((G151+G152+G153+G154+G155)*0.27,0)</f>
        <v>1953</v>
      </c>
      <c r="H158" s="26"/>
      <c r="I158" s="56"/>
      <c r="J158" s="61"/>
      <c r="K158" s="76"/>
      <c r="L158" s="61"/>
      <c r="M158" s="56"/>
      <c r="N158" s="61">
        <v>27</v>
      </c>
      <c r="O158" s="26">
        <f>ROUND((O151+O152+O153+O154+O155)*0.27,0)</f>
        <v>11</v>
      </c>
      <c r="P158" s="61"/>
      <c r="Q158" s="61"/>
      <c r="R158" s="61"/>
      <c r="S158" s="61"/>
      <c r="T158" s="61"/>
      <c r="U158" s="26">
        <f>ROUND((U151+U152+U153+U154+U155)*0.27,0)</f>
        <v>8</v>
      </c>
    </row>
    <row r="159" spans="1:21" s="3" customFormat="1" ht="14.1" customHeight="1" x14ac:dyDescent="0.25">
      <c r="A159" s="20" t="s">
        <v>218</v>
      </c>
      <c r="B159" s="20" t="s">
        <v>219</v>
      </c>
      <c r="C159" s="21" t="s">
        <v>220</v>
      </c>
      <c r="D159" s="22">
        <f>SUM(D151:D158)</f>
        <v>8763</v>
      </c>
      <c r="E159" s="22">
        <f>SUM(E151:E158)</f>
        <v>9275</v>
      </c>
      <c r="F159" s="22">
        <f t="shared" ref="F159:U159" si="21">SUM(F151:F158)</f>
        <v>8636</v>
      </c>
      <c r="G159" s="22">
        <f t="shared" si="21"/>
        <v>9186</v>
      </c>
      <c r="H159" s="22">
        <f t="shared" si="21"/>
        <v>0</v>
      </c>
      <c r="I159" s="22">
        <f t="shared" si="21"/>
        <v>0</v>
      </c>
      <c r="J159" s="22">
        <f t="shared" si="21"/>
        <v>0</v>
      </c>
      <c r="K159" s="22">
        <f t="shared" si="21"/>
        <v>0</v>
      </c>
      <c r="L159" s="22">
        <f t="shared" si="21"/>
        <v>0</v>
      </c>
      <c r="M159" s="22">
        <f t="shared" si="21"/>
        <v>0</v>
      </c>
      <c r="N159" s="22">
        <f t="shared" si="21"/>
        <v>127</v>
      </c>
      <c r="O159" s="22">
        <f t="shared" si="21"/>
        <v>51</v>
      </c>
      <c r="P159" s="22">
        <f t="shared" si="21"/>
        <v>0</v>
      </c>
      <c r="Q159" s="22">
        <f t="shared" si="21"/>
        <v>0</v>
      </c>
      <c r="R159" s="22">
        <f t="shared" si="21"/>
        <v>0</v>
      </c>
      <c r="S159" s="22">
        <f t="shared" si="21"/>
        <v>0</v>
      </c>
      <c r="T159" s="22">
        <f t="shared" si="21"/>
        <v>0</v>
      </c>
      <c r="U159" s="22">
        <f t="shared" si="21"/>
        <v>38</v>
      </c>
    </row>
    <row r="160" spans="1:21" ht="14.1" customHeight="1" x14ac:dyDescent="0.25">
      <c r="A160" s="24" t="s">
        <v>221</v>
      </c>
      <c r="B160" s="24" t="s">
        <v>222</v>
      </c>
      <c r="C160" s="25" t="s">
        <v>223</v>
      </c>
      <c r="D160" s="26">
        <f>F160+H160+J160+L160+N160+P160+R160+T160</f>
        <v>0</v>
      </c>
      <c r="E160" s="26">
        <f>G160+I160+K160+M160+O160+Q160+S160+U160</f>
        <v>0</v>
      </c>
      <c r="F160" s="26"/>
      <c r="G160" s="26"/>
      <c r="H160" s="26"/>
      <c r="I160" s="56"/>
      <c r="J160" s="61"/>
      <c r="K160" s="76"/>
      <c r="L160" s="61"/>
      <c r="M160" s="76"/>
      <c r="N160" s="61"/>
      <c r="O160" s="61"/>
      <c r="P160" s="61"/>
      <c r="Q160" s="61"/>
      <c r="R160" s="61"/>
      <c r="S160" s="61"/>
      <c r="T160" s="61"/>
      <c r="U160" s="61"/>
    </row>
    <row r="161" spans="1:21" ht="14.1" customHeight="1" x14ac:dyDescent="0.25">
      <c r="A161" s="24" t="s">
        <v>224</v>
      </c>
      <c r="B161" s="24" t="s">
        <v>225</v>
      </c>
      <c r="C161" s="25" t="s">
        <v>226</v>
      </c>
      <c r="D161" s="26">
        <f t="shared" ref="D161:E164" si="22">F161+H161+J161+L161+N161+P161+R161+T161</f>
        <v>0</v>
      </c>
      <c r="E161" s="26">
        <f t="shared" si="22"/>
        <v>0</v>
      </c>
      <c r="F161" s="26"/>
      <c r="G161" s="26"/>
      <c r="H161" s="26"/>
      <c r="I161" s="56"/>
      <c r="J161" s="61"/>
      <c r="K161" s="76"/>
      <c r="L161" s="61"/>
      <c r="M161" s="76"/>
      <c r="N161" s="61"/>
      <c r="O161" s="61"/>
      <c r="P161" s="61"/>
      <c r="Q161" s="61"/>
      <c r="R161" s="61"/>
      <c r="S161" s="61"/>
      <c r="T161" s="61"/>
      <c r="U161" s="61"/>
    </row>
    <row r="162" spans="1:21" ht="14.1" customHeight="1" x14ac:dyDescent="0.25">
      <c r="A162" s="24" t="s">
        <v>227</v>
      </c>
      <c r="B162" s="24" t="s">
        <v>228</v>
      </c>
      <c r="C162" s="25" t="s">
        <v>229</v>
      </c>
      <c r="D162" s="26">
        <f t="shared" si="22"/>
        <v>0</v>
      </c>
      <c r="E162" s="26">
        <f t="shared" si="22"/>
        <v>0</v>
      </c>
      <c r="F162" s="26"/>
      <c r="G162" s="26"/>
      <c r="H162" s="26"/>
      <c r="I162" s="56"/>
      <c r="J162" s="61"/>
      <c r="K162" s="76"/>
      <c r="L162" s="61"/>
      <c r="M162" s="76"/>
      <c r="N162" s="61"/>
      <c r="O162" s="61"/>
      <c r="P162" s="61"/>
      <c r="Q162" s="61"/>
      <c r="R162" s="61"/>
      <c r="S162" s="61"/>
      <c r="T162" s="61"/>
      <c r="U162" s="61"/>
    </row>
    <row r="163" spans="1:21" ht="14.1" customHeight="1" x14ac:dyDescent="0.25">
      <c r="A163" s="24"/>
      <c r="B163" s="24" t="s">
        <v>230</v>
      </c>
      <c r="C163" s="25" t="s">
        <v>231</v>
      </c>
      <c r="D163" s="26">
        <f t="shared" si="22"/>
        <v>0</v>
      </c>
      <c r="E163" s="26">
        <f t="shared" si="22"/>
        <v>0</v>
      </c>
      <c r="F163" s="26"/>
      <c r="G163" s="26"/>
      <c r="H163" s="26"/>
      <c r="I163" s="56"/>
      <c r="J163" s="61"/>
      <c r="K163" s="76"/>
      <c r="L163" s="61"/>
      <c r="M163" s="76"/>
      <c r="N163" s="61"/>
      <c r="O163" s="61"/>
      <c r="P163" s="61"/>
      <c r="Q163" s="61"/>
      <c r="R163" s="61"/>
      <c r="S163" s="61"/>
      <c r="T163" s="61"/>
      <c r="U163" s="61"/>
    </row>
    <row r="164" spans="1:21" ht="14.1" customHeight="1" x14ac:dyDescent="0.25">
      <c r="A164" s="24" t="s">
        <v>232</v>
      </c>
      <c r="B164" s="24" t="s">
        <v>233</v>
      </c>
      <c r="C164" s="25" t="s">
        <v>234</v>
      </c>
      <c r="D164" s="26">
        <f t="shared" si="22"/>
        <v>0</v>
      </c>
      <c r="E164" s="26">
        <f t="shared" si="22"/>
        <v>0</v>
      </c>
      <c r="F164" s="26"/>
      <c r="G164" s="26">
        <f>ROUND((G160+G161+G162+G163)*0.27,0)</f>
        <v>0</v>
      </c>
      <c r="H164" s="26"/>
      <c r="I164" s="56"/>
      <c r="J164" s="61"/>
      <c r="K164" s="76"/>
      <c r="L164" s="61"/>
      <c r="M164" s="76"/>
      <c r="N164" s="61"/>
      <c r="O164" s="61"/>
      <c r="P164" s="61"/>
      <c r="Q164" s="61"/>
      <c r="R164" s="61"/>
      <c r="S164" s="61"/>
      <c r="T164" s="61"/>
      <c r="U164" s="61"/>
    </row>
    <row r="165" spans="1:21" s="3" customFormat="1" ht="14.1" customHeight="1" x14ac:dyDescent="0.25">
      <c r="A165" s="20" t="s">
        <v>235</v>
      </c>
      <c r="B165" s="20" t="s">
        <v>236</v>
      </c>
      <c r="C165" s="21" t="s">
        <v>237</v>
      </c>
      <c r="D165" s="22">
        <f>SUM(D160:D164)</f>
        <v>0</v>
      </c>
      <c r="E165" s="22">
        <f>SUM(E160:E164)</f>
        <v>0</v>
      </c>
      <c r="F165" s="22">
        <f t="shared" ref="F165:U165" si="23">SUM(F160:F164)</f>
        <v>0</v>
      </c>
      <c r="G165" s="22">
        <f t="shared" si="23"/>
        <v>0</v>
      </c>
      <c r="H165" s="22">
        <f t="shared" si="23"/>
        <v>0</v>
      </c>
      <c r="I165" s="22">
        <f t="shared" si="23"/>
        <v>0</v>
      </c>
      <c r="J165" s="22">
        <f t="shared" si="23"/>
        <v>0</v>
      </c>
      <c r="K165" s="22">
        <f t="shared" si="23"/>
        <v>0</v>
      </c>
      <c r="L165" s="22">
        <f t="shared" si="23"/>
        <v>0</v>
      </c>
      <c r="M165" s="22">
        <f t="shared" si="23"/>
        <v>0</v>
      </c>
      <c r="N165" s="22">
        <f t="shared" si="23"/>
        <v>0</v>
      </c>
      <c r="O165" s="22">
        <f t="shared" si="23"/>
        <v>0</v>
      </c>
      <c r="P165" s="22">
        <f t="shared" si="23"/>
        <v>0</v>
      </c>
      <c r="Q165" s="22">
        <f t="shared" si="23"/>
        <v>0</v>
      </c>
      <c r="R165" s="22">
        <f t="shared" si="23"/>
        <v>0</v>
      </c>
      <c r="S165" s="22">
        <f t="shared" si="23"/>
        <v>0</v>
      </c>
      <c r="T165" s="22">
        <f t="shared" si="23"/>
        <v>0</v>
      </c>
      <c r="U165" s="22">
        <f t="shared" si="23"/>
        <v>0</v>
      </c>
    </row>
    <row r="166" spans="1:21" s="3" customFormat="1" ht="14.1" customHeight="1" x14ac:dyDescent="0.25">
      <c r="A166" s="977" t="s">
        <v>293</v>
      </c>
      <c r="B166" s="978"/>
      <c r="C166" s="979" t="s">
        <v>238</v>
      </c>
      <c r="D166" s="28">
        <f>D159+D165</f>
        <v>8763</v>
      </c>
      <c r="E166" s="28">
        <f>E159+E165</f>
        <v>9275</v>
      </c>
      <c r="F166" s="28">
        <f t="shared" ref="F166:U166" si="24">F159+F165</f>
        <v>8636</v>
      </c>
      <c r="G166" s="28">
        <f t="shared" si="24"/>
        <v>9186</v>
      </c>
      <c r="H166" s="28">
        <f t="shared" si="24"/>
        <v>0</v>
      </c>
      <c r="I166" s="28">
        <f t="shared" si="24"/>
        <v>0</v>
      </c>
      <c r="J166" s="28">
        <f t="shared" si="24"/>
        <v>0</v>
      </c>
      <c r="K166" s="28">
        <f t="shared" si="24"/>
        <v>0</v>
      </c>
      <c r="L166" s="28">
        <f t="shared" si="24"/>
        <v>0</v>
      </c>
      <c r="M166" s="28">
        <f t="shared" si="24"/>
        <v>0</v>
      </c>
      <c r="N166" s="28">
        <f t="shared" si="24"/>
        <v>127</v>
      </c>
      <c r="O166" s="28">
        <f t="shared" si="24"/>
        <v>51</v>
      </c>
      <c r="P166" s="28">
        <f t="shared" si="24"/>
        <v>0</v>
      </c>
      <c r="Q166" s="28">
        <f t="shared" si="24"/>
        <v>0</v>
      </c>
      <c r="R166" s="28">
        <f t="shared" si="24"/>
        <v>0</v>
      </c>
      <c r="S166" s="28">
        <f t="shared" si="24"/>
        <v>0</v>
      </c>
      <c r="T166" s="28">
        <f t="shared" si="24"/>
        <v>0</v>
      </c>
      <c r="U166" s="28">
        <f t="shared" si="24"/>
        <v>38</v>
      </c>
    </row>
    <row r="167" spans="1:21" ht="6.75" customHeight="1" x14ac:dyDescent="0.25">
      <c r="J167" s="61"/>
      <c r="K167" s="76"/>
      <c r="L167" s="61"/>
      <c r="M167" s="76"/>
      <c r="N167" s="61"/>
      <c r="O167" s="61"/>
      <c r="P167" s="61"/>
      <c r="Q167" s="61"/>
      <c r="R167" s="61"/>
      <c r="S167" s="61"/>
      <c r="T167" s="61"/>
      <c r="U167" s="61"/>
    </row>
    <row r="168" spans="1:21" ht="14.1" customHeight="1" x14ac:dyDescent="0.25">
      <c r="A168" s="966" t="s">
        <v>294</v>
      </c>
      <c r="B168" s="967"/>
      <c r="C168" s="968"/>
      <c r="D168" s="29">
        <f>D166+D142</f>
        <v>573509</v>
      </c>
      <c r="E168" s="29">
        <f>E166+E142</f>
        <v>505365</v>
      </c>
      <c r="F168" s="29">
        <f t="shared" ref="F168:U168" si="25">F166+F142</f>
        <v>498761</v>
      </c>
      <c r="G168" s="29">
        <f t="shared" si="25"/>
        <v>476324</v>
      </c>
      <c r="H168" s="29">
        <f t="shared" si="25"/>
        <v>8532</v>
      </c>
      <c r="I168" s="29">
        <f t="shared" si="25"/>
        <v>0</v>
      </c>
      <c r="J168" s="29">
        <f t="shared" si="25"/>
        <v>2028</v>
      </c>
      <c r="K168" s="29">
        <f t="shared" si="25"/>
        <v>0</v>
      </c>
      <c r="L168" s="29">
        <f t="shared" si="25"/>
        <v>28590</v>
      </c>
      <c r="M168" s="29">
        <f t="shared" si="25"/>
        <v>0</v>
      </c>
      <c r="N168" s="29">
        <f t="shared" si="25"/>
        <v>21464</v>
      </c>
      <c r="O168" s="29">
        <f t="shared" si="25"/>
        <v>19286</v>
      </c>
      <c r="P168" s="29">
        <f t="shared" si="25"/>
        <v>4904</v>
      </c>
      <c r="Q168" s="29">
        <f t="shared" si="25"/>
        <v>4665</v>
      </c>
      <c r="R168" s="29">
        <f t="shared" si="25"/>
        <v>4620</v>
      </c>
      <c r="S168" s="29">
        <f t="shared" si="25"/>
        <v>0</v>
      </c>
      <c r="T168" s="29">
        <f t="shared" si="25"/>
        <v>4610</v>
      </c>
      <c r="U168" s="29">
        <f t="shared" si="25"/>
        <v>5090</v>
      </c>
    </row>
    <row r="169" spans="1:21" ht="14.1" customHeight="1" x14ac:dyDescent="0.25">
      <c r="J169" s="74"/>
      <c r="K169" s="74"/>
      <c r="L169" s="74"/>
      <c r="M169" s="74"/>
      <c r="N169" s="74"/>
      <c r="O169" s="74"/>
      <c r="P169" s="74"/>
      <c r="Q169" s="74"/>
      <c r="R169" s="74"/>
      <c r="S169" s="74"/>
    </row>
    <row r="170" spans="1:21" ht="14.1" customHeight="1" x14ac:dyDescent="0.25">
      <c r="J170" s="49"/>
      <c r="K170" s="49"/>
      <c r="L170" s="49"/>
      <c r="M170" s="49"/>
      <c r="N170" s="49"/>
      <c r="O170" s="49"/>
      <c r="P170" s="49"/>
      <c r="Q170" s="49"/>
      <c r="R170" s="49"/>
      <c r="S170" s="49"/>
    </row>
    <row r="171" spans="1:21" ht="14.1" customHeight="1" x14ac:dyDescent="0.25">
      <c r="J171" s="49"/>
      <c r="K171" s="49"/>
      <c r="L171" s="49"/>
      <c r="M171" s="49"/>
      <c r="N171" s="49"/>
      <c r="O171" s="49"/>
      <c r="P171" s="49"/>
      <c r="Q171" s="49"/>
      <c r="R171" s="49"/>
      <c r="S171" s="49"/>
    </row>
    <row r="172" spans="1:21" ht="14.1" customHeight="1" x14ac:dyDescent="0.25">
      <c r="J172" s="49"/>
      <c r="K172" s="49"/>
      <c r="L172" s="49"/>
      <c r="M172" s="49"/>
      <c r="N172" s="49"/>
      <c r="O172" s="49"/>
      <c r="P172" s="49"/>
      <c r="Q172" s="49"/>
      <c r="R172" s="49"/>
      <c r="S172" s="49"/>
    </row>
    <row r="173" spans="1:21" s="1" customFormat="1" ht="12.75" customHeight="1" x14ac:dyDescent="0.25">
      <c r="A173" s="1001" t="s">
        <v>606</v>
      </c>
      <c r="B173" s="1002"/>
      <c r="C173" s="1002"/>
      <c r="D173" s="1002"/>
      <c r="E173" s="1002"/>
      <c r="F173" s="1002"/>
      <c r="G173" s="1002"/>
      <c r="H173" s="1002"/>
      <c r="I173" s="1002"/>
      <c r="J173" s="1002"/>
      <c r="K173" s="1002"/>
      <c r="L173" s="1002"/>
      <c r="M173" s="1002"/>
      <c r="N173" s="1002" t="s">
        <v>606</v>
      </c>
      <c r="O173" s="1002"/>
      <c r="P173" s="1002"/>
      <c r="Q173" s="1002"/>
      <c r="R173" s="1002"/>
      <c r="S173" s="1002"/>
      <c r="T173" s="1002"/>
      <c r="U173" s="1003"/>
    </row>
    <row r="174" spans="1:21" s="1" customFormat="1" ht="14.1" customHeight="1" x14ac:dyDescent="0.25">
      <c r="A174" s="1027" t="s">
        <v>0</v>
      </c>
      <c r="B174" s="1028" t="s">
        <v>1</v>
      </c>
      <c r="C174" s="1027" t="s">
        <v>2</v>
      </c>
      <c r="D174" s="970" t="s">
        <v>260</v>
      </c>
      <c r="E174" s="1030" t="s">
        <v>259</v>
      </c>
      <c r="F174" s="1025" t="s">
        <v>607</v>
      </c>
      <c r="G174" s="1029"/>
      <c r="H174" s="1025" t="s">
        <v>608</v>
      </c>
      <c r="I174" s="1026"/>
      <c r="J174" s="1037" t="s">
        <v>609</v>
      </c>
      <c r="K174" s="1023"/>
      <c r="L174" s="1040" t="s">
        <v>646</v>
      </c>
      <c r="M174" s="1040"/>
      <c r="N174" s="1031" t="s">
        <v>610</v>
      </c>
      <c r="O174" s="1032"/>
      <c r="P174" s="1031" t="s">
        <v>611</v>
      </c>
      <c r="Q174" s="1032"/>
      <c r="R174" s="1038" t="s">
        <v>612</v>
      </c>
      <c r="S174" s="1039"/>
      <c r="T174" s="1038" t="s">
        <v>613</v>
      </c>
      <c r="U174" s="1039"/>
    </row>
    <row r="175" spans="1:21" s="3" customFormat="1" ht="23.25" customHeight="1" x14ac:dyDescent="0.25">
      <c r="A175" s="974"/>
      <c r="B175" s="975"/>
      <c r="C175" s="974"/>
      <c r="D175" s="976"/>
      <c r="E175" s="970"/>
      <c r="F175" s="2" t="s">
        <v>263</v>
      </c>
      <c r="G175" s="2" t="s">
        <v>259</v>
      </c>
      <c r="H175" s="2" t="s">
        <v>260</v>
      </c>
      <c r="I175" s="48" t="s">
        <v>259</v>
      </c>
      <c r="J175" s="60" t="s">
        <v>260</v>
      </c>
      <c r="K175" s="75" t="s">
        <v>259</v>
      </c>
      <c r="L175" s="127" t="s">
        <v>260</v>
      </c>
      <c r="M175" s="127" t="s">
        <v>259</v>
      </c>
      <c r="N175" s="82" t="s">
        <v>260</v>
      </c>
      <c r="O175" s="83" t="s">
        <v>259</v>
      </c>
      <c r="P175" s="82" t="s">
        <v>260</v>
      </c>
      <c r="Q175" s="83" t="s">
        <v>259</v>
      </c>
      <c r="R175" s="121" t="s">
        <v>260</v>
      </c>
      <c r="S175" s="122" t="s">
        <v>259</v>
      </c>
      <c r="T175" s="121" t="s">
        <v>260</v>
      </c>
      <c r="U175" s="122" t="s">
        <v>259</v>
      </c>
    </row>
    <row r="176" spans="1:21" ht="5.65" customHeight="1" x14ac:dyDescent="0.25">
      <c r="J176" s="61"/>
      <c r="K176" s="76"/>
      <c r="L176" s="61"/>
      <c r="M176" s="76"/>
      <c r="N176" s="61"/>
      <c r="O176" s="61"/>
      <c r="P176" s="61"/>
      <c r="Q176" s="61"/>
      <c r="R176" s="61"/>
      <c r="S176" s="61"/>
      <c r="T176" s="61"/>
      <c r="U176" s="61"/>
    </row>
    <row r="177" spans="1:21" ht="14.1" customHeight="1" x14ac:dyDescent="0.25">
      <c r="A177" s="973" t="s">
        <v>239</v>
      </c>
      <c r="B177" s="973"/>
      <c r="C177" s="973"/>
      <c r="D177" s="973"/>
      <c r="E177" s="973"/>
      <c r="F177" s="973"/>
      <c r="G177" s="973"/>
      <c r="H177" s="973"/>
      <c r="I177" s="973"/>
      <c r="J177" s="62"/>
      <c r="K177" s="77"/>
      <c r="L177" s="62"/>
      <c r="M177" s="77"/>
      <c r="N177" s="62"/>
      <c r="O177" s="62"/>
      <c r="P177" s="62"/>
      <c r="Q177" s="62"/>
      <c r="R177" s="62"/>
      <c r="S177" s="62"/>
      <c r="T177" s="62"/>
      <c r="U177" s="62"/>
    </row>
    <row r="178" spans="1:21" s="3" customFormat="1" ht="14.1" customHeight="1" x14ac:dyDescent="0.25">
      <c r="A178" s="20" t="s">
        <v>618</v>
      </c>
      <c r="B178" s="20"/>
      <c r="C178" s="21" t="s">
        <v>485</v>
      </c>
      <c r="D178" s="23">
        <f>D179</f>
        <v>1000</v>
      </c>
      <c r="E178" s="23">
        <f t="shared" ref="E178:U178" si="26">E179</f>
        <v>1000</v>
      </c>
      <c r="F178" s="23">
        <f t="shared" si="26"/>
        <v>1000</v>
      </c>
      <c r="G178" s="23">
        <f t="shared" si="26"/>
        <v>1000</v>
      </c>
      <c r="H178" s="23">
        <f t="shared" si="26"/>
        <v>0</v>
      </c>
      <c r="I178" s="23">
        <f t="shared" si="26"/>
        <v>0</v>
      </c>
      <c r="J178" s="23">
        <f t="shared" si="26"/>
        <v>0</v>
      </c>
      <c r="K178" s="23">
        <f t="shared" si="26"/>
        <v>0</v>
      </c>
      <c r="L178" s="23">
        <f t="shared" si="26"/>
        <v>0</v>
      </c>
      <c r="M178" s="23">
        <f t="shared" si="26"/>
        <v>0</v>
      </c>
      <c r="N178" s="23">
        <f t="shared" si="26"/>
        <v>0</v>
      </c>
      <c r="O178" s="23">
        <f t="shared" si="26"/>
        <v>0</v>
      </c>
      <c r="P178" s="23">
        <f t="shared" si="26"/>
        <v>0</v>
      </c>
      <c r="Q178" s="23">
        <f t="shared" si="26"/>
        <v>0</v>
      </c>
      <c r="R178" s="23">
        <f t="shared" si="26"/>
        <v>0</v>
      </c>
      <c r="S178" s="23">
        <f t="shared" si="26"/>
        <v>0</v>
      </c>
      <c r="T178" s="23">
        <f t="shared" si="26"/>
        <v>0</v>
      </c>
      <c r="U178" s="23">
        <f t="shared" si="26"/>
        <v>0</v>
      </c>
    </row>
    <row r="179" spans="1:21" ht="14.1" customHeight="1" x14ac:dyDescent="0.25">
      <c r="A179" s="24"/>
      <c r="B179" s="24"/>
      <c r="C179" s="25" t="s">
        <v>497</v>
      </c>
      <c r="D179" s="26">
        <f>F179+H179+J179+L179+N179+P179+R179+T179</f>
        <v>1000</v>
      </c>
      <c r="E179" s="26">
        <f t="shared" ref="E179:E190" si="27">G179+I179+K179+M179+O179+Q179+S179</f>
        <v>1000</v>
      </c>
      <c r="F179" s="26">
        <v>1000</v>
      </c>
      <c r="G179" s="26">
        <v>1000</v>
      </c>
      <c r="H179" s="26"/>
      <c r="I179" s="56"/>
      <c r="J179" s="61"/>
      <c r="K179" s="76"/>
      <c r="L179" s="61"/>
      <c r="M179" s="76"/>
      <c r="N179" s="61"/>
      <c r="O179" s="61"/>
      <c r="P179" s="61"/>
      <c r="Q179" s="61"/>
      <c r="R179" s="61"/>
      <c r="S179" s="61"/>
      <c r="T179" s="61"/>
      <c r="U179" s="61"/>
    </row>
    <row r="180" spans="1:21" s="3" customFormat="1" ht="14.1" customHeight="1" x14ac:dyDescent="0.25">
      <c r="A180" s="20" t="s">
        <v>240</v>
      </c>
      <c r="B180" s="20"/>
      <c r="C180" s="21" t="s">
        <v>241</v>
      </c>
      <c r="D180" s="23">
        <f>SUM(D181:D190)</f>
        <v>1473</v>
      </c>
      <c r="E180" s="23">
        <f t="shared" ref="E180:U180" si="28">SUM(E181:E190)</f>
        <v>1270</v>
      </c>
      <c r="F180" s="23">
        <f t="shared" si="28"/>
        <v>1270</v>
      </c>
      <c r="G180" s="23">
        <f t="shared" si="28"/>
        <v>1270</v>
      </c>
      <c r="H180" s="23">
        <f t="shared" si="28"/>
        <v>0</v>
      </c>
      <c r="I180" s="23">
        <f t="shared" si="28"/>
        <v>0</v>
      </c>
      <c r="J180" s="23">
        <f t="shared" si="28"/>
        <v>0</v>
      </c>
      <c r="K180" s="23">
        <f t="shared" si="28"/>
        <v>0</v>
      </c>
      <c r="L180" s="23">
        <f t="shared" si="28"/>
        <v>0</v>
      </c>
      <c r="M180" s="23">
        <f t="shared" si="28"/>
        <v>0</v>
      </c>
      <c r="N180" s="23">
        <f t="shared" si="28"/>
        <v>0</v>
      </c>
      <c r="O180" s="23">
        <f t="shared" si="28"/>
        <v>0</v>
      </c>
      <c r="P180" s="23">
        <f t="shared" si="28"/>
        <v>0</v>
      </c>
      <c r="Q180" s="23">
        <f t="shared" si="28"/>
        <v>0</v>
      </c>
      <c r="R180" s="23">
        <f t="shared" si="28"/>
        <v>0</v>
      </c>
      <c r="S180" s="23">
        <f t="shared" si="28"/>
        <v>0</v>
      </c>
      <c r="T180" s="23">
        <f t="shared" si="28"/>
        <v>203</v>
      </c>
      <c r="U180" s="23">
        <f t="shared" si="28"/>
        <v>0</v>
      </c>
    </row>
    <row r="181" spans="1:21" ht="14.1" customHeight="1" x14ac:dyDescent="0.25">
      <c r="A181" s="24" t="s">
        <v>242</v>
      </c>
      <c r="B181" s="24"/>
      <c r="C181" s="25" t="s">
        <v>243</v>
      </c>
      <c r="D181" s="26">
        <f>F181+H181+J181+L181+N181+P181+R181+T181</f>
        <v>0</v>
      </c>
      <c r="E181" s="26">
        <f t="shared" si="27"/>
        <v>0</v>
      </c>
      <c r="F181" s="26"/>
      <c r="G181" s="26"/>
      <c r="H181" s="26"/>
      <c r="I181" s="56"/>
      <c r="J181" s="61"/>
      <c r="K181" s="76"/>
      <c r="L181" s="61"/>
      <c r="M181" s="76"/>
      <c r="N181" s="61"/>
      <c r="O181" s="61"/>
      <c r="P181" s="61"/>
      <c r="Q181" s="61"/>
      <c r="R181" s="61"/>
      <c r="S181" s="61"/>
      <c r="T181" s="61"/>
      <c r="U181" s="61"/>
    </row>
    <row r="182" spans="1:21" ht="14.1" customHeight="1" x14ac:dyDescent="0.25">
      <c r="A182" s="24" t="s">
        <v>244</v>
      </c>
      <c r="B182" s="24"/>
      <c r="C182" s="25" t="s">
        <v>245</v>
      </c>
      <c r="D182" s="26">
        <f t="shared" ref="D182:D190" si="29">F182+H182+J182+L182+N182+P182+R182+T182</f>
        <v>0</v>
      </c>
      <c r="E182" s="26">
        <f t="shared" si="27"/>
        <v>0</v>
      </c>
      <c r="F182" s="26"/>
      <c r="G182" s="26"/>
      <c r="H182" s="26"/>
      <c r="I182" s="56"/>
      <c r="J182" s="61"/>
      <c r="K182" s="76"/>
      <c r="L182" s="61"/>
      <c r="M182" s="76"/>
      <c r="N182" s="61"/>
      <c r="O182" s="61"/>
      <c r="P182" s="61"/>
      <c r="Q182" s="61"/>
      <c r="R182" s="61"/>
      <c r="S182" s="61"/>
      <c r="T182" s="61"/>
      <c r="U182" s="61"/>
    </row>
    <row r="183" spans="1:21" ht="14.1" customHeight="1" x14ac:dyDescent="0.25">
      <c r="A183" s="24" t="s">
        <v>246</v>
      </c>
      <c r="B183" s="24"/>
      <c r="C183" s="25" t="s">
        <v>247</v>
      </c>
      <c r="D183" s="26">
        <f>F183+H183+J183+L183+N183+P183+R183+T183</f>
        <v>1160</v>
      </c>
      <c r="E183" s="26">
        <f t="shared" si="27"/>
        <v>1000</v>
      </c>
      <c r="F183" s="26">
        <v>1000</v>
      </c>
      <c r="G183" s="26">
        <v>1000</v>
      </c>
      <c r="H183" s="26"/>
      <c r="I183" s="56"/>
      <c r="J183" s="61"/>
      <c r="K183" s="76"/>
      <c r="L183" s="61"/>
      <c r="M183" s="76"/>
      <c r="N183" s="61"/>
      <c r="O183" s="61"/>
      <c r="P183" s="61"/>
      <c r="Q183" s="61"/>
      <c r="R183" s="61"/>
      <c r="S183" s="61"/>
      <c r="T183" s="61">
        <v>160</v>
      </c>
      <c r="U183" s="61"/>
    </row>
    <row r="184" spans="1:21" ht="14.1" customHeight="1" x14ac:dyDescent="0.25">
      <c r="A184" s="24" t="s">
        <v>248</v>
      </c>
      <c r="B184" s="24"/>
      <c r="C184" s="25" t="s">
        <v>249</v>
      </c>
      <c r="D184" s="26">
        <f t="shared" si="29"/>
        <v>0</v>
      </c>
      <c r="E184" s="26">
        <f t="shared" si="27"/>
        <v>0</v>
      </c>
      <c r="F184" s="26"/>
      <c r="G184" s="26"/>
      <c r="H184" s="26"/>
      <c r="I184" s="56"/>
      <c r="J184" s="61"/>
      <c r="K184" s="76"/>
      <c r="L184" s="61"/>
      <c r="M184" s="76"/>
      <c r="N184" s="61"/>
      <c r="O184" s="61"/>
      <c r="P184" s="61"/>
      <c r="Q184" s="61"/>
      <c r="R184" s="61"/>
      <c r="S184" s="61"/>
      <c r="T184" s="61"/>
      <c r="U184" s="61"/>
    </row>
    <row r="185" spans="1:21" ht="14.1" customHeight="1" x14ac:dyDescent="0.25">
      <c r="A185" s="24" t="s">
        <v>296</v>
      </c>
      <c r="B185" s="24"/>
      <c r="C185" s="25" t="s">
        <v>297</v>
      </c>
      <c r="D185" s="26">
        <f t="shared" si="29"/>
        <v>0</v>
      </c>
      <c r="E185" s="26">
        <f t="shared" si="27"/>
        <v>0</v>
      </c>
      <c r="F185" s="26"/>
      <c r="G185" s="26"/>
      <c r="H185" s="26"/>
      <c r="I185" s="56"/>
      <c r="J185" s="61"/>
      <c r="K185" s="76"/>
      <c r="L185" s="61"/>
      <c r="M185" s="76"/>
      <c r="N185" s="61"/>
      <c r="O185" s="61"/>
      <c r="P185" s="61"/>
      <c r="Q185" s="61"/>
      <c r="R185" s="61"/>
      <c r="S185" s="61"/>
      <c r="T185" s="61"/>
      <c r="U185" s="61"/>
    </row>
    <row r="186" spans="1:21" ht="14.1" customHeight="1" x14ac:dyDescent="0.25">
      <c r="A186" s="24" t="s">
        <v>250</v>
      </c>
      <c r="B186" s="24"/>
      <c r="C186" s="25" t="s">
        <v>251</v>
      </c>
      <c r="D186" s="26">
        <f t="shared" si="29"/>
        <v>313</v>
      </c>
      <c r="E186" s="26">
        <f t="shared" si="27"/>
        <v>270</v>
      </c>
      <c r="F186" s="26">
        <v>270</v>
      </c>
      <c r="G186" s="26">
        <f>ROUND((G181+G182+G183+G184+G185)*0.27,0)</f>
        <v>270</v>
      </c>
      <c r="H186" s="26"/>
      <c r="I186" s="56"/>
      <c r="J186" s="61"/>
      <c r="K186" s="56"/>
      <c r="L186" s="61"/>
      <c r="M186" s="56"/>
      <c r="N186" s="61"/>
      <c r="O186" s="56"/>
      <c r="P186" s="61"/>
      <c r="Q186" s="61"/>
      <c r="R186" s="61"/>
      <c r="S186" s="61"/>
      <c r="T186" s="61">
        <v>43</v>
      </c>
      <c r="U186" s="61"/>
    </row>
    <row r="187" spans="1:21" ht="14.1" customHeight="1" x14ac:dyDescent="0.25">
      <c r="A187" s="24" t="s">
        <v>298</v>
      </c>
      <c r="B187" s="24"/>
      <c r="C187" s="25" t="s">
        <v>299</v>
      </c>
      <c r="D187" s="26">
        <f t="shared" si="29"/>
        <v>0</v>
      </c>
      <c r="E187" s="26">
        <f t="shared" si="27"/>
        <v>0</v>
      </c>
      <c r="F187" s="26"/>
      <c r="G187" s="26"/>
      <c r="H187" s="26"/>
      <c r="I187" s="56"/>
      <c r="J187" s="61"/>
      <c r="K187" s="76"/>
      <c r="L187" s="61"/>
      <c r="M187" s="76"/>
      <c r="N187" s="61"/>
      <c r="O187" s="61"/>
      <c r="P187" s="61"/>
      <c r="Q187" s="61"/>
      <c r="R187" s="61"/>
      <c r="S187" s="61"/>
      <c r="T187" s="61"/>
      <c r="U187" s="61"/>
    </row>
    <row r="188" spans="1:21" ht="14.1" customHeight="1" x14ac:dyDescent="0.25">
      <c r="A188" s="24" t="s">
        <v>252</v>
      </c>
      <c r="B188" s="24"/>
      <c r="C188" s="25" t="s">
        <v>253</v>
      </c>
      <c r="D188" s="26">
        <f t="shared" si="29"/>
        <v>0</v>
      </c>
      <c r="E188" s="26">
        <f t="shared" si="27"/>
        <v>0</v>
      </c>
      <c r="F188" s="26"/>
      <c r="G188" s="26"/>
      <c r="H188" s="26"/>
      <c r="I188" s="56"/>
      <c r="J188" s="61"/>
      <c r="K188" s="76"/>
      <c r="L188" s="61"/>
      <c r="M188" s="76"/>
      <c r="N188" s="61"/>
      <c r="O188" s="61"/>
      <c r="P188" s="61"/>
      <c r="Q188" s="61"/>
      <c r="R188" s="61"/>
      <c r="S188" s="61"/>
      <c r="T188" s="61"/>
      <c r="U188" s="61"/>
    </row>
    <row r="189" spans="1:21" ht="14.1" customHeight="1" x14ac:dyDescent="0.25">
      <c r="A189" s="24" t="s">
        <v>300</v>
      </c>
      <c r="B189" s="24"/>
      <c r="C189" s="25" t="s">
        <v>301</v>
      </c>
      <c r="D189" s="26">
        <f t="shared" si="29"/>
        <v>0</v>
      </c>
      <c r="E189" s="26">
        <f t="shared" si="27"/>
        <v>0</v>
      </c>
      <c r="F189" s="26"/>
      <c r="G189" s="26"/>
      <c r="H189" s="26"/>
      <c r="I189" s="56"/>
      <c r="J189" s="61"/>
      <c r="K189" s="76"/>
      <c r="L189" s="61"/>
      <c r="M189" s="76"/>
      <c r="N189" s="61"/>
      <c r="O189" s="61"/>
      <c r="P189" s="61"/>
      <c r="Q189" s="61"/>
      <c r="R189" s="61"/>
      <c r="S189" s="61"/>
      <c r="T189" s="61"/>
      <c r="U189" s="61"/>
    </row>
    <row r="190" spans="1:21" ht="14.1" customHeight="1" x14ac:dyDescent="0.25">
      <c r="A190" s="24" t="s">
        <v>254</v>
      </c>
      <c r="B190" s="24"/>
      <c r="C190" s="25" t="s">
        <v>255</v>
      </c>
      <c r="D190" s="26">
        <f t="shared" si="29"/>
        <v>0</v>
      </c>
      <c r="E190" s="26">
        <f t="shared" si="27"/>
        <v>0</v>
      </c>
      <c r="F190" s="26"/>
      <c r="G190" s="26"/>
      <c r="H190" s="26"/>
      <c r="I190" s="56"/>
      <c r="J190" s="61"/>
      <c r="K190" s="76"/>
      <c r="L190" s="61"/>
      <c r="M190" s="76"/>
      <c r="N190" s="61"/>
      <c r="O190" s="61"/>
      <c r="P190" s="61"/>
      <c r="Q190" s="61"/>
      <c r="R190" s="61"/>
      <c r="S190" s="61"/>
      <c r="T190" s="61"/>
      <c r="U190" s="61"/>
    </row>
    <row r="191" spans="1:21" s="3" customFormat="1" ht="14.1" customHeight="1" x14ac:dyDescent="0.25">
      <c r="A191" s="20" t="s">
        <v>256</v>
      </c>
      <c r="B191" s="20"/>
      <c r="C191" s="21" t="s">
        <v>257</v>
      </c>
      <c r="D191" s="23">
        <f>F191+H191+J191+L191+N191+P191+R191</f>
        <v>0</v>
      </c>
      <c r="E191" s="23">
        <f>G191+I191</f>
        <v>0</v>
      </c>
      <c r="F191" s="23">
        <v>0</v>
      </c>
      <c r="G191" s="23">
        <v>0</v>
      </c>
      <c r="H191" s="23">
        <v>0</v>
      </c>
      <c r="I191" s="58">
        <v>0</v>
      </c>
      <c r="J191" s="70">
        <v>0</v>
      </c>
      <c r="K191" s="80">
        <v>0</v>
      </c>
      <c r="L191" s="70">
        <v>0</v>
      </c>
      <c r="M191" s="80">
        <v>0</v>
      </c>
      <c r="N191" s="70">
        <v>0</v>
      </c>
      <c r="O191" s="70">
        <v>0</v>
      </c>
      <c r="P191" s="70">
        <v>0</v>
      </c>
      <c r="Q191" s="70">
        <v>0</v>
      </c>
      <c r="R191" s="70">
        <v>0</v>
      </c>
      <c r="S191" s="70">
        <v>0</v>
      </c>
      <c r="T191" s="70">
        <v>0</v>
      </c>
      <c r="U191" s="70">
        <v>0</v>
      </c>
    </row>
    <row r="192" spans="1:21" s="3" customFormat="1" ht="14.1" customHeight="1" x14ac:dyDescent="0.25">
      <c r="A192" s="966" t="s">
        <v>295</v>
      </c>
      <c r="B192" s="967"/>
      <c r="C192" s="968"/>
      <c r="D192" s="29">
        <f>D180+D191+D178</f>
        <v>2473</v>
      </c>
      <c r="E192" s="29">
        <f t="shared" ref="E192:U192" si="30">E180+E191+E178</f>
        <v>2270</v>
      </c>
      <c r="F192" s="29">
        <f t="shared" si="30"/>
        <v>2270</v>
      </c>
      <c r="G192" s="29">
        <f t="shared" si="30"/>
        <v>2270</v>
      </c>
      <c r="H192" s="29">
        <f t="shared" si="30"/>
        <v>0</v>
      </c>
      <c r="I192" s="29">
        <f t="shared" si="30"/>
        <v>0</v>
      </c>
      <c r="J192" s="29">
        <f t="shared" si="30"/>
        <v>0</v>
      </c>
      <c r="K192" s="29">
        <f t="shared" si="30"/>
        <v>0</v>
      </c>
      <c r="L192" s="29">
        <f t="shared" si="30"/>
        <v>0</v>
      </c>
      <c r="M192" s="29">
        <f t="shared" si="30"/>
        <v>0</v>
      </c>
      <c r="N192" s="29">
        <f t="shared" si="30"/>
        <v>0</v>
      </c>
      <c r="O192" s="29">
        <f t="shared" si="30"/>
        <v>0</v>
      </c>
      <c r="P192" s="29">
        <f t="shared" si="30"/>
        <v>0</v>
      </c>
      <c r="Q192" s="29">
        <f t="shared" si="30"/>
        <v>0</v>
      </c>
      <c r="R192" s="29">
        <f t="shared" si="30"/>
        <v>0</v>
      </c>
      <c r="S192" s="29">
        <f t="shared" si="30"/>
        <v>0</v>
      </c>
      <c r="T192" s="29">
        <f t="shared" si="30"/>
        <v>203</v>
      </c>
      <c r="U192" s="29">
        <f t="shared" si="30"/>
        <v>0</v>
      </c>
    </row>
  </sheetData>
  <sheetProtection selectLockedCells="1" selectUnlockedCells="1"/>
  <mergeCells count="69">
    <mergeCell ref="R174:S174"/>
    <mergeCell ref="E174:E175"/>
    <mergeCell ref="T174:U174"/>
    <mergeCell ref="A177:I177"/>
    <mergeCell ref="A192:C192"/>
    <mergeCell ref="P174:Q174"/>
    <mergeCell ref="A174:A175"/>
    <mergeCell ref="B174:B175"/>
    <mergeCell ref="C174:C175"/>
    <mergeCell ref="D174:D175"/>
    <mergeCell ref="H174:I174"/>
    <mergeCell ref="J174:K174"/>
    <mergeCell ref="L174:M174"/>
    <mergeCell ref="N174:O174"/>
    <mergeCell ref="F174:G174"/>
    <mergeCell ref="N1:U1"/>
    <mergeCell ref="A50:M50"/>
    <mergeCell ref="N50:U50"/>
    <mergeCell ref="A146:M146"/>
    <mergeCell ref="N146:U146"/>
    <mergeCell ref="N51:O51"/>
    <mergeCell ref="J2:K2"/>
    <mergeCell ref="A5:I5"/>
    <mergeCell ref="A2:A3"/>
    <mergeCell ref="P51:Q51"/>
    <mergeCell ref="R51:S51"/>
    <mergeCell ref="A147:A148"/>
    <mergeCell ref="A1:M1"/>
    <mergeCell ref="A150:I150"/>
    <mergeCell ref="B147:B148"/>
    <mergeCell ref="C147:C148"/>
    <mergeCell ref="D147:D148"/>
    <mergeCell ref="E147:E148"/>
    <mergeCell ref="A54:I54"/>
    <mergeCell ref="A142:C142"/>
    <mergeCell ref="L2:M2"/>
    <mergeCell ref="H51:I51"/>
    <mergeCell ref="J51:K51"/>
    <mergeCell ref="L51:M51"/>
    <mergeCell ref="A173:M173"/>
    <mergeCell ref="F147:G147"/>
    <mergeCell ref="T51:U51"/>
    <mergeCell ref="A46:C46"/>
    <mergeCell ref="A51:A52"/>
    <mergeCell ref="B51:B52"/>
    <mergeCell ref="C51:C52"/>
    <mergeCell ref="D51:D52"/>
    <mergeCell ref="E51:E52"/>
    <mergeCell ref="F51:G51"/>
    <mergeCell ref="A166:C166"/>
    <mergeCell ref="A168:C168"/>
    <mergeCell ref="N173:U173"/>
    <mergeCell ref="H147:I147"/>
    <mergeCell ref="J147:K147"/>
    <mergeCell ref="L147:M147"/>
    <mergeCell ref="T147:U147"/>
    <mergeCell ref="H2:I2"/>
    <mergeCell ref="B2:B3"/>
    <mergeCell ref="C2:C3"/>
    <mergeCell ref="D2:D3"/>
    <mergeCell ref="E2:E3"/>
    <mergeCell ref="F2:G2"/>
    <mergeCell ref="T2:U2"/>
    <mergeCell ref="N147:O147"/>
    <mergeCell ref="P147:Q147"/>
    <mergeCell ref="R147:S147"/>
    <mergeCell ref="N2:O2"/>
    <mergeCell ref="P2:Q2"/>
    <mergeCell ref="R2:S2"/>
  </mergeCells>
  <printOptions horizontalCentered="1"/>
  <pageMargins left="0.15748031496062992" right="0.15748031496062992" top="0.19685039370078741" bottom="0.15748031496062992" header="0.31496062992125984" footer="0.31496062992125984"/>
  <pageSetup paperSize="8" scale="82" fitToWidth="2" fitToHeight="0" orientation="portrait" useFirstPageNumber="1" copies="2" r:id="rId1"/>
  <headerFooter alignWithMargins="0"/>
  <rowBreaks count="2" manualBreakCount="2">
    <brk id="46" max="16383" man="1"/>
    <brk id="110" max="16383" man="1"/>
  </rowBreaks>
  <colBreaks count="1" manualBreakCount="1">
    <brk id="13" max="1048575" man="1"/>
  </col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W52"/>
  <sheetViews>
    <sheetView view="pageBreakPreview" zoomScaleNormal="100" zoomScaleSheetLayoutView="100" workbookViewId="0">
      <selection activeCell="B1" sqref="B1"/>
    </sheetView>
  </sheetViews>
  <sheetFormatPr defaultColWidth="9.140625" defaultRowHeight="15" x14ac:dyDescent="0.25"/>
  <cols>
    <col min="1" max="1" width="2.5703125" style="387" customWidth="1"/>
    <col min="2" max="2" width="32.28515625" style="726" customWidth="1"/>
    <col min="3" max="3" width="12.7109375" style="448" hidden="1" customWidth="1"/>
    <col min="4" max="4" width="11.28515625" style="448" hidden="1" customWidth="1"/>
    <col min="5" max="5" width="14" style="448" hidden="1" customWidth="1"/>
    <col min="6" max="6" width="16.7109375" style="448" hidden="1" customWidth="1"/>
    <col min="7" max="7" width="12.7109375" style="448" hidden="1" customWidth="1"/>
    <col min="8" max="8" width="12.28515625" style="448" hidden="1" customWidth="1"/>
    <col min="9" max="9" width="14" style="448" hidden="1" customWidth="1"/>
    <col min="10" max="10" width="16.7109375" style="448" hidden="1" customWidth="1"/>
    <col min="11" max="11" width="12.7109375" style="448" bestFit="1" customWidth="1"/>
    <col min="12" max="13" width="12.28515625" style="448" customWidth="1"/>
    <col min="14" max="14" width="12.28515625" style="448" bestFit="1" customWidth="1"/>
    <col min="15" max="15" width="12.7109375" style="448" customWidth="1"/>
    <col min="16" max="16" width="12.5703125" style="448" customWidth="1"/>
    <col min="17" max="17" width="13.140625" style="448" customWidth="1"/>
    <col min="18" max="18" width="12.42578125" style="448" customWidth="1"/>
    <col min="19" max="19" width="12.7109375" style="448" hidden="1" customWidth="1"/>
    <col min="20" max="20" width="12.28515625" style="448" hidden="1" customWidth="1"/>
    <col min="21" max="21" width="14" style="448" hidden="1" customWidth="1"/>
    <col min="22" max="22" width="16.7109375" style="448" hidden="1" customWidth="1"/>
    <col min="23" max="23" width="10.85546875" style="448" bestFit="1" customWidth="1"/>
    <col min="24" max="16384" width="9.140625" style="448"/>
  </cols>
  <sheetData>
    <row r="1" spans="1:23" x14ac:dyDescent="0.25">
      <c r="F1" s="727"/>
      <c r="J1" s="727"/>
      <c r="N1" s="727"/>
      <c r="R1" s="727" t="s">
        <v>1662</v>
      </c>
      <c r="V1" s="727" t="s">
        <v>1662</v>
      </c>
    </row>
    <row r="2" spans="1:23" ht="30.4" customHeight="1" x14ac:dyDescent="0.25">
      <c r="A2" s="941" t="s">
        <v>305</v>
      </c>
      <c r="B2" s="941" t="s">
        <v>583</v>
      </c>
      <c r="C2" s="942" t="s">
        <v>1654</v>
      </c>
      <c r="D2" s="943"/>
      <c r="E2" s="943"/>
      <c r="F2" s="944"/>
      <c r="G2" s="939" t="s">
        <v>1760</v>
      </c>
      <c r="H2" s="936"/>
      <c r="I2" s="936"/>
      <c r="J2" s="940"/>
      <c r="K2" s="939" t="s">
        <v>1795</v>
      </c>
      <c r="L2" s="936"/>
      <c r="M2" s="936"/>
      <c r="N2" s="940"/>
      <c r="O2" s="939" t="s">
        <v>1803</v>
      </c>
      <c r="P2" s="936"/>
      <c r="Q2" s="936"/>
      <c r="R2" s="940"/>
      <c r="S2" s="935" t="s">
        <v>1808</v>
      </c>
      <c r="T2" s="936"/>
      <c r="U2" s="936"/>
      <c r="V2" s="937"/>
    </row>
    <row r="3" spans="1:23" ht="45" x14ac:dyDescent="0.25">
      <c r="A3" s="941"/>
      <c r="B3" s="941"/>
      <c r="C3" s="453" t="s">
        <v>1300</v>
      </c>
      <c r="D3" s="453" t="s">
        <v>1301</v>
      </c>
      <c r="E3" s="453" t="s">
        <v>1302</v>
      </c>
      <c r="F3" s="453" t="s">
        <v>550</v>
      </c>
      <c r="G3" s="453" t="s">
        <v>1300</v>
      </c>
      <c r="H3" s="453" t="s">
        <v>1301</v>
      </c>
      <c r="I3" s="453" t="s">
        <v>1302</v>
      </c>
      <c r="J3" s="453" t="s">
        <v>550</v>
      </c>
      <c r="K3" s="453" t="s">
        <v>1300</v>
      </c>
      <c r="L3" s="453" t="s">
        <v>1301</v>
      </c>
      <c r="M3" s="453" t="s">
        <v>1302</v>
      </c>
      <c r="N3" s="453" t="s">
        <v>550</v>
      </c>
      <c r="O3" s="453" t="s">
        <v>1300</v>
      </c>
      <c r="P3" s="453" t="s">
        <v>1301</v>
      </c>
      <c r="Q3" s="453" t="s">
        <v>1302</v>
      </c>
      <c r="R3" s="453" t="s">
        <v>550</v>
      </c>
      <c r="S3" s="453" t="s">
        <v>1300</v>
      </c>
      <c r="T3" s="453" t="s">
        <v>1301</v>
      </c>
      <c r="U3" s="453" t="s">
        <v>1302</v>
      </c>
      <c r="V3" s="453" t="s">
        <v>550</v>
      </c>
    </row>
    <row r="4" spans="1:23" ht="30" x14ac:dyDescent="0.25">
      <c r="A4" s="728" t="s">
        <v>309</v>
      </c>
      <c r="B4" s="323" t="s">
        <v>334</v>
      </c>
      <c r="C4" s="439">
        <f>SUM(C5:C9)</f>
        <v>3955863451</v>
      </c>
      <c r="D4" s="439">
        <f>SUM(D5:D9)</f>
        <v>594707265</v>
      </c>
      <c r="E4" s="439">
        <f>SUM(E5:E9)</f>
        <v>1229000</v>
      </c>
      <c r="F4" s="439">
        <f>SUM(C4:E4)</f>
        <v>4551799716</v>
      </c>
      <c r="G4" s="439">
        <f>SUM(G5:G9)</f>
        <v>4242043132</v>
      </c>
      <c r="H4" s="439">
        <f>SUM(H5:H9)</f>
        <v>651375010</v>
      </c>
      <c r="I4" s="439">
        <f>SUM(I5:I9)</f>
        <v>1229000</v>
      </c>
      <c r="J4" s="439">
        <f>SUM(G4:I4)</f>
        <v>4894647142</v>
      </c>
      <c r="K4" s="439">
        <f>SUM(K5:K9)</f>
        <v>4068084180</v>
      </c>
      <c r="L4" s="439">
        <f>SUM(L5:L9)</f>
        <v>767888382</v>
      </c>
      <c r="M4" s="439">
        <f>SUM(M5:M9)</f>
        <v>1229000</v>
      </c>
      <c r="N4" s="439">
        <f>SUM(K4:M4)</f>
        <v>4837201562</v>
      </c>
      <c r="O4" s="439">
        <f>SUM(O5:O9)</f>
        <v>4062989643</v>
      </c>
      <c r="P4" s="439">
        <f>SUM(P5:P9)</f>
        <v>757912263</v>
      </c>
      <c r="Q4" s="439">
        <f>SUM(Q5:Q9)</f>
        <v>1229000</v>
      </c>
      <c r="R4" s="439">
        <f>SUM(O4:Q4)</f>
        <v>4822130906</v>
      </c>
      <c r="S4" s="439">
        <f>SUM(S5:S9)</f>
        <v>3445999708</v>
      </c>
      <c r="T4" s="439">
        <f>SUM(T5:T9)</f>
        <v>560539350</v>
      </c>
      <c r="U4" s="439">
        <f>SUM(U5:U9)</f>
        <v>649416</v>
      </c>
      <c r="V4" s="439">
        <f>SUM(S4:U4)</f>
        <v>4007188474</v>
      </c>
      <c r="W4" s="731">
        <f>+R4-N4</f>
        <v>-15070656</v>
      </c>
    </row>
    <row r="5" spans="1:23" x14ac:dyDescent="0.25">
      <c r="A5" s="729" t="s">
        <v>311</v>
      </c>
      <c r="B5" s="730" t="s">
        <v>286</v>
      </c>
      <c r="C5" s="489">
        <f>'2B Önk kiad'!C8+'3A PH'!C40+'4H VG bev kiad'!C37+'4A Walla'!C37+'4B Nyitnikék'!C37+'4C Bóbita'!C37+'4D MMMH'!C37+'4E Könyvtár'!C37+'4F Segítő Kéz'!C37+'4G Szérüskert'!C37</f>
        <v>1568622750</v>
      </c>
      <c r="D5" s="489">
        <f>'2B Önk kiad'!D8+'3A PH'!D40+'4H VG bev kiad'!D37+'4A Walla'!D37+'4B Nyitnikék'!D37+'4C Bóbita'!D37+'4D MMMH'!D37+'4E Könyvtár'!D37+'4F Segítő Kéz'!D37+'4G Szérüskert'!D37</f>
        <v>95523320</v>
      </c>
      <c r="E5" s="489">
        <f>'2B Önk kiad'!E8+'3A PH'!E40</f>
        <v>40000</v>
      </c>
      <c r="F5" s="489">
        <f>SUM(C5:E5)</f>
        <v>1664186070</v>
      </c>
      <c r="G5" s="489">
        <f>'2B Önk kiad'!G8+'3A PH'!G40+'4H VG bev kiad'!F37+'4A Walla'!F37+'4B Nyitnikék'!F37+'4C Bóbita'!F37+'4D MMMH'!F37+'4E Könyvtár'!F37+'4F Segítő Kéz'!F37+'4G Szérüskert'!F37</f>
        <v>1609938474</v>
      </c>
      <c r="H5" s="489">
        <f>'2B Önk kiad'!H8+'3A PH'!H40+'4H VG bev kiad'!G37+'4A Walla'!G37+'4B Nyitnikék'!G37+'4C Bóbita'!G37+'4D MMMH'!G37+'4E Könyvtár'!G37+'4F Segítő Kéz'!G37+'4G Szérüskert'!G37</f>
        <v>91859007</v>
      </c>
      <c r="I5" s="489">
        <f>'2B Önk kiad'!I8+'3A PH'!I40</f>
        <v>40000</v>
      </c>
      <c r="J5" s="489">
        <f>SUM(G5:I5)</f>
        <v>1701837481</v>
      </c>
      <c r="K5" s="489">
        <f>'2B Önk kiad'!K8+'3A PH'!K40+'4H VG bev kiad'!I37+'4A Walla'!I37+'4B Nyitnikék'!I37+'4C Bóbita'!I37+'4D MMMH'!I37+'4E Könyvtár'!I37+'4F Segítő Kéz'!I37+'4G Szérüskert'!I37</f>
        <v>1609989724</v>
      </c>
      <c r="L5" s="489">
        <f>'2B Önk kiad'!L8+'3A PH'!L40+'4H VG bev kiad'!J37+'4A Walla'!J37+'4B Nyitnikék'!J37+'4C Bóbita'!J37+'4D MMMH'!J37+'4E Könyvtár'!J37+'4F Segítő Kéz'!J37+'4G Szérüskert'!J37</f>
        <v>91859007</v>
      </c>
      <c r="M5" s="489">
        <f>'2B Önk kiad'!M8+'3A PH'!M40</f>
        <v>40000</v>
      </c>
      <c r="N5" s="489">
        <f>SUM(K5:M5)</f>
        <v>1701888731</v>
      </c>
      <c r="O5" s="489">
        <f>'2B Önk kiad'!O8+'3A PH'!O40+'4H VG bev kiad'!L37+'4A Walla'!L37+'4B Nyitnikék'!L37+'4C Bóbita'!L37+'4D MMMH'!L37+'4E Könyvtár'!L37+'4F Segítő Kéz'!L37+'4G Szérüskert'!L37</f>
        <v>1610953204</v>
      </c>
      <c r="P5" s="489">
        <f>'2B Önk kiad'!P8+'3A PH'!P40+'4H VG bev kiad'!M37+'4A Walla'!M37+'4B Nyitnikék'!M37+'4C Bóbita'!M37+'4D MMMH'!M37+'4E Könyvtár'!M37+'4F Segítő Kéz'!M37+'4G Szérüskert'!M37</f>
        <v>94525482</v>
      </c>
      <c r="Q5" s="489">
        <f>'2B Önk kiad'!Q8+'3A PH'!Q40</f>
        <v>40000</v>
      </c>
      <c r="R5" s="489">
        <f>SUM(O5:Q5)</f>
        <v>1705518686</v>
      </c>
      <c r="S5" s="489">
        <f>'2B Önk kiad'!S8+'3A PH'!S40+'4H VG bev kiad'!O37+'4A Walla'!O37+'4B Nyitnikék'!O37+'4C Bóbita'!O37+'4D MMMH'!O37+'4E Könyvtár'!O37+'4F Segítő Kéz'!O37+'4G Szérüskert'!O37</f>
        <v>1483684698</v>
      </c>
      <c r="T5" s="489">
        <f>'2B Önk kiad'!T8+'3A PH'!T40+'4H VG bev kiad'!P37+'4A Walla'!P37+'4B Nyitnikék'!P37+'4C Bóbita'!P37+'4D MMMH'!P37+'4E Könyvtár'!P37+'4F Segítő Kéz'!P37+'4G Szérüskert'!P37</f>
        <v>56700076</v>
      </c>
      <c r="U5" s="489">
        <f>'2B Önk kiad'!U8+'3A PH'!U40</f>
        <v>0</v>
      </c>
      <c r="V5" s="489">
        <f>SUM(S5:U5)</f>
        <v>1540384774</v>
      </c>
      <c r="W5" s="731">
        <f>+R5-N5</f>
        <v>3629955</v>
      </c>
    </row>
    <row r="6" spans="1:23" ht="30" x14ac:dyDescent="0.25">
      <c r="A6" s="729" t="s">
        <v>322</v>
      </c>
      <c r="B6" s="730" t="s">
        <v>335</v>
      </c>
      <c r="C6" s="489">
        <f>'2B Önk kiad'!C9+'3A PH'!C41+'4H VG bev kiad'!C38+'4A Walla'!C38+'4B Nyitnikék'!C38+'4C Bóbita'!C38+'4D MMMH'!C38+'4E Könyvtár'!C38+'4F Segítő Kéz'!C38+'4G Szérüskert'!C38</f>
        <v>312181415</v>
      </c>
      <c r="D6" s="489">
        <f>'2B Önk kiad'!D9+'3A PH'!D41+'4H VG bev kiad'!D38+'4A Walla'!D38+'4B Nyitnikék'!D38+'4C Bóbita'!D38+'4D MMMH'!D38+'4E Könyvtár'!D38+'4F Segítő Kéz'!D38+'4G Szérüskert'!D38</f>
        <v>15242500</v>
      </c>
      <c r="E6" s="489">
        <f>'2B Önk kiad'!E9+'3A PH'!E41</f>
        <v>16000</v>
      </c>
      <c r="F6" s="489">
        <f>SUM(C6:E6)</f>
        <v>327439915</v>
      </c>
      <c r="G6" s="489">
        <f>'2B Önk kiad'!G9+'3A PH'!G41+'4H VG bev kiad'!F38+'4A Walla'!F38+'4B Nyitnikék'!F38+'4C Bóbita'!F38+'4D MMMH'!F38+'4E Könyvtár'!F38+'4F Segítő Kéz'!F38+'4G Szérüskert'!F38</f>
        <v>319404415</v>
      </c>
      <c r="H6" s="489">
        <f>'2B Önk kiad'!H9+'3A PH'!H41+'4H VG bev kiad'!G38+'4A Walla'!G38+'4B Nyitnikék'!G38+'4C Bóbita'!G38+'4D MMMH'!G38+'4E Könyvtár'!G38+'4F Segítő Kéz'!G38+'4G Szérüskert'!G38</f>
        <v>15242500</v>
      </c>
      <c r="I6" s="489">
        <f>'2B Önk kiad'!I9+'3A PH'!I41</f>
        <v>16000</v>
      </c>
      <c r="J6" s="489">
        <f>SUM(G6:I6)</f>
        <v>334662915</v>
      </c>
      <c r="K6" s="489">
        <f>'2B Önk kiad'!K9+'3A PH'!K41+'4H VG bev kiad'!I38+'4A Walla'!I38+'4B Nyitnikék'!I38+'4C Bóbita'!I38+'4D MMMH'!I38+'4E Könyvtár'!I38+'4F Segítő Kéz'!I38+'4G Szérüskert'!I38</f>
        <v>319404415</v>
      </c>
      <c r="L6" s="489">
        <f>'2B Önk kiad'!L9+'3A PH'!L41+'4H VG bev kiad'!J38+'4A Walla'!J38+'4B Nyitnikék'!J38+'4C Bóbita'!J38+'4D MMMH'!J38+'4E Könyvtár'!J38+'4F Segítő Kéz'!J38+'4G Szérüskert'!J38</f>
        <v>15242500</v>
      </c>
      <c r="M6" s="489">
        <f>'2B Önk kiad'!M9+'3A PH'!M41</f>
        <v>16000</v>
      </c>
      <c r="N6" s="489">
        <f>SUM(K6:M6)</f>
        <v>334662915</v>
      </c>
      <c r="O6" s="489">
        <f>'2B Önk kiad'!O9+'3A PH'!O41+'4H VG bev kiad'!L38+'4A Walla'!L38+'4B Nyitnikék'!L38+'4C Bóbita'!L38+'4D MMMH'!L38+'4E Könyvtár'!L38+'4F Segítő Kéz'!L38+'4G Szérüskert'!L38</f>
        <v>318721663</v>
      </c>
      <c r="P6" s="489">
        <f>'2B Önk kiad'!P9+'3A PH'!P41+'4H VG bev kiad'!M38+'4A Walla'!M38+'4B Nyitnikék'!M38+'4C Bóbita'!M38+'4D MMMH'!M38+'4E Könyvtár'!M38+'4F Segítő Kéz'!M38+'4G Szérüskert'!M38</f>
        <v>16560111</v>
      </c>
      <c r="Q6" s="489">
        <f>'2B Önk kiad'!Q9+'3A PH'!Q41</f>
        <v>16000</v>
      </c>
      <c r="R6" s="489">
        <f>SUM(O6:Q6)</f>
        <v>335297774</v>
      </c>
      <c r="S6" s="489">
        <f>'2B Önk kiad'!S9+'3A PH'!S41+'4H VG bev kiad'!O38+'4A Walla'!O38+'4B Nyitnikék'!O38+'4C Bóbita'!O38+'4D MMMH'!O38+'4E Könyvtár'!O38+'4F Segítő Kéz'!O38+'4G Szérüskert'!O38</f>
        <v>258375323</v>
      </c>
      <c r="T6" s="489">
        <f>'2B Önk kiad'!T9+'3A PH'!T41+'4H VG bev kiad'!P38+'4A Walla'!P38+'4B Nyitnikék'!P38+'4C Bóbita'!P38+'4D MMMH'!P38+'4E Könyvtár'!P38+'4F Segítő Kéz'!P38+'4G Szérüskert'!P38</f>
        <v>8478367</v>
      </c>
      <c r="U6" s="489">
        <f>'2B Önk kiad'!U9+'3A PH'!U41</f>
        <v>0</v>
      </c>
      <c r="V6" s="489">
        <f>SUM(S6:U6)</f>
        <v>266853690</v>
      </c>
      <c r="W6" s="731">
        <f t="shared" ref="W6:W9" si="0">+R6-N6</f>
        <v>634859</v>
      </c>
    </row>
    <row r="7" spans="1:23" x14ac:dyDescent="0.25">
      <c r="A7" s="729" t="s">
        <v>315</v>
      </c>
      <c r="B7" s="730" t="s">
        <v>292</v>
      </c>
      <c r="C7" s="489">
        <f>'2B Önk kiad'!C10+'3A PH'!C42+'4H VG bev kiad'!C39+'4A Walla'!C39+'4B Nyitnikék'!C39+'4C Bóbita'!C39+'4D MMMH'!C39+'4E Könyvtár'!C39+'4F Segítő Kéz'!C39+'4G Szérüskert'!C39</f>
        <v>1420748280</v>
      </c>
      <c r="D7" s="489">
        <f>'2B Önk kiad'!D10+'3A PH'!D42+'4H VG bev kiad'!D39+'4A Walla'!D39+'4B Nyitnikék'!D39+'4C Bóbita'!D39+'4D MMMH'!D39+'4E Könyvtár'!D39+'4F Segítő Kéz'!D39+'4G Szérüskert'!D39</f>
        <v>161029445</v>
      </c>
      <c r="E7" s="489">
        <f>'2B Önk kiad'!E10+'3A PH'!E42</f>
        <v>1173000</v>
      </c>
      <c r="F7" s="489">
        <f>SUM(C7:E7)</f>
        <v>1582950725</v>
      </c>
      <c r="G7" s="489">
        <f>'2B Önk kiad'!G10+'3A PH'!G42+'4H VG bev kiad'!F39+'4A Walla'!F39+'4B Nyitnikék'!F39+'4C Bóbita'!F39+'4D MMMH'!F39+'4E Könyvtár'!F39+'4F Segítő Kéz'!F39+'4G Szérüskert'!F39</f>
        <v>1504571985</v>
      </c>
      <c r="H7" s="489">
        <f>'2B Önk kiad'!H10+'3A PH'!H42+'4H VG bev kiad'!G39+'4A Walla'!G39+'4B Nyitnikék'!G39+'4C Bóbita'!G39+'4D MMMH'!G39+'4E Könyvtár'!G39+'4F Segítő Kéz'!G39+'4G Szérüskert'!G39</f>
        <v>223896003</v>
      </c>
      <c r="I7" s="489">
        <f>'2B Önk kiad'!I10+'3A PH'!I42</f>
        <v>1173000</v>
      </c>
      <c r="J7" s="489">
        <f>SUM(G7:I7)</f>
        <v>1729640988</v>
      </c>
      <c r="K7" s="489">
        <f>'2B Önk kiad'!K10+'3A PH'!K42+'4H VG bev kiad'!I39+'4A Walla'!I39+'4B Nyitnikék'!I39+'4C Bóbita'!I39+'4D MMMH'!I39+'4E Könyvtár'!I39+'4F Segítő Kéz'!I39+'4G Szérüskert'!I39</f>
        <v>1457997374</v>
      </c>
      <c r="L7" s="489">
        <f>'2B Önk kiad'!L10+'3A PH'!L42+'4H VG bev kiad'!J39+'4A Walla'!J39+'4B Nyitnikék'!J39+'4C Bóbita'!J39+'4D MMMH'!J39+'4E Könyvtár'!J39+'4F Segítő Kéz'!J39+'4G Szérüskert'!J39</f>
        <v>255380903</v>
      </c>
      <c r="M7" s="489">
        <f>'2B Önk kiad'!M10+'3A PH'!M42</f>
        <v>1173000</v>
      </c>
      <c r="N7" s="489">
        <f>SUM(K7:M7)</f>
        <v>1714551277</v>
      </c>
      <c r="O7" s="489">
        <f>'2B Önk kiad'!O10+'3A PH'!O42+'4H VG bev kiad'!L39+'4A Walla'!L39+'4B Nyitnikék'!L39+'4C Bóbita'!L39+'4D MMMH'!L39+'4E Könyvtár'!L39+'4F Segítő Kéz'!L39+'4G Szérüskert'!L39</f>
        <v>1442973666</v>
      </c>
      <c r="P7" s="489">
        <f>'2B Önk kiad'!P10+'3A PH'!P42+'4H VG bev kiad'!M39+'4A Walla'!M39+'4B Nyitnikék'!M39+'4C Bóbita'!M39+'4D MMMH'!M39+'4E Könyvtár'!M39+'4F Segítő Kéz'!M39+'4G Szérüskert'!M39</f>
        <v>235158792</v>
      </c>
      <c r="Q7" s="489">
        <f>'2B Önk kiad'!Q10+'3A PH'!Q42</f>
        <v>1173000</v>
      </c>
      <c r="R7" s="489">
        <f>SUM(O7:Q7)</f>
        <v>1679305458</v>
      </c>
      <c r="S7" s="489">
        <f>'2B Önk kiad'!S10+'3A PH'!S42+'4H VG bev kiad'!O39+'4A Walla'!O39+'4B Nyitnikék'!O39+'4C Bóbita'!O39+'4D MMMH'!O39+'4E Könyvtár'!O39+'4F Segítő Kéz'!O39+'4G Szérüskert'!O39</f>
        <v>1132328352</v>
      </c>
      <c r="T7" s="489">
        <f>'2B Önk kiad'!T10+'3A PH'!T42+'4H VG bev kiad'!P39+'4A Walla'!P39+'4B Nyitnikék'!P39+'4C Bóbita'!P39+'4D MMMH'!P39+'4E Könyvtár'!P39+'4F Segítő Kéz'!P39+'4G Szérüskert'!P39</f>
        <v>120681168</v>
      </c>
      <c r="U7" s="489">
        <f>'2B Önk kiad'!U10+'3A PH'!U42</f>
        <v>649416</v>
      </c>
      <c r="V7" s="489">
        <f>SUM(S7:U7)</f>
        <v>1253658936</v>
      </c>
      <c r="W7" s="731">
        <f t="shared" si="0"/>
        <v>-35245819</v>
      </c>
    </row>
    <row r="8" spans="1:23" x14ac:dyDescent="0.25">
      <c r="A8" s="729" t="s">
        <v>336</v>
      </c>
      <c r="B8" s="730" t="s">
        <v>337</v>
      </c>
      <c r="C8" s="489">
        <f>'2B Önk kiad'!C11+'3A PH'!C43+'4H VG bev kiad'!C40+'4A Walla'!C40+'4B Nyitnikék'!C40+'4C Bóbita'!C40+'4D MMMH'!C40+'4E Könyvtár'!C40+'4F Segítő Kéz'!C40+'4G Szérüskert'!C40</f>
        <v>18000000</v>
      </c>
      <c r="D8" s="489">
        <f>'2B Önk kiad'!D11+'3A PH'!D43+'4H VG bev kiad'!D40+'4A Walla'!D40+'4B Nyitnikék'!D40+'4C Bóbita'!D40+'4D MMMH'!D40+'4E Könyvtár'!D40+'4F Segítő Kéz'!D40+'4G Szérüskert'!D40</f>
        <v>16000000</v>
      </c>
      <c r="E8" s="489">
        <f>'2B Önk kiad'!E11+'3A PH'!E43</f>
        <v>0</v>
      </c>
      <c r="F8" s="489">
        <f t="shared" ref="F8:F14" si="1">SUM(C8:E8)</f>
        <v>34000000</v>
      </c>
      <c r="G8" s="489">
        <f>'2B Önk kiad'!G11+'3A PH'!G43+'4H VG bev kiad'!F40+'4A Walla'!F40+'4B Nyitnikék'!F40+'4C Bóbita'!F40+'4D MMMH'!F40+'4E Könyvtár'!F40+'4F Segítő Kéz'!F40+'4G Szérüskert'!F40</f>
        <v>48233000</v>
      </c>
      <c r="H8" s="489">
        <f>'2B Önk kiad'!H11+'3A PH'!H43+'4H VG bev kiad'!G40+'4A Walla'!G40+'4B Nyitnikék'!G40+'4C Bóbita'!G40+'4D MMMH'!G40+'4E Könyvtár'!G40+'4F Segítő Kéz'!G40+'4G Szérüskert'!G40</f>
        <v>16484500</v>
      </c>
      <c r="I8" s="489">
        <f>'2B Önk kiad'!I11+'3A PH'!I43</f>
        <v>0</v>
      </c>
      <c r="J8" s="489">
        <f t="shared" ref="J8:J14" si="2">SUM(G8:I8)</f>
        <v>64717500</v>
      </c>
      <c r="K8" s="489">
        <f>'2B Önk kiad'!K11+'3A PH'!K43+'4H VG bev kiad'!J40+'4A Walla'!J40+'4B Nyitnikék'!J40+'4C Bóbita'!J40+'4D MMMH'!J40+'4E Könyvtár'!J40+'4F Segítő Kéz'!J40+'4G Szérüskert'!J40</f>
        <v>48233000</v>
      </c>
      <c r="L8" s="489">
        <f>'2B Önk kiad'!L11+'3A PH'!L43+'4H VG bev kiad'!K40+'4A Walla'!K40+'4B Nyitnikék'!K40+'4C Bóbita'!K40+'4D MMMH'!K40+'4E Könyvtár'!K40+'4F Segítő Kéz'!K40+'4G Szérüskert'!K40</f>
        <v>16484500</v>
      </c>
      <c r="M8" s="489">
        <f>'2B Önk kiad'!M11+'3A PH'!M43</f>
        <v>0</v>
      </c>
      <c r="N8" s="489">
        <f t="shared" ref="N8:N14" si="3">SUM(K8:M8)</f>
        <v>64717500</v>
      </c>
      <c r="O8" s="489">
        <f>'2B Önk kiad'!O11+'3A PH'!O43+'4H VG bev kiad'!L40+'4A Walla'!L40+'4B Nyitnikék'!L40+'4C Bóbita'!L40+'4D MMMH'!L40+'4E Könyvtár'!L40+'4F Segítő Kéz'!L40+'4G Szérüskert'!L40</f>
        <v>47966860</v>
      </c>
      <c r="P8" s="489">
        <f>'2B Önk kiad'!P11+'3A PH'!P43+'4H VG bev kiad'!M40+'4A Walla'!M40+'4B Nyitnikék'!M40+'4C Bóbita'!M40+'4D MMMH'!M40+'4E Könyvtár'!M40+'4F Segítő Kéz'!M40+'4G Szérüskert'!M40</f>
        <v>21572900</v>
      </c>
      <c r="Q8" s="489">
        <f>'2B Önk kiad'!Q11+'3A PH'!Q43</f>
        <v>0</v>
      </c>
      <c r="R8" s="489">
        <f t="shared" ref="R8:R14" si="4">SUM(O8:Q8)</f>
        <v>69539760</v>
      </c>
      <c r="S8" s="489">
        <f>'2B Önk kiad'!S11+'3A PH'!S43+'4H VG bev kiad'!O40+'4A Walla'!O40+'4B Nyitnikék'!O40+'4C Bóbita'!O40+'4D MMMH'!O40+'4E Könyvtár'!O40+'4F Segítő Kéz'!O40+'4G Szérüskert'!O40</f>
        <v>34415446</v>
      </c>
      <c r="T8" s="489">
        <f>'2B Önk kiad'!T11+'3A PH'!T43+'4H VG bev kiad'!P40+'4A Walla'!P40+'4B Nyitnikék'!P40+'4C Bóbita'!P40+'4D MMMH'!P40+'4E Könyvtár'!P40+'4F Segítő Kéz'!P40+'4G Szérüskert'!P40</f>
        <v>13011774</v>
      </c>
      <c r="U8" s="489">
        <f>'2B Önk kiad'!U11+'3A PH'!U43</f>
        <v>0</v>
      </c>
      <c r="V8" s="489">
        <f t="shared" ref="V8:V14" si="5">SUM(S8:U8)</f>
        <v>47427220</v>
      </c>
      <c r="W8" s="731">
        <f t="shared" si="0"/>
        <v>4822260</v>
      </c>
    </row>
    <row r="9" spans="1:23" x14ac:dyDescent="0.25">
      <c r="A9" s="729" t="s">
        <v>338</v>
      </c>
      <c r="B9" s="730" t="s">
        <v>339</v>
      </c>
      <c r="C9" s="489">
        <f>'2B Önk kiad'!C12+'3A PH'!C44+'4H VG bev kiad'!C41+'4A Walla'!C41+'4B Nyitnikék'!C41+'4C Bóbita'!C41+'4D MMMH'!C41+'4E Könyvtár'!C41+'4F Segítő Kéz'!C41+'4G Szérüskert'!C41</f>
        <v>636311006</v>
      </c>
      <c r="D9" s="489">
        <f>'2B Önk kiad'!D12+'3A PH'!D44+'4H VG bev kiad'!D41+'4A Walla'!D41+'4B Nyitnikék'!D41+'4C Bóbita'!D41+'4D MMMH'!D41+'4E Könyvtár'!D41+'4F Segítő Kéz'!D41+'4G Szérüskert'!D41</f>
        <v>306912000</v>
      </c>
      <c r="E9" s="489">
        <f>'2B Önk kiad'!E12+'3A PH'!E44</f>
        <v>0</v>
      </c>
      <c r="F9" s="489">
        <f t="shared" si="1"/>
        <v>943223006</v>
      </c>
      <c r="G9" s="489">
        <f>'2B Önk kiad'!G12+'3A PH'!G44+'4H VG bev kiad'!F41+'4A Walla'!F41+'4B Nyitnikék'!F41+'4C Bóbita'!F41+'4D MMMH'!F41+'4E Könyvtár'!F41+'4F Segítő Kéz'!F41+'4G Szérüskert'!F41</f>
        <v>759895258</v>
      </c>
      <c r="H9" s="489">
        <f>'2B Önk kiad'!H12+'3A PH'!H44+'4H VG bev kiad'!G41+'4A Walla'!G41+'4B Nyitnikék'!G41+'4C Bóbita'!G41+'4D MMMH'!G41+'4E Könyvtár'!G41+'4F Segítő Kéz'!G41+'4G Szérüskert'!G41</f>
        <v>303893000</v>
      </c>
      <c r="I9" s="489">
        <f>'2B Önk kiad'!I12+'3A PH'!I44</f>
        <v>0</v>
      </c>
      <c r="J9" s="489">
        <f t="shared" si="2"/>
        <v>1063788258</v>
      </c>
      <c r="K9" s="489">
        <f>'2B Önk kiad'!K12+'3A PH'!K44+'4H VG bev kiad'!J41+'4A Walla'!J41+'4B Nyitnikék'!J41+'4C Bóbita'!J41+'4D MMMH'!J41+'4E Könyvtár'!J41+'4F Segítő Kéz'!J41+'4G Szérüskert'!J41</f>
        <v>632459667</v>
      </c>
      <c r="L9" s="489">
        <f>'2B Önk kiad'!L12+'3A PH'!L44+'4H VG bev kiad'!K41+'4A Walla'!K41+'4B Nyitnikék'!K41+'4C Bóbita'!K41+'4D MMMH'!K41+'4E Könyvtár'!K41+'4F Segítő Kéz'!K41+'4G Szérüskert'!K41</f>
        <v>388921472</v>
      </c>
      <c r="M9" s="489">
        <f>'2B Önk kiad'!M12+'3A PH'!M44</f>
        <v>0</v>
      </c>
      <c r="N9" s="489">
        <f t="shared" si="3"/>
        <v>1021381139</v>
      </c>
      <c r="O9" s="489">
        <f>'2B Önk kiad'!O12+'3A PH'!O44+'4H VG bev kiad'!L41+'4A Walla'!L41+'4B Nyitnikék'!L41+'4C Bóbita'!L41+'4D MMMH'!L41+'4E Könyvtár'!L41+'4F Segítő Kéz'!L41+'4G Szérüskert'!L41</f>
        <v>642374250</v>
      </c>
      <c r="P9" s="489">
        <f>'2B Önk kiad'!P12+'3A PH'!P44+'4H VG bev kiad'!M41+'4A Walla'!M41+'4B Nyitnikék'!M41+'4C Bóbita'!M41+'4D MMMH'!M41+'4E Könyvtár'!M41+'4F Segítő Kéz'!M41+'4G Szérüskert'!M41</f>
        <v>390094978</v>
      </c>
      <c r="Q9" s="489">
        <f>'2B Önk kiad'!Q12+'3A PH'!Q44</f>
        <v>0</v>
      </c>
      <c r="R9" s="489">
        <f t="shared" si="4"/>
        <v>1032469228</v>
      </c>
      <c r="S9" s="489">
        <f>'2B Önk kiad'!S12+'3A PH'!S44+'4H VG bev kiad'!O41+'4A Walla'!O41+'4B Nyitnikék'!O41+'4C Bóbita'!O41+'4D MMMH'!O41+'4E Könyvtár'!O41+'4F Segítő Kéz'!O41+'4G Szérüskert'!O41</f>
        <v>537195889</v>
      </c>
      <c r="T9" s="489">
        <f>'2B Önk kiad'!T12+'3A PH'!T44+'4H VG bev kiad'!P41+'4A Walla'!P41+'4B Nyitnikék'!P41+'4C Bóbita'!P41+'4D MMMH'!P41+'4E Könyvtár'!P41+'4F Segítő Kéz'!P41+'4G Szérüskert'!P41</f>
        <v>361667965</v>
      </c>
      <c r="U9" s="489">
        <f>'2B Önk kiad'!U12+'3A PH'!U44</f>
        <v>0</v>
      </c>
      <c r="V9" s="489">
        <f t="shared" si="5"/>
        <v>898863854</v>
      </c>
      <c r="W9" s="731">
        <f t="shared" si="0"/>
        <v>11088089</v>
      </c>
    </row>
    <row r="10" spans="1:23" ht="14.25" hidden="1" customHeight="1" x14ac:dyDescent="0.25">
      <c r="A10" s="711"/>
      <c r="B10" s="732" t="s">
        <v>667</v>
      </c>
      <c r="C10" s="445"/>
      <c r="D10" s="445"/>
      <c r="E10" s="445"/>
      <c r="F10" s="445">
        <f t="shared" si="1"/>
        <v>0</v>
      </c>
      <c r="G10" s="445"/>
      <c r="H10" s="445"/>
      <c r="I10" s="445"/>
      <c r="J10" s="445">
        <f t="shared" si="2"/>
        <v>0</v>
      </c>
      <c r="K10" s="445"/>
      <c r="L10" s="445"/>
      <c r="M10" s="445"/>
      <c r="N10" s="445">
        <f t="shared" si="3"/>
        <v>0</v>
      </c>
      <c r="O10" s="445"/>
      <c r="P10" s="445"/>
      <c r="Q10" s="445"/>
      <c r="R10" s="445">
        <f t="shared" si="4"/>
        <v>0</v>
      </c>
      <c r="S10" s="445"/>
      <c r="T10" s="445"/>
      <c r="U10" s="445"/>
      <c r="V10" s="445">
        <f t="shared" si="5"/>
        <v>0</v>
      </c>
    </row>
    <row r="11" spans="1:23" s="726" customFormat="1" ht="28.5" hidden="1" customHeight="1" x14ac:dyDescent="0.25">
      <c r="A11" s="711"/>
      <c r="B11" s="732" t="s">
        <v>668</v>
      </c>
      <c r="C11" s="445"/>
      <c r="D11" s="445"/>
      <c r="E11" s="445"/>
      <c r="F11" s="445">
        <f t="shared" si="1"/>
        <v>0</v>
      </c>
      <c r="G11" s="445"/>
      <c r="H11" s="445"/>
      <c r="I11" s="445"/>
      <c r="J11" s="445">
        <f t="shared" si="2"/>
        <v>0</v>
      </c>
      <c r="K11" s="445"/>
      <c r="L11" s="445"/>
      <c r="M11" s="445"/>
      <c r="N11" s="445">
        <f t="shared" si="3"/>
        <v>0</v>
      </c>
      <c r="O11" s="445"/>
      <c r="P11" s="445"/>
      <c r="Q11" s="445"/>
      <c r="R11" s="445">
        <f t="shared" si="4"/>
        <v>0</v>
      </c>
      <c r="S11" s="445"/>
      <c r="T11" s="445"/>
      <c r="U11" s="445"/>
      <c r="V11" s="445">
        <f t="shared" si="5"/>
        <v>0</v>
      </c>
    </row>
    <row r="12" spans="1:23" s="726" customFormat="1" ht="28.5" hidden="1" customHeight="1" x14ac:dyDescent="0.25">
      <c r="A12" s="711"/>
      <c r="B12" s="732" t="s">
        <v>669</v>
      </c>
      <c r="C12" s="445"/>
      <c r="D12" s="445"/>
      <c r="E12" s="445"/>
      <c r="F12" s="445">
        <f t="shared" si="1"/>
        <v>0</v>
      </c>
      <c r="G12" s="445"/>
      <c r="H12" s="445"/>
      <c r="I12" s="445"/>
      <c r="J12" s="445">
        <f t="shared" si="2"/>
        <v>0</v>
      </c>
      <c r="K12" s="445"/>
      <c r="L12" s="445"/>
      <c r="M12" s="445"/>
      <c r="N12" s="445">
        <f t="shared" si="3"/>
        <v>0</v>
      </c>
      <c r="O12" s="445"/>
      <c r="P12" s="445"/>
      <c r="Q12" s="445"/>
      <c r="R12" s="445">
        <f t="shared" si="4"/>
        <v>0</v>
      </c>
      <c r="S12" s="445"/>
      <c r="T12" s="445"/>
      <c r="U12" s="445"/>
      <c r="V12" s="445">
        <f t="shared" si="5"/>
        <v>0</v>
      </c>
    </row>
    <row r="13" spans="1:23" ht="28.5" hidden="1" customHeight="1" x14ac:dyDescent="0.25">
      <c r="A13" s="711"/>
      <c r="B13" s="732" t="s">
        <v>670</v>
      </c>
      <c r="C13" s="427"/>
      <c r="D13" s="427"/>
      <c r="E13" s="427"/>
      <c r="F13" s="427">
        <f t="shared" si="1"/>
        <v>0</v>
      </c>
      <c r="G13" s="427"/>
      <c r="H13" s="427"/>
      <c r="I13" s="427"/>
      <c r="J13" s="427">
        <f t="shared" si="2"/>
        <v>0</v>
      </c>
      <c r="K13" s="427"/>
      <c r="L13" s="427"/>
      <c r="M13" s="427"/>
      <c r="N13" s="427">
        <f t="shared" si="3"/>
        <v>0</v>
      </c>
      <c r="O13" s="427"/>
      <c r="P13" s="427"/>
      <c r="Q13" s="427"/>
      <c r="R13" s="427">
        <f t="shared" si="4"/>
        <v>0</v>
      </c>
      <c r="S13" s="427"/>
      <c r="T13" s="427"/>
      <c r="U13" s="427"/>
      <c r="V13" s="427">
        <f t="shared" si="5"/>
        <v>0</v>
      </c>
    </row>
    <row r="14" spans="1:23" ht="14.25" hidden="1" customHeight="1" x14ac:dyDescent="0.25">
      <c r="A14" s="711"/>
      <c r="B14" s="732" t="s">
        <v>671</v>
      </c>
      <c r="C14" s="445"/>
      <c r="D14" s="445"/>
      <c r="E14" s="445"/>
      <c r="F14" s="445">
        <f t="shared" si="1"/>
        <v>0</v>
      </c>
      <c r="G14" s="445"/>
      <c r="H14" s="445"/>
      <c r="I14" s="445"/>
      <c r="J14" s="445">
        <f t="shared" si="2"/>
        <v>0</v>
      </c>
      <c r="K14" s="445"/>
      <c r="L14" s="445"/>
      <c r="M14" s="445"/>
      <c r="N14" s="445">
        <f t="shared" si="3"/>
        <v>0</v>
      </c>
      <c r="O14" s="445"/>
      <c r="P14" s="445"/>
      <c r="Q14" s="445"/>
      <c r="R14" s="445">
        <f t="shared" si="4"/>
        <v>0</v>
      </c>
      <c r="S14" s="445"/>
      <c r="T14" s="445"/>
      <c r="U14" s="445"/>
      <c r="V14" s="445">
        <f t="shared" si="5"/>
        <v>0</v>
      </c>
    </row>
    <row r="15" spans="1:23" ht="30" x14ac:dyDescent="0.25">
      <c r="A15" s="728" t="s">
        <v>318</v>
      </c>
      <c r="B15" s="323" t="s">
        <v>340</v>
      </c>
      <c r="C15" s="439">
        <f>SUM(C16:C18)</f>
        <v>979642190</v>
      </c>
      <c r="D15" s="439">
        <f>SUM(D16:D18)</f>
        <v>392408000</v>
      </c>
      <c r="E15" s="439">
        <f>SUM(E16:E18)</f>
        <v>0</v>
      </c>
      <c r="F15" s="439">
        <f>SUM(C15:E15)</f>
        <v>1372050190</v>
      </c>
      <c r="G15" s="439">
        <f>SUM(G16:G18)</f>
        <v>1040861133</v>
      </c>
      <c r="H15" s="439">
        <f>SUM(H16:H18)</f>
        <v>599212502</v>
      </c>
      <c r="I15" s="439">
        <f>SUM(I16:I18)</f>
        <v>0</v>
      </c>
      <c r="J15" s="439">
        <f>SUM(G15:I15)</f>
        <v>1640073635</v>
      </c>
      <c r="K15" s="439">
        <f>SUM(K16:K18)</f>
        <v>1007898177</v>
      </c>
      <c r="L15" s="439">
        <f>SUM(L16:L18)</f>
        <v>624105652</v>
      </c>
      <c r="M15" s="439">
        <f>SUM(M16:M18)</f>
        <v>0</v>
      </c>
      <c r="N15" s="439">
        <f>SUM(K15:M15)</f>
        <v>1632003829</v>
      </c>
      <c r="O15" s="439">
        <f>SUM(O16:O18)</f>
        <v>1297521208</v>
      </c>
      <c r="P15" s="439">
        <f>SUM(P16:P18)</f>
        <v>395624690</v>
      </c>
      <c r="Q15" s="439">
        <f>SUM(Q16:Q18)</f>
        <v>0</v>
      </c>
      <c r="R15" s="439">
        <f>SUM(O15:Q15)</f>
        <v>1693145898</v>
      </c>
      <c r="S15" s="439">
        <f>SUM(S16:S18)</f>
        <v>258583238</v>
      </c>
      <c r="T15" s="439">
        <f>SUM(T16:T18)</f>
        <v>96306755</v>
      </c>
      <c r="U15" s="439">
        <f>SUM(U16:U18)</f>
        <v>0</v>
      </c>
      <c r="V15" s="439">
        <f>SUM(S15:U15)</f>
        <v>354889993</v>
      </c>
      <c r="W15" s="731">
        <f>+R15-N15</f>
        <v>61142069</v>
      </c>
    </row>
    <row r="16" spans="1:23" x14ac:dyDescent="0.25">
      <c r="A16" s="729" t="s">
        <v>311</v>
      </c>
      <c r="B16" s="730" t="s">
        <v>351</v>
      </c>
      <c r="C16" s="489">
        <f>'2B Önk kiad'!C22+'3A PH'!C46+'4H VG bev kiad'!C43+'4A Walla'!C43+'4B Nyitnikék'!C43+'4C Bóbita'!C43+'4D MMMH'!C43+'4E Könyvtár'!C43+'4F Segítő Kéz'!C43+'4G Szérüskert'!C43</f>
        <v>763432350</v>
      </c>
      <c r="D16" s="489">
        <f>'2B Önk kiad'!D22+'3A PH'!D46+'4H VG bev kiad'!D43+'4A Walla'!D43+'4B Nyitnikék'!D43+'4C Bóbita'!D43+'4D MMMH'!D43+'4E Könyvtár'!D43+'4F Segítő Kéz'!D43+'4G Szérüskert'!D43</f>
        <v>392408000</v>
      </c>
      <c r="E16" s="489">
        <f>'2B Önk kiad'!E22+'3A PH'!E46</f>
        <v>0</v>
      </c>
      <c r="F16" s="489">
        <f>SUM(C16:E16)</f>
        <v>1155840350</v>
      </c>
      <c r="G16" s="489">
        <f>'2B Önk kiad'!G22+'3A PH'!G46+'4H VG bev kiad'!F43+'4A Walla'!F43+'4B Nyitnikék'!F43+'4C Bóbita'!F43+'4D MMMH'!F43+'4E Könyvtár'!F43+'4F Segítő Kéz'!F43+'4G Szérüskert'!F43</f>
        <v>821400836</v>
      </c>
      <c r="H16" s="489">
        <f>'2B Önk kiad'!H22+'3A PH'!H46+'4H VG bev kiad'!G43+'4A Walla'!G43+'4B Nyitnikék'!G43+'4C Bóbita'!G43+'4D MMMH'!G43+'4E Könyvtár'!G43+'4F Segítő Kéz'!G43+'4G Szérüskert'!G43</f>
        <v>571066901</v>
      </c>
      <c r="I16" s="489">
        <f>'2B Önk kiad'!I22+'3A PH'!I46</f>
        <v>0</v>
      </c>
      <c r="J16" s="489">
        <f>SUM(G16:I16)</f>
        <v>1392467737</v>
      </c>
      <c r="K16" s="489">
        <f>'2B Önk kiad'!K22+'3A PH'!K46+'4H VG bev kiad'!J43+'4A Walla'!J43+'4B Nyitnikék'!J43+'4C Bóbita'!J43+'4D MMMH'!J43+'4E Könyvtár'!J43+'4F Segítő Kéz'!J43+'4G Szérüskert'!J43</f>
        <v>790737726</v>
      </c>
      <c r="L16" s="489">
        <f>'2B Önk kiad'!L22+'3A PH'!L46+'4H VG bev kiad'!K43+'4A Walla'!K43+'4B Nyitnikék'!K43+'4C Bóbita'!K43+'4D MMMH'!K43+'4E Könyvtár'!K43+'4F Segítő Kéz'!K43+'4G Szérüskert'!K43</f>
        <v>591662117</v>
      </c>
      <c r="M16" s="489">
        <f>'2B Önk kiad'!M22+'3A PH'!M46</f>
        <v>0</v>
      </c>
      <c r="N16" s="489">
        <f>SUM(K16:M16)</f>
        <v>1382399843</v>
      </c>
      <c r="O16" s="489">
        <f>'2B Önk kiad'!O22+'3A PH'!O46+'4H VG bev kiad'!L43+'4A Walla'!L43+'4B Nyitnikék'!L43+'4C Bóbita'!L43+'4D MMMH'!L43+'4E Könyvtár'!L43+'4F Segítő Kéz'!L43+'4G Szérüskert'!L43</f>
        <v>942398933</v>
      </c>
      <c r="P16" s="489">
        <f>'2B Önk kiad'!P22+'3A PH'!P46+'4H VG bev kiad'!M43+'4A Walla'!M43+'4B Nyitnikék'!M43+'4C Bóbita'!M43+'4D MMMH'!M43+'4E Könyvtár'!M43+'4F Segítő Kéz'!M43+'4G Szérüskert'!M43</f>
        <v>372050053</v>
      </c>
      <c r="Q16" s="489">
        <f>'2B Önk kiad'!Q22+'3A PH'!Q46</f>
        <v>0</v>
      </c>
      <c r="R16" s="489">
        <f>SUM(O16:Q16)</f>
        <v>1314448986</v>
      </c>
      <c r="S16" s="489">
        <f>'2B Önk kiad'!S22+'3A PH'!S46+'4H VG bev kiad'!O43+'4A Walla'!O43+'4B Nyitnikék'!O43+'4C Bóbita'!O43+'4D MMMH'!O43+'4E Könyvtár'!O43+'4F Segítő Kéz'!O43+'4G Szérüskert'!O43</f>
        <v>154780127</v>
      </c>
      <c r="T16" s="489">
        <f>'2B Önk kiad'!T22+'3A PH'!T46+'4H VG bev kiad'!P43+'4A Walla'!P43+'4B Nyitnikék'!P43+'4C Bóbita'!P43+'4D MMMH'!P43+'4E Könyvtár'!P43+'4F Segítő Kéz'!P43+'4G Szérüskert'!P43</f>
        <v>83097719</v>
      </c>
      <c r="U16" s="489">
        <f>'2B Önk kiad'!U22+'3A PH'!U46</f>
        <v>0</v>
      </c>
      <c r="V16" s="489">
        <f>SUM(S16:U16)</f>
        <v>237877846</v>
      </c>
      <c r="W16" s="731">
        <f t="shared" ref="W16:W18" si="6">+R16-N16</f>
        <v>-67950857</v>
      </c>
    </row>
    <row r="17" spans="1:23" x14ac:dyDescent="0.25">
      <c r="A17" s="729" t="s">
        <v>322</v>
      </c>
      <c r="B17" s="730" t="s">
        <v>342</v>
      </c>
      <c r="C17" s="489">
        <f>'2B Önk kiad'!C23+'3A PH'!C47+'4H VG bev kiad'!C44+'4A Walla'!C44+'4B Nyitnikék'!C44+'4C Bóbita'!C44+'4D MMMH'!C44+'4E Könyvtár'!C44+'4F Segítő Kéz'!C44+'4G Szérüskert'!C44</f>
        <v>215509840</v>
      </c>
      <c r="D17" s="489">
        <f>'2B Önk kiad'!D23+'3A PH'!D47+'4H VG bev kiad'!D44+'4A Walla'!D44+'4B Nyitnikék'!D44+'4C Bóbita'!D44+'4D MMMH'!D44+'4E Könyvtár'!D44+'4F Segítő Kéz'!D44+'4G Szérüskert'!D44</f>
        <v>0</v>
      </c>
      <c r="E17" s="489">
        <f>'2B Önk kiad'!E23+'3A PH'!E47</f>
        <v>0</v>
      </c>
      <c r="F17" s="489">
        <f t="shared" ref="F17:F23" si="7">SUM(C17:E17)</f>
        <v>215509840</v>
      </c>
      <c r="G17" s="489">
        <f>'2B Önk kiad'!G23+'3A PH'!G47+'4H VG bev kiad'!F44+'4A Walla'!F44+'4B Nyitnikék'!F44+'4C Bóbita'!F44+'4D MMMH'!F44+'4E Könyvtár'!F44+'4F Segítő Kéz'!F44+'4G Szérüskert'!F44</f>
        <v>218060297</v>
      </c>
      <c r="H17" s="489">
        <f>'2B Önk kiad'!H23+'3A PH'!H47+'4H VG bev kiad'!G44+'4A Walla'!G44+'4B Nyitnikék'!G44+'4C Bóbita'!G44+'4D MMMH'!G44+'4E Könyvtár'!G44+'4F Segítő Kéz'!G44+'4G Szérüskert'!G44</f>
        <v>28145601</v>
      </c>
      <c r="I17" s="489">
        <f>'2B Önk kiad'!I23+'3A PH'!I47</f>
        <v>0</v>
      </c>
      <c r="J17" s="489">
        <f t="shared" ref="J17:J23" si="8">SUM(G17:I17)</f>
        <v>246205898</v>
      </c>
      <c r="K17" s="489">
        <f>'2B Önk kiad'!K23+'3A PH'!K47+'4H VG bev kiad'!J44+'4A Walla'!J44+'4B Nyitnikék'!J44+'4C Bóbita'!J44+'4D MMMH'!J44+'4E Könyvtár'!J44+'4F Segítő Kéz'!J44+'4G Szérüskert'!J44</f>
        <v>215760451</v>
      </c>
      <c r="L17" s="489">
        <f>'2B Önk kiad'!L23+'3A PH'!L47+'4H VG bev kiad'!K44+'4A Walla'!K44+'4B Nyitnikék'!K44+'4C Bóbita'!K44+'4D MMMH'!K44+'4E Könyvtár'!K44+'4F Segítő Kéz'!K44+'4G Szérüskert'!K44</f>
        <v>32443535</v>
      </c>
      <c r="M17" s="489">
        <f>'2B Önk kiad'!M23+'3A PH'!M47</f>
        <v>0</v>
      </c>
      <c r="N17" s="489">
        <f t="shared" ref="N17:N23" si="9">SUM(K17:M17)</f>
        <v>248203986</v>
      </c>
      <c r="O17" s="489">
        <f>'2B Önk kiad'!O23+'3A PH'!O47+'4H VG bev kiad'!L44+'4A Walla'!L44+'4B Nyitnikék'!L44+'4C Bóbita'!L44+'4D MMMH'!L44+'4E Könyvtár'!L44+'4F Segítő Kéz'!L44+'4G Szérüskert'!L44</f>
        <v>268722275</v>
      </c>
      <c r="P17" s="489">
        <f>'2B Önk kiad'!P23+'3A PH'!P47+'4H VG bev kiad'!M44+'4A Walla'!M44+'4B Nyitnikék'!M44+'4C Bóbita'!M44+'4D MMMH'!M44+'4E Könyvtár'!M44+'4F Segítő Kéz'!M44+'4G Szérüskert'!M44</f>
        <v>13574637</v>
      </c>
      <c r="Q17" s="489">
        <f>'2B Önk kiad'!Q23+'3A PH'!Q47</f>
        <v>0</v>
      </c>
      <c r="R17" s="489">
        <f t="shared" ref="R17:R23" si="10">SUM(O17:Q17)</f>
        <v>282296912</v>
      </c>
      <c r="S17" s="489">
        <f>'2B Önk kiad'!S23+'3A PH'!S47+'4H VG bev kiad'!O44+'4A Walla'!O44+'4B Nyitnikék'!O44+'4C Bóbita'!O44+'4D MMMH'!O44+'4E Könyvtár'!O44+'4F Segítő Kéz'!O44+'4G Szérüskert'!O44</f>
        <v>103803111</v>
      </c>
      <c r="T17" s="489">
        <f>'2B Önk kiad'!T23+'3A PH'!T47+'4H VG bev kiad'!P44+'4A Walla'!P44+'4B Nyitnikék'!P44+'4C Bóbita'!P44+'4D MMMH'!P44+'4E Könyvtár'!P44+'4F Segítő Kéz'!P44+'4G Szérüskert'!P44</f>
        <v>3209036</v>
      </c>
      <c r="U17" s="489">
        <f>'2B Önk kiad'!U23+'3A PH'!U47</f>
        <v>0</v>
      </c>
      <c r="V17" s="489">
        <f t="shared" ref="V17:V23" si="11">SUM(S17:U17)</f>
        <v>107012147</v>
      </c>
      <c r="W17" s="731">
        <f t="shared" si="6"/>
        <v>34092926</v>
      </c>
    </row>
    <row r="18" spans="1:23" x14ac:dyDescent="0.25">
      <c r="A18" s="729" t="s">
        <v>315</v>
      </c>
      <c r="B18" s="730" t="s">
        <v>343</v>
      </c>
      <c r="C18" s="489">
        <f>'2B Önk kiad'!C24+'3A PH'!C48</f>
        <v>700000</v>
      </c>
      <c r="D18" s="489">
        <f>'2B Önk kiad'!D24+'3A PH'!D48+'4H VG bev kiad'!D45+'4A Walla'!D45+'4B Nyitnikék'!D45+'4C Bóbita'!D45+'4D MMMH'!D45+'4E Könyvtár'!D45+'4F Segítő Kéz'!D45+'4G Szérüskert'!D45</f>
        <v>0</v>
      </c>
      <c r="E18" s="489">
        <f>'2B Önk kiad'!E24+'3A PH'!E48</f>
        <v>0</v>
      </c>
      <c r="F18" s="489">
        <f t="shared" si="7"/>
        <v>700000</v>
      </c>
      <c r="G18" s="489">
        <f>'2B Önk kiad'!G24+'3A PH'!G48</f>
        <v>1400000</v>
      </c>
      <c r="H18" s="489">
        <f>'2B Önk kiad'!H24+'3A PH'!H48+'4H VG bev kiad'!G45+'4A Walla'!G45+'4B Nyitnikék'!G45+'4C Bóbita'!G45+'4D MMMH'!G45+'4E Könyvtár'!G45+'4F Segítő Kéz'!G45+'4G Szérüskert'!G45</f>
        <v>0</v>
      </c>
      <c r="I18" s="489">
        <f>'2B Önk kiad'!I24+'3A PH'!I48</f>
        <v>0</v>
      </c>
      <c r="J18" s="489">
        <f t="shared" si="8"/>
        <v>1400000</v>
      </c>
      <c r="K18" s="489">
        <f>'2B Önk kiad'!K24+'3A PH'!K48</f>
        <v>1400000</v>
      </c>
      <c r="L18" s="489">
        <f>'2B Önk kiad'!L24+'3A PH'!L48+'4H VG bev kiad'!K45+'4A Walla'!K45+'4B Nyitnikék'!K45+'4C Bóbita'!K45+'4D MMMH'!K45+'4E Könyvtár'!K45+'4F Segítő Kéz'!K45+'4G Szérüskert'!K45</f>
        <v>0</v>
      </c>
      <c r="M18" s="489">
        <f>'2B Önk kiad'!M24+'3A PH'!M48</f>
        <v>0</v>
      </c>
      <c r="N18" s="489">
        <f t="shared" si="9"/>
        <v>1400000</v>
      </c>
      <c r="O18" s="489">
        <f>'2B Önk kiad'!O24+'3A PH'!O48</f>
        <v>86400000</v>
      </c>
      <c r="P18" s="489">
        <f>'2B Önk kiad'!P24+'3A PH'!P48+'4H VG bev kiad'!M45+'4A Walla'!M45+'4B Nyitnikék'!M45+'4C Bóbita'!M45+'4D MMMH'!M45+'4E Könyvtár'!M45+'4F Segítő Kéz'!M45+'4G Szérüskert'!M45</f>
        <v>10000000</v>
      </c>
      <c r="Q18" s="489">
        <f>'2B Önk kiad'!Q24+'3A PH'!Q48</f>
        <v>0</v>
      </c>
      <c r="R18" s="489">
        <f t="shared" si="10"/>
        <v>96400000</v>
      </c>
      <c r="S18" s="489">
        <f>'2B Önk kiad'!S24+'3A PH'!S48</f>
        <v>0</v>
      </c>
      <c r="T18" s="489">
        <f>'2B Önk kiad'!T24+'3A PH'!T48+'4H VG bev kiad'!P45+'4A Walla'!P45+'4B Nyitnikék'!P45+'4C Bóbita'!P45+'4D MMMH'!P45+'4E Könyvtár'!P45+'4F Segítő Kéz'!P45+'4G Szérüskert'!P45</f>
        <v>10000000</v>
      </c>
      <c r="U18" s="489">
        <f>'2B Önk kiad'!U24+'3A PH'!U48</f>
        <v>0</v>
      </c>
      <c r="V18" s="489">
        <f t="shared" si="11"/>
        <v>10000000</v>
      </c>
      <c r="W18" s="731">
        <f t="shared" si="6"/>
        <v>95000000</v>
      </c>
    </row>
    <row r="19" spans="1:23" ht="28.5" hidden="1" customHeight="1" x14ac:dyDescent="0.25">
      <c r="A19" s="711"/>
      <c r="B19" s="732" t="s">
        <v>674</v>
      </c>
      <c r="C19" s="445"/>
      <c r="D19" s="445"/>
      <c r="E19" s="445"/>
      <c r="F19" s="445">
        <f t="shared" si="7"/>
        <v>0</v>
      </c>
      <c r="G19" s="445"/>
      <c r="H19" s="445"/>
      <c r="I19" s="445"/>
      <c r="J19" s="445">
        <f t="shared" si="8"/>
        <v>0</v>
      </c>
      <c r="K19" s="445"/>
      <c r="L19" s="445"/>
      <c r="M19" s="445"/>
      <c r="N19" s="445">
        <f t="shared" si="9"/>
        <v>0</v>
      </c>
      <c r="O19" s="445"/>
      <c r="P19" s="445"/>
      <c r="Q19" s="445"/>
      <c r="R19" s="445">
        <f t="shared" si="10"/>
        <v>0</v>
      </c>
      <c r="S19" s="445"/>
      <c r="T19" s="445"/>
      <c r="U19" s="445"/>
      <c r="V19" s="445">
        <f t="shared" si="11"/>
        <v>0</v>
      </c>
    </row>
    <row r="20" spans="1:23" ht="28.5" hidden="1" customHeight="1" x14ac:dyDescent="0.25">
      <c r="A20" s="711"/>
      <c r="B20" s="732" t="s">
        <v>675</v>
      </c>
      <c r="C20" s="445"/>
      <c r="D20" s="445"/>
      <c r="E20" s="445"/>
      <c r="F20" s="445">
        <f t="shared" si="7"/>
        <v>0</v>
      </c>
      <c r="G20" s="445"/>
      <c r="H20" s="445"/>
      <c r="I20" s="445"/>
      <c r="J20" s="445">
        <f t="shared" si="8"/>
        <v>0</v>
      </c>
      <c r="K20" s="445"/>
      <c r="L20" s="445"/>
      <c r="M20" s="445"/>
      <c r="N20" s="445">
        <f t="shared" si="9"/>
        <v>0</v>
      </c>
      <c r="O20" s="445"/>
      <c r="P20" s="445"/>
      <c r="Q20" s="445"/>
      <c r="R20" s="445">
        <f t="shared" si="10"/>
        <v>0</v>
      </c>
      <c r="S20" s="445"/>
      <c r="T20" s="445"/>
      <c r="U20" s="445"/>
      <c r="V20" s="445">
        <f t="shared" si="11"/>
        <v>0</v>
      </c>
    </row>
    <row r="21" spans="1:23" ht="14.25" hidden="1" customHeight="1" x14ac:dyDescent="0.25">
      <c r="A21" s="711"/>
      <c r="B21" s="732" t="s">
        <v>676</v>
      </c>
      <c r="C21" s="445"/>
      <c r="D21" s="445"/>
      <c r="E21" s="445"/>
      <c r="F21" s="445">
        <f t="shared" si="7"/>
        <v>0</v>
      </c>
      <c r="G21" s="445"/>
      <c r="H21" s="445"/>
      <c r="I21" s="445"/>
      <c r="J21" s="445">
        <f t="shared" si="8"/>
        <v>0</v>
      </c>
      <c r="K21" s="445"/>
      <c r="L21" s="445"/>
      <c r="M21" s="445"/>
      <c r="N21" s="445">
        <f t="shared" si="9"/>
        <v>0</v>
      </c>
      <c r="O21" s="445"/>
      <c r="P21" s="445"/>
      <c r="Q21" s="445"/>
      <c r="R21" s="445">
        <f t="shared" si="10"/>
        <v>0</v>
      </c>
      <c r="S21" s="445"/>
      <c r="T21" s="445"/>
      <c r="U21" s="445"/>
      <c r="V21" s="445">
        <f t="shared" si="11"/>
        <v>0</v>
      </c>
    </row>
    <row r="22" spans="1:23" ht="28.5" hidden="1" customHeight="1" x14ac:dyDescent="0.25">
      <c r="A22" s="711"/>
      <c r="B22" s="732" t="s">
        <v>677</v>
      </c>
      <c r="C22" s="445"/>
      <c r="D22" s="445"/>
      <c r="E22" s="445"/>
      <c r="F22" s="445">
        <f t="shared" si="7"/>
        <v>0</v>
      </c>
      <c r="G22" s="445"/>
      <c r="H22" s="445"/>
      <c r="I22" s="445"/>
      <c r="J22" s="445">
        <f t="shared" si="8"/>
        <v>0</v>
      </c>
      <c r="K22" s="445"/>
      <c r="L22" s="445"/>
      <c r="M22" s="445"/>
      <c r="N22" s="445">
        <f t="shared" si="9"/>
        <v>0</v>
      </c>
      <c r="O22" s="445"/>
      <c r="P22" s="445"/>
      <c r="Q22" s="445"/>
      <c r="R22" s="445">
        <f t="shared" si="10"/>
        <v>0</v>
      </c>
      <c r="S22" s="445"/>
      <c r="T22" s="445"/>
      <c r="U22" s="445"/>
      <c r="V22" s="445">
        <f t="shared" si="11"/>
        <v>0</v>
      </c>
    </row>
    <row r="23" spans="1:23" ht="28.5" hidden="1" customHeight="1" x14ac:dyDescent="0.25">
      <c r="A23" s="711"/>
      <c r="B23" s="732" t="s">
        <v>678</v>
      </c>
      <c r="C23" s="445"/>
      <c r="D23" s="445"/>
      <c r="E23" s="445"/>
      <c r="F23" s="445">
        <f t="shared" si="7"/>
        <v>0</v>
      </c>
      <c r="G23" s="445"/>
      <c r="H23" s="445"/>
      <c r="I23" s="445"/>
      <c r="J23" s="445">
        <f t="shared" si="8"/>
        <v>0</v>
      </c>
      <c r="K23" s="445"/>
      <c r="L23" s="445"/>
      <c r="M23" s="445"/>
      <c r="N23" s="445">
        <f t="shared" si="9"/>
        <v>0</v>
      </c>
      <c r="O23" s="445"/>
      <c r="P23" s="445"/>
      <c r="Q23" s="445"/>
      <c r="R23" s="445">
        <f t="shared" si="10"/>
        <v>0</v>
      </c>
      <c r="S23" s="445"/>
      <c r="T23" s="445"/>
      <c r="U23" s="445"/>
      <c r="V23" s="445">
        <f t="shared" si="11"/>
        <v>0</v>
      </c>
    </row>
    <row r="24" spans="1:23" ht="30" x14ac:dyDescent="0.25">
      <c r="A24" s="733"/>
      <c r="B24" s="734" t="s">
        <v>590</v>
      </c>
      <c r="C24" s="494">
        <f>C4+C15</f>
        <v>4935505641</v>
      </c>
      <c r="D24" s="494">
        <f>D4+D15</f>
        <v>987115265</v>
      </c>
      <c r="E24" s="494">
        <f>E4+E15</f>
        <v>1229000</v>
      </c>
      <c r="F24" s="494">
        <f>SUM(C24:E24)</f>
        <v>5923849906</v>
      </c>
      <c r="G24" s="494">
        <f>G4+G15</f>
        <v>5282904265</v>
      </c>
      <c r="H24" s="494">
        <f>H4+H15</f>
        <v>1250587512</v>
      </c>
      <c r="I24" s="494">
        <f>I4+I15</f>
        <v>1229000</v>
      </c>
      <c r="J24" s="494">
        <f>SUM(G24:I24)</f>
        <v>6534720777</v>
      </c>
      <c r="K24" s="494">
        <f>K4+K15</f>
        <v>5075982357</v>
      </c>
      <c r="L24" s="494">
        <f>L4+L15</f>
        <v>1391994034</v>
      </c>
      <c r="M24" s="494">
        <f>M4+M15</f>
        <v>1229000</v>
      </c>
      <c r="N24" s="494">
        <f>SUM(K24:M24)</f>
        <v>6469205391</v>
      </c>
      <c r="O24" s="494">
        <f>O4+O15</f>
        <v>5360510851</v>
      </c>
      <c r="P24" s="494">
        <f>P4+P15</f>
        <v>1153536953</v>
      </c>
      <c r="Q24" s="494">
        <f>Q4+Q15</f>
        <v>1229000</v>
      </c>
      <c r="R24" s="494">
        <f>SUM(O24:Q24)</f>
        <v>6515276804</v>
      </c>
      <c r="S24" s="494">
        <f>S4+S15</f>
        <v>3704582946</v>
      </c>
      <c r="T24" s="494">
        <f>T4+T15</f>
        <v>656846105</v>
      </c>
      <c r="U24" s="494">
        <f>U4+U15</f>
        <v>649416</v>
      </c>
      <c r="V24" s="494">
        <f>SUM(S24:U24)</f>
        <v>4362078467</v>
      </c>
      <c r="W24" s="731">
        <f>+R24-N24</f>
        <v>46071413</v>
      </c>
    </row>
    <row r="25" spans="1:23" ht="30" x14ac:dyDescent="0.25">
      <c r="A25" s="728" t="s">
        <v>328</v>
      </c>
      <c r="B25" s="323" t="s">
        <v>593</v>
      </c>
      <c r="C25" s="439">
        <f>C26+C32</f>
        <v>180645000</v>
      </c>
      <c r="D25" s="439">
        <f>D26+D32</f>
        <v>0</v>
      </c>
      <c r="E25" s="439">
        <f>E26+E32</f>
        <v>24816000</v>
      </c>
      <c r="F25" s="439">
        <f t="shared" ref="F25:F34" si="12">SUM(C25:E25)</f>
        <v>205461000</v>
      </c>
      <c r="G25" s="439">
        <f>G26+G32</f>
        <v>180645000</v>
      </c>
      <c r="H25" s="439">
        <f>H26+H32</f>
        <v>0</v>
      </c>
      <c r="I25" s="439">
        <f>I26+I32</f>
        <v>211270375</v>
      </c>
      <c r="J25" s="439">
        <f t="shared" ref="J25:J34" si="13">SUM(G25:I25)</f>
        <v>391915375</v>
      </c>
      <c r="K25" s="439">
        <f>K26+K32</f>
        <v>180645000</v>
      </c>
      <c r="L25" s="439">
        <f>L26+L32</f>
        <v>0</v>
      </c>
      <c r="M25" s="439">
        <f>M26+M32</f>
        <v>361330216</v>
      </c>
      <c r="N25" s="439">
        <f t="shared" ref="N25:N34" si="14">SUM(K25:M25)</f>
        <v>541975216</v>
      </c>
      <c r="O25" s="439">
        <f>O26+O32</f>
        <v>180645156</v>
      </c>
      <c r="P25" s="439">
        <f>P26+P32</f>
        <v>0</v>
      </c>
      <c r="Q25" s="439">
        <f>Q26+Q32</f>
        <v>619002331</v>
      </c>
      <c r="R25" s="439">
        <f t="shared" ref="R25:R34" si="15">SUM(O25:Q25)</f>
        <v>799647487</v>
      </c>
      <c r="S25" s="439">
        <f>S26+S32</f>
        <v>180645156</v>
      </c>
      <c r="T25" s="439">
        <f>T26+T32</f>
        <v>0</v>
      </c>
      <c r="U25" s="439">
        <f>U26+U32</f>
        <v>578504389</v>
      </c>
      <c r="V25" s="439">
        <f t="shared" ref="V25:V34" si="16">SUM(S25:U25)</f>
        <v>759149545</v>
      </c>
      <c r="W25" s="731">
        <f>+R25-N25</f>
        <v>257672271</v>
      </c>
    </row>
    <row r="26" spans="1:23" x14ac:dyDescent="0.25">
      <c r="A26" s="729" t="s">
        <v>311</v>
      </c>
      <c r="B26" s="730" t="s">
        <v>596</v>
      </c>
      <c r="C26" s="735">
        <f>SUM(C27:C31)</f>
        <v>180645000</v>
      </c>
      <c r="D26" s="735">
        <f>SUM(D27:D31)</f>
        <v>0</v>
      </c>
      <c r="E26" s="735">
        <f>SUM(E27:E31)</f>
        <v>24816000</v>
      </c>
      <c r="F26" s="735">
        <f t="shared" si="12"/>
        <v>205461000</v>
      </c>
      <c r="G26" s="735">
        <f>SUM(G27:G31)</f>
        <v>180645000</v>
      </c>
      <c r="H26" s="735">
        <f>SUM(H27:H31)</f>
        <v>0</v>
      </c>
      <c r="I26" s="735">
        <f>SUM(I27:I31)</f>
        <v>211270375</v>
      </c>
      <c r="J26" s="735">
        <f t="shared" si="13"/>
        <v>391915375</v>
      </c>
      <c r="K26" s="735">
        <f>SUM(K27:K31)</f>
        <v>180645000</v>
      </c>
      <c r="L26" s="735">
        <f>SUM(L27:L31)</f>
        <v>0</v>
      </c>
      <c r="M26" s="735">
        <f>SUM(M27:M31)</f>
        <v>361330216</v>
      </c>
      <c r="N26" s="735">
        <f t="shared" si="14"/>
        <v>541975216</v>
      </c>
      <c r="O26" s="735">
        <f>SUM(O27:O31)</f>
        <v>180645156</v>
      </c>
      <c r="P26" s="735">
        <f>SUM(P27:P31)</f>
        <v>0</v>
      </c>
      <c r="Q26" s="735">
        <f>SUM(Q27:Q31)</f>
        <v>619002331</v>
      </c>
      <c r="R26" s="735">
        <f t="shared" si="15"/>
        <v>799647487</v>
      </c>
      <c r="S26" s="735">
        <f>SUM(S27:S31)</f>
        <v>180645156</v>
      </c>
      <c r="T26" s="735">
        <f>SUM(T27:T31)</f>
        <v>0</v>
      </c>
      <c r="U26" s="735">
        <f>SUM(U27:U31)</f>
        <v>578504389</v>
      </c>
      <c r="V26" s="735">
        <f t="shared" si="16"/>
        <v>759149545</v>
      </c>
      <c r="W26" s="731">
        <f>+R26-N26</f>
        <v>257672271</v>
      </c>
    </row>
    <row r="27" spans="1:23" ht="30" x14ac:dyDescent="0.25">
      <c r="A27" s="711"/>
      <c r="B27" s="736" t="s">
        <v>679</v>
      </c>
      <c r="C27" s="427">
        <f>'2B Önk kiad'!C33</f>
        <v>180645000</v>
      </c>
      <c r="D27" s="427">
        <f>'2B Önk kiad'!D33</f>
        <v>0</v>
      </c>
      <c r="E27" s="427">
        <f>'2B Önk kiad'!E33</f>
        <v>0</v>
      </c>
      <c r="F27" s="427">
        <f t="shared" si="12"/>
        <v>180645000</v>
      </c>
      <c r="G27" s="427">
        <f>'2B Önk kiad'!G33</f>
        <v>180645000</v>
      </c>
      <c r="H27" s="427">
        <f>'2B Önk kiad'!H33</f>
        <v>0</v>
      </c>
      <c r="I27" s="427">
        <f>'2B Önk kiad'!I33</f>
        <v>0</v>
      </c>
      <c r="J27" s="427">
        <f t="shared" si="13"/>
        <v>180645000</v>
      </c>
      <c r="K27" s="427">
        <f>'2B Önk kiad'!K33</f>
        <v>180645000</v>
      </c>
      <c r="L27" s="427">
        <f>'2B Önk kiad'!L33</f>
        <v>0</v>
      </c>
      <c r="M27" s="427">
        <f>'2B Önk kiad'!M33</f>
        <v>0</v>
      </c>
      <c r="N27" s="427">
        <f t="shared" si="14"/>
        <v>180645000</v>
      </c>
      <c r="O27" s="427">
        <f>'2B Önk kiad'!O33</f>
        <v>180645156</v>
      </c>
      <c r="P27" s="427">
        <f>'2B Önk kiad'!P33</f>
        <v>0</v>
      </c>
      <c r="Q27" s="427">
        <f>'2B Önk kiad'!Q33</f>
        <v>0</v>
      </c>
      <c r="R27" s="427">
        <f t="shared" si="15"/>
        <v>180645156</v>
      </c>
      <c r="S27" s="427">
        <f>'2B Önk kiad'!S33</f>
        <v>180645156</v>
      </c>
      <c r="T27" s="427">
        <f>'2B Önk kiad'!T33</f>
        <v>0</v>
      </c>
      <c r="U27" s="427">
        <f>'2B Önk kiad'!U33</f>
        <v>0</v>
      </c>
      <c r="V27" s="427">
        <f t="shared" si="16"/>
        <v>180645156</v>
      </c>
      <c r="W27" s="731">
        <f>+R27-N27</f>
        <v>156</v>
      </c>
    </row>
    <row r="28" spans="1:23" x14ac:dyDescent="0.25">
      <c r="A28" s="711"/>
      <c r="B28" s="736" t="s">
        <v>682</v>
      </c>
      <c r="C28" s="427">
        <f>'2B Önk kiad'!C36</f>
        <v>0</v>
      </c>
      <c r="D28" s="427">
        <f>'2B Önk kiad'!D36</f>
        <v>0</v>
      </c>
      <c r="E28" s="427">
        <f>'2B Önk kiad'!E36</f>
        <v>0</v>
      </c>
      <c r="F28" s="427">
        <f t="shared" si="12"/>
        <v>0</v>
      </c>
      <c r="G28" s="427">
        <f>'2B Önk kiad'!G36</f>
        <v>0</v>
      </c>
      <c r="H28" s="427">
        <f>'2B Önk kiad'!H36</f>
        <v>0</v>
      </c>
      <c r="I28" s="427">
        <f>'2B Önk kiad'!I36</f>
        <v>0</v>
      </c>
      <c r="J28" s="427">
        <f t="shared" si="13"/>
        <v>0</v>
      </c>
      <c r="K28" s="427">
        <f>'2B Önk kiad'!K36</f>
        <v>0</v>
      </c>
      <c r="L28" s="427">
        <f>'2B Önk kiad'!L36</f>
        <v>0</v>
      </c>
      <c r="M28" s="427">
        <f>'2B Önk kiad'!M36</f>
        <v>0</v>
      </c>
      <c r="N28" s="427">
        <f t="shared" si="14"/>
        <v>0</v>
      </c>
      <c r="O28" s="427">
        <f>'2B Önk kiad'!O36</f>
        <v>0</v>
      </c>
      <c r="P28" s="427">
        <f>'2B Önk kiad'!P36</f>
        <v>0</v>
      </c>
      <c r="Q28" s="427">
        <f>'2B Önk kiad'!Q36</f>
        <v>0</v>
      </c>
      <c r="R28" s="427">
        <f t="shared" si="15"/>
        <v>0</v>
      </c>
      <c r="S28" s="427">
        <f>'2B Önk kiad'!S36</f>
        <v>0</v>
      </c>
      <c r="T28" s="427">
        <f>'2B Önk kiad'!T36</f>
        <v>0</v>
      </c>
      <c r="U28" s="427">
        <f>'2B Önk kiad'!U36</f>
        <v>0</v>
      </c>
      <c r="V28" s="427">
        <f t="shared" si="16"/>
        <v>0</v>
      </c>
    </row>
    <row r="29" spans="1:23" ht="30" x14ac:dyDescent="0.25">
      <c r="A29" s="711"/>
      <c r="B29" s="736" t="s">
        <v>689</v>
      </c>
      <c r="C29" s="427">
        <f>'2B Önk kiad'!C37</f>
        <v>0</v>
      </c>
      <c r="D29" s="427">
        <f>'2B Önk kiad'!D37</f>
        <v>0</v>
      </c>
      <c r="E29" s="427">
        <f>'2B Önk kiad'!E37</f>
        <v>24816000</v>
      </c>
      <c r="F29" s="427">
        <f t="shared" si="12"/>
        <v>24816000</v>
      </c>
      <c r="G29" s="427">
        <f>'2B Önk kiad'!G37</f>
        <v>0</v>
      </c>
      <c r="H29" s="427">
        <f>'2B Önk kiad'!H37</f>
        <v>0</v>
      </c>
      <c r="I29" s="427">
        <f>'2B Önk kiad'!I37</f>
        <v>211270375</v>
      </c>
      <c r="J29" s="427">
        <f t="shared" si="13"/>
        <v>211270375</v>
      </c>
      <c r="K29" s="427">
        <f>'2B Önk kiad'!K37</f>
        <v>0</v>
      </c>
      <c r="L29" s="427">
        <f>'2B Önk kiad'!L37</f>
        <v>0</v>
      </c>
      <c r="M29" s="427">
        <f>'2B Önk kiad'!M37</f>
        <v>361330216</v>
      </c>
      <c r="N29" s="427">
        <f t="shared" si="14"/>
        <v>361330216</v>
      </c>
      <c r="O29" s="427">
        <f>'2B Önk kiad'!O37</f>
        <v>0</v>
      </c>
      <c r="P29" s="427">
        <f>'2B Önk kiad'!P37</f>
        <v>0</v>
      </c>
      <c r="Q29" s="427">
        <f>'2B Önk kiad'!Q37</f>
        <v>619002331</v>
      </c>
      <c r="R29" s="427">
        <f t="shared" si="15"/>
        <v>619002331</v>
      </c>
      <c r="S29" s="427">
        <f>'2B Önk kiad'!S37</f>
        <v>0</v>
      </c>
      <c r="T29" s="427">
        <f>'2B Önk kiad'!T37</f>
        <v>0</v>
      </c>
      <c r="U29" s="427">
        <f>'2B Önk kiad'!U37</f>
        <v>578504389</v>
      </c>
      <c r="V29" s="427">
        <f t="shared" si="16"/>
        <v>578504389</v>
      </c>
      <c r="W29" s="731">
        <f>+R29-N29</f>
        <v>257672115</v>
      </c>
    </row>
    <row r="30" spans="1:23" ht="30" x14ac:dyDescent="0.25">
      <c r="A30" s="711"/>
      <c r="B30" s="736" t="s">
        <v>690</v>
      </c>
      <c r="C30" s="427">
        <f>'2B Önk kiad'!C39</f>
        <v>0</v>
      </c>
      <c r="D30" s="427">
        <f>'2B Önk kiad'!D39</f>
        <v>0</v>
      </c>
      <c r="E30" s="427">
        <f>'2B Önk kiad'!E39</f>
        <v>0</v>
      </c>
      <c r="F30" s="427">
        <f t="shared" si="12"/>
        <v>0</v>
      </c>
      <c r="G30" s="427">
        <f>'2B Önk kiad'!G39</f>
        <v>0</v>
      </c>
      <c r="H30" s="427">
        <f>'2B Önk kiad'!H39</f>
        <v>0</v>
      </c>
      <c r="I30" s="427">
        <f>'2B Önk kiad'!I39</f>
        <v>0</v>
      </c>
      <c r="J30" s="427">
        <f t="shared" si="13"/>
        <v>0</v>
      </c>
      <c r="K30" s="427">
        <f>'2B Önk kiad'!K39</f>
        <v>0</v>
      </c>
      <c r="L30" s="427">
        <f>'2B Önk kiad'!L39</f>
        <v>0</v>
      </c>
      <c r="M30" s="427">
        <f>'2B Önk kiad'!M39</f>
        <v>0</v>
      </c>
      <c r="N30" s="427">
        <f t="shared" si="14"/>
        <v>0</v>
      </c>
      <c r="O30" s="427">
        <f>'2B Önk kiad'!O39</f>
        <v>0</v>
      </c>
      <c r="P30" s="427">
        <f>'2B Önk kiad'!P39</f>
        <v>0</v>
      </c>
      <c r="Q30" s="427">
        <f>'2B Önk kiad'!Q39</f>
        <v>0</v>
      </c>
      <c r="R30" s="427">
        <f t="shared" si="15"/>
        <v>0</v>
      </c>
      <c r="S30" s="427">
        <f>'2B Önk kiad'!S39</f>
        <v>0</v>
      </c>
      <c r="T30" s="427">
        <f>'2B Önk kiad'!T39</f>
        <v>0</v>
      </c>
      <c r="U30" s="427">
        <f>'2B Önk kiad'!U39</f>
        <v>0</v>
      </c>
      <c r="V30" s="427">
        <f t="shared" si="16"/>
        <v>0</v>
      </c>
    </row>
    <row r="31" spans="1:23" x14ac:dyDescent="0.25">
      <c r="A31" s="711"/>
      <c r="B31" s="736" t="s">
        <v>691</v>
      </c>
      <c r="C31" s="427">
        <f>'2B Önk kiad'!C40</f>
        <v>0</v>
      </c>
      <c r="D31" s="427">
        <f>'2B Önk kiad'!D40</f>
        <v>0</v>
      </c>
      <c r="E31" s="427">
        <f>'2B Önk kiad'!E40</f>
        <v>0</v>
      </c>
      <c r="F31" s="427">
        <f t="shared" si="12"/>
        <v>0</v>
      </c>
      <c r="G31" s="427">
        <f>'2B Önk kiad'!G40</f>
        <v>0</v>
      </c>
      <c r="H31" s="427">
        <f>'2B Önk kiad'!H40</f>
        <v>0</v>
      </c>
      <c r="I31" s="427">
        <f>'2B Önk kiad'!I40</f>
        <v>0</v>
      </c>
      <c r="J31" s="427">
        <f t="shared" si="13"/>
        <v>0</v>
      </c>
      <c r="K31" s="427">
        <f>'2B Önk kiad'!K40</f>
        <v>0</v>
      </c>
      <c r="L31" s="427">
        <f>'2B Önk kiad'!L40</f>
        <v>0</v>
      </c>
      <c r="M31" s="427">
        <f>'2B Önk kiad'!M40</f>
        <v>0</v>
      </c>
      <c r="N31" s="427">
        <f t="shared" si="14"/>
        <v>0</v>
      </c>
      <c r="O31" s="427">
        <f>'2B Önk kiad'!O40</f>
        <v>0</v>
      </c>
      <c r="P31" s="427">
        <f>'2B Önk kiad'!P40</f>
        <v>0</v>
      </c>
      <c r="Q31" s="427">
        <f>'2B Önk kiad'!Q40</f>
        <v>0</v>
      </c>
      <c r="R31" s="427">
        <f t="shared" si="15"/>
        <v>0</v>
      </c>
      <c r="S31" s="427">
        <f>'2B Önk kiad'!S40</f>
        <v>0</v>
      </c>
      <c r="T31" s="427">
        <f>'2B Önk kiad'!T40</f>
        <v>0</v>
      </c>
      <c r="U31" s="427">
        <f>'2B Önk kiad'!U40</f>
        <v>0</v>
      </c>
      <c r="V31" s="427">
        <f t="shared" si="16"/>
        <v>0</v>
      </c>
    </row>
    <row r="32" spans="1:23" x14ac:dyDescent="0.25">
      <c r="A32" s="729" t="s">
        <v>322</v>
      </c>
      <c r="B32" s="730" t="s">
        <v>597</v>
      </c>
      <c r="C32" s="735">
        <f>SUM(C33:C34)</f>
        <v>0</v>
      </c>
      <c r="D32" s="735">
        <f>SUM(D33:D34)</f>
        <v>0</v>
      </c>
      <c r="E32" s="735">
        <f>SUM(E33:E34)</f>
        <v>0</v>
      </c>
      <c r="F32" s="735">
        <f t="shared" si="12"/>
        <v>0</v>
      </c>
      <c r="G32" s="735">
        <f>SUM(G33:G34)</f>
        <v>0</v>
      </c>
      <c r="H32" s="735">
        <f>SUM(H33:H34)</f>
        <v>0</v>
      </c>
      <c r="I32" s="735">
        <f>SUM(I33:I34)</f>
        <v>0</v>
      </c>
      <c r="J32" s="735">
        <f t="shared" si="13"/>
        <v>0</v>
      </c>
      <c r="K32" s="735">
        <f>SUM(K33:K34)</f>
        <v>0</v>
      </c>
      <c r="L32" s="735">
        <f>SUM(L33:L34)</f>
        <v>0</v>
      </c>
      <c r="M32" s="735">
        <f>SUM(M33:M34)</f>
        <v>0</v>
      </c>
      <c r="N32" s="735">
        <f t="shared" si="14"/>
        <v>0</v>
      </c>
      <c r="O32" s="735">
        <f>SUM(O33:O34)</f>
        <v>0</v>
      </c>
      <c r="P32" s="735">
        <f>SUM(P33:P34)</f>
        <v>0</v>
      </c>
      <c r="Q32" s="735">
        <f>SUM(Q33:Q34)</f>
        <v>0</v>
      </c>
      <c r="R32" s="735">
        <f t="shared" si="15"/>
        <v>0</v>
      </c>
      <c r="S32" s="735">
        <f>SUM(S33:S34)</f>
        <v>0</v>
      </c>
      <c r="T32" s="735">
        <f>SUM(T33:T34)</f>
        <v>0</v>
      </c>
      <c r="U32" s="735">
        <f>SUM(U33:U34)</f>
        <v>0</v>
      </c>
      <c r="V32" s="735">
        <f t="shared" si="16"/>
        <v>0</v>
      </c>
    </row>
    <row r="33" spans="1:23" x14ac:dyDescent="0.25">
      <c r="A33" s="711"/>
      <c r="B33" s="736" t="s">
        <v>687</v>
      </c>
      <c r="C33" s="427">
        <f>'2B Önk kiad'!C42</f>
        <v>0</v>
      </c>
      <c r="D33" s="427">
        <f>'2B Önk kiad'!D42</f>
        <v>0</v>
      </c>
      <c r="E33" s="427">
        <f>'2B Önk kiad'!E42</f>
        <v>0</v>
      </c>
      <c r="F33" s="427">
        <f t="shared" si="12"/>
        <v>0</v>
      </c>
      <c r="G33" s="427">
        <f>'2B Önk kiad'!G42</f>
        <v>0</v>
      </c>
      <c r="H33" s="427">
        <f>'2B Önk kiad'!H42</f>
        <v>0</v>
      </c>
      <c r="I33" s="427">
        <f>'2B Önk kiad'!I42</f>
        <v>0</v>
      </c>
      <c r="J33" s="427">
        <f t="shared" si="13"/>
        <v>0</v>
      </c>
      <c r="K33" s="427">
        <f>'2B Önk kiad'!K42</f>
        <v>0</v>
      </c>
      <c r="L33" s="427">
        <f>'2B Önk kiad'!L42</f>
        <v>0</v>
      </c>
      <c r="M33" s="427">
        <f>'2B Önk kiad'!M42</f>
        <v>0</v>
      </c>
      <c r="N33" s="427">
        <f t="shared" si="14"/>
        <v>0</v>
      </c>
      <c r="O33" s="427">
        <f>'2B Önk kiad'!O42</f>
        <v>0</v>
      </c>
      <c r="P33" s="427">
        <f>'2B Önk kiad'!P42</f>
        <v>0</v>
      </c>
      <c r="Q33" s="427">
        <f>'2B Önk kiad'!Q42</f>
        <v>0</v>
      </c>
      <c r="R33" s="427">
        <f t="shared" si="15"/>
        <v>0</v>
      </c>
      <c r="S33" s="427">
        <f>'2B Önk kiad'!S42</f>
        <v>0</v>
      </c>
      <c r="T33" s="427">
        <f>'2B Önk kiad'!T42</f>
        <v>0</v>
      </c>
      <c r="U33" s="427">
        <f>'2B Önk kiad'!U42</f>
        <v>0</v>
      </c>
      <c r="V33" s="427">
        <f t="shared" si="16"/>
        <v>0</v>
      </c>
    </row>
    <row r="34" spans="1:23" ht="30" x14ac:dyDescent="0.25">
      <c r="A34" s="711"/>
      <c r="B34" s="736" t="s">
        <v>688</v>
      </c>
      <c r="C34" s="427">
        <f>'2B Önk kiad'!C43</f>
        <v>0</v>
      </c>
      <c r="D34" s="427">
        <f>'2B Önk kiad'!D43</f>
        <v>0</v>
      </c>
      <c r="E34" s="427">
        <f>'2B Önk kiad'!E43</f>
        <v>0</v>
      </c>
      <c r="F34" s="427">
        <f t="shared" si="12"/>
        <v>0</v>
      </c>
      <c r="G34" s="427">
        <f>'2B Önk kiad'!G43</f>
        <v>0</v>
      </c>
      <c r="H34" s="427">
        <f>'2B Önk kiad'!H43</f>
        <v>0</v>
      </c>
      <c r="I34" s="427">
        <f>'2B Önk kiad'!I43</f>
        <v>0</v>
      </c>
      <c r="J34" s="427">
        <f t="shared" si="13"/>
        <v>0</v>
      </c>
      <c r="K34" s="427">
        <f>'2B Önk kiad'!K43</f>
        <v>0</v>
      </c>
      <c r="L34" s="427">
        <f>'2B Önk kiad'!L43</f>
        <v>0</v>
      </c>
      <c r="M34" s="427">
        <f>'2B Önk kiad'!M43</f>
        <v>0</v>
      </c>
      <c r="N34" s="427">
        <f t="shared" si="14"/>
        <v>0</v>
      </c>
      <c r="O34" s="427">
        <f>'2B Önk kiad'!O43</f>
        <v>0</v>
      </c>
      <c r="P34" s="427">
        <f>'2B Önk kiad'!P43</f>
        <v>0</v>
      </c>
      <c r="Q34" s="427">
        <f>'2B Önk kiad'!Q43</f>
        <v>0</v>
      </c>
      <c r="R34" s="427">
        <f t="shared" si="15"/>
        <v>0</v>
      </c>
      <c r="S34" s="427">
        <f>'2B Önk kiad'!S43</f>
        <v>0</v>
      </c>
      <c r="T34" s="427">
        <f>'2B Önk kiad'!T43</f>
        <v>0</v>
      </c>
      <c r="U34" s="427">
        <f>'2B Önk kiad'!U43</f>
        <v>0</v>
      </c>
      <c r="V34" s="427">
        <f t="shared" si="16"/>
        <v>0</v>
      </c>
    </row>
    <row r="35" spans="1:23" x14ac:dyDescent="0.25">
      <c r="A35" s="737"/>
      <c r="B35" s="738" t="s">
        <v>344</v>
      </c>
      <c r="C35" s="437">
        <f>C24+C25</f>
        <v>5116150641</v>
      </c>
      <c r="D35" s="437">
        <f>D24+D25</f>
        <v>987115265</v>
      </c>
      <c r="E35" s="437">
        <f>E24+E25</f>
        <v>26045000</v>
      </c>
      <c r="F35" s="437">
        <f>SUM(C35:E35)</f>
        <v>6129310906</v>
      </c>
      <c r="G35" s="437">
        <f>G24+G25</f>
        <v>5463549265</v>
      </c>
      <c r="H35" s="437">
        <f>H24+H25</f>
        <v>1250587512</v>
      </c>
      <c r="I35" s="437">
        <f>I24+I25</f>
        <v>212499375</v>
      </c>
      <c r="J35" s="437">
        <f>SUM(G35:I35)</f>
        <v>6926636152</v>
      </c>
      <c r="K35" s="437">
        <f>K24+K25</f>
        <v>5256627357</v>
      </c>
      <c r="L35" s="437">
        <f>L24+L25</f>
        <v>1391994034</v>
      </c>
      <c r="M35" s="437">
        <f>M24+M25</f>
        <v>362559216</v>
      </c>
      <c r="N35" s="437">
        <f>SUM(K35:M35)</f>
        <v>7011180607</v>
      </c>
      <c r="O35" s="437">
        <f>O24+O25</f>
        <v>5541156007</v>
      </c>
      <c r="P35" s="437">
        <f>P24+P25</f>
        <v>1153536953</v>
      </c>
      <c r="Q35" s="437">
        <f>Q24+Q25</f>
        <v>620231331</v>
      </c>
      <c r="R35" s="437">
        <f>SUM(O35:Q35)</f>
        <v>7314924291</v>
      </c>
      <c r="S35" s="437">
        <f>S24+S25</f>
        <v>3885228102</v>
      </c>
      <c r="T35" s="437">
        <f>T24+T25</f>
        <v>656846105</v>
      </c>
      <c r="U35" s="437">
        <f>U24+U25</f>
        <v>579153805</v>
      </c>
      <c r="V35" s="437">
        <f>SUM(S35:U35)</f>
        <v>5121228012</v>
      </c>
      <c r="W35" s="731">
        <f>+R35-N35</f>
        <v>303743684</v>
      </c>
    </row>
    <row r="36" spans="1:23" x14ac:dyDescent="0.25">
      <c r="C36" s="731"/>
      <c r="G36" s="731"/>
      <c r="J36" s="731">
        <f>+J35-F35</f>
        <v>797325246</v>
      </c>
      <c r="K36" s="731"/>
      <c r="N36" s="731">
        <f>+N35-J35</f>
        <v>84544455</v>
      </c>
      <c r="O36" s="731"/>
      <c r="R36" s="731">
        <f>+R35-N35</f>
        <v>303743684</v>
      </c>
      <c r="S36" s="731"/>
      <c r="V36" s="731">
        <f>+V35-R35</f>
        <v>-2193696279</v>
      </c>
    </row>
    <row r="37" spans="1:23" x14ac:dyDescent="0.25">
      <c r="N37" s="448">
        <v>133163455</v>
      </c>
      <c r="R37" s="731"/>
      <c r="V37" s="448">
        <v>133163455</v>
      </c>
    </row>
    <row r="38" spans="1:23" x14ac:dyDescent="0.25">
      <c r="N38" s="731">
        <f>+N36-N37</f>
        <v>-48619000</v>
      </c>
      <c r="R38" s="731">
        <f>+R36-R37</f>
        <v>303743684</v>
      </c>
      <c r="V38" s="731">
        <f>+V36-V37</f>
        <v>-2326859734</v>
      </c>
    </row>
    <row r="50" spans="3:19" x14ac:dyDescent="0.25">
      <c r="C50" s="731"/>
      <c r="G50" s="731"/>
      <c r="K50" s="731"/>
      <c r="O50" s="731"/>
      <c r="S50" s="731"/>
    </row>
    <row r="51" spans="3:19" x14ac:dyDescent="0.25">
      <c r="C51" s="731"/>
      <c r="G51" s="731"/>
      <c r="K51" s="731"/>
      <c r="O51" s="731"/>
      <c r="S51" s="731"/>
    </row>
    <row r="52" spans="3:19" x14ac:dyDescent="0.25">
      <c r="C52" s="731"/>
      <c r="G52" s="731"/>
      <c r="K52" s="731"/>
      <c r="O52" s="731"/>
      <c r="S52" s="731"/>
    </row>
  </sheetData>
  <mergeCells count="7">
    <mergeCell ref="S2:V2"/>
    <mergeCell ref="A2:A3"/>
    <mergeCell ref="C2:F2"/>
    <mergeCell ref="B2:B3"/>
    <mergeCell ref="G2:J2"/>
    <mergeCell ref="K2:N2"/>
    <mergeCell ref="O2:R2"/>
  </mergeCells>
  <printOptions horizontalCentered="1"/>
  <pageMargins left="0.23622047244094491" right="0.15748031496062992" top="1.1811023622047245" bottom="0.74803149606299213" header="0.31496062992125984" footer="0.31496062992125984"/>
  <pageSetup paperSize="9" scale="75" fitToWidth="0" fitToHeight="0" orientation="landscape" r:id="rId1"/>
  <headerFooter>
    <oddHeader>&amp;L1/B.  melléklet a ......./2021. (.................) önkormányzati rendelethez&amp;C&amp;"-,Félkövér"&amp;16
Az Önkormányzat 2020. évi összevont kiadásai jogcímenként és feladatonként</oddHeader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A275"/>
  <sheetViews>
    <sheetView view="pageBreakPreview" zoomScale="95" zoomScaleNormal="100" zoomScaleSheetLayoutView="95" workbookViewId="0">
      <selection activeCell="B1" sqref="B1"/>
    </sheetView>
  </sheetViews>
  <sheetFormatPr defaultRowHeight="15" x14ac:dyDescent="0.25"/>
  <cols>
    <col min="1" max="1" width="5.140625" style="40" customWidth="1"/>
    <col min="2" max="2" width="40.140625" style="41" customWidth="1"/>
    <col min="3" max="3" width="8.85546875" style="694" hidden="1" customWidth="1"/>
    <col min="4" max="4" width="8.7109375" hidden="1" customWidth="1"/>
    <col min="5" max="5" width="8.28515625" hidden="1" customWidth="1"/>
    <col min="6" max="6" width="15.28515625" style="370" hidden="1" customWidth="1"/>
    <col min="7" max="7" width="9.28515625" style="694" hidden="1" customWidth="1"/>
    <col min="8" max="9" width="8.28515625" hidden="1" customWidth="1"/>
    <col min="10" max="10" width="15.28515625" style="370" hidden="1" customWidth="1"/>
    <col min="11" max="11" width="9.28515625" style="694" customWidth="1"/>
    <col min="12" max="13" width="8.28515625" customWidth="1"/>
    <col min="14" max="14" width="15.28515625" style="370" customWidth="1"/>
    <col min="15" max="16" width="18.5703125" hidden="1" customWidth="1"/>
    <col min="17" max="17" width="9.28515625" style="694" customWidth="1"/>
    <col min="18" max="19" width="8.28515625" customWidth="1"/>
    <col min="20" max="20" width="15.28515625" style="370" customWidth="1"/>
    <col min="21" max="21" width="9.28515625" style="694" hidden="1" customWidth="1"/>
    <col min="22" max="23" width="8.28515625" hidden="1" customWidth="1"/>
    <col min="24" max="24" width="15.28515625" style="370" hidden="1" customWidth="1"/>
    <col min="25" max="26" width="11.42578125" bestFit="1" customWidth="1"/>
  </cols>
  <sheetData>
    <row r="1" spans="1:27" x14ac:dyDescent="0.25">
      <c r="F1" s="622"/>
      <c r="J1" s="622"/>
      <c r="N1" s="622"/>
      <c r="T1" s="622" t="s">
        <v>1769</v>
      </c>
    </row>
    <row r="2" spans="1:27" s="30" customFormat="1" ht="63" customHeight="1" x14ac:dyDescent="0.25">
      <c r="A2" s="947" t="s">
        <v>305</v>
      </c>
      <c r="B2" s="949" t="s">
        <v>306</v>
      </c>
      <c r="C2" s="707" t="s">
        <v>1362</v>
      </c>
      <c r="D2" s="347" t="s">
        <v>1363</v>
      </c>
      <c r="E2" s="347" t="s">
        <v>1364</v>
      </c>
      <c r="F2" s="453" t="s">
        <v>345</v>
      </c>
      <c r="G2" s="707" t="s">
        <v>1362</v>
      </c>
      <c r="H2" s="347" t="s">
        <v>1363</v>
      </c>
      <c r="I2" s="347" t="s">
        <v>1364</v>
      </c>
      <c r="J2" s="453" t="s">
        <v>345</v>
      </c>
      <c r="K2" s="707" t="s">
        <v>1362</v>
      </c>
      <c r="L2" s="347" t="s">
        <v>1363</v>
      </c>
      <c r="M2" s="347" t="s">
        <v>1364</v>
      </c>
      <c r="N2" s="453" t="s">
        <v>345</v>
      </c>
      <c r="O2" s="945" t="s">
        <v>1797</v>
      </c>
      <c r="P2" s="945" t="s">
        <v>1796</v>
      </c>
      <c r="Q2" s="707" t="s">
        <v>1362</v>
      </c>
      <c r="R2" s="347" t="s">
        <v>1363</v>
      </c>
      <c r="S2" s="347" t="s">
        <v>1364</v>
      </c>
      <c r="T2" s="453" t="s">
        <v>345</v>
      </c>
      <c r="U2" s="707" t="s">
        <v>1362</v>
      </c>
      <c r="V2" s="347" t="s">
        <v>1363</v>
      </c>
      <c r="W2" s="347" t="s">
        <v>1364</v>
      </c>
      <c r="X2" s="453" t="s">
        <v>345</v>
      </c>
    </row>
    <row r="3" spans="1:27" s="30" customFormat="1" ht="50.25" customHeight="1" x14ac:dyDescent="0.25">
      <c r="A3" s="948"/>
      <c r="B3" s="950"/>
      <c r="C3" s="939" t="s">
        <v>1654</v>
      </c>
      <c r="D3" s="936"/>
      <c r="E3" s="936"/>
      <c r="F3" s="940"/>
      <c r="G3" s="939" t="s">
        <v>1760</v>
      </c>
      <c r="H3" s="936"/>
      <c r="I3" s="936"/>
      <c r="J3" s="940"/>
      <c r="K3" s="939" t="s">
        <v>1795</v>
      </c>
      <c r="L3" s="936"/>
      <c r="M3" s="936"/>
      <c r="N3" s="940"/>
      <c r="O3" s="946"/>
      <c r="P3" s="946"/>
      <c r="Q3" s="939" t="s">
        <v>1803</v>
      </c>
      <c r="R3" s="936"/>
      <c r="S3" s="936"/>
      <c r="T3" s="940"/>
      <c r="U3" s="935" t="s">
        <v>1808</v>
      </c>
      <c r="V3" s="936"/>
      <c r="W3" s="936"/>
      <c r="X3" s="937"/>
    </row>
    <row r="4" spans="1:27" s="30" customFormat="1" x14ac:dyDescent="0.25">
      <c r="A4" s="290"/>
      <c r="B4" s="291" t="s">
        <v>1031</v>
      </c>
      <c r="C4" s="697">
        <f>C5+C42+C89+C92</f>
        <v>329.25</v>
      </c>
      <c r="D4" s="363"/>
      <c r="E4" s="363"/>
      <c r="F4" s="350">
        <f>F5+F42+F89+F92</f>
        <v>6129310906</v>
      </c>
      <c r="G4" s="697">
        <f>G5+G42+G89+G92</f>
        <v>329.25</v>
      </c>
      <c r="H4" s="363"/>
      <c r="I4" s="363"/>
      <c r="J4" s="350">
        <f>J5+J42+J89+J92</f>
        <v>6877704152</v>
      </c>
      <c r="K4" s="697">
        <f>K5+K42+K89+K92</f>
        <v>327.5</v>
      </c>
      <c r="L4" s="363"/>
      <c r="M4" s="363"/>
      <c r="N4" s="350">
        <f>N5+N42+N89+N92</f>
        <v>7011180607</v>
      </c>
      <c r="O4" s="350">
        <f>O5+O42+O89+O92</f>
        <v>329.25</v>
      </c>
      <c r="P4" s="350">
        <f>P5+P42+P89+P92</f>
        <v>0</v>
      </c>
      <c r="Q4" s="697">
        <f>Q5+Q42+Q89+Q92</f>
        <v>255.5</v>
      </c>
      <c r="R4" s="363"/>
      <c r="S4" s="363"/>
      <c r="T4" s="350">
        <f>T5+T42+T89+T92</f>
        <v>7314924291</v>
      </c>
      <c r="U4" s="697">
        <f>U5+U42+U89+U92</f>
        <v>255.5</v>
      </c>
      <c r="V4" s="363"/>
      <c r="W4" s="363"/>
      <c r="X4" s="350">
        <f>X5+X42+X89+X92</f>
        <v>5121228012</v>
      </c>
      <c r="Z4" s="899"/>
      <c r="AA4" s="899"/>
    </row>
    <row r="5" spans="1:27" x14ac:dyDescent="0.25">
      <c r="A5" s="293" t="s">
        <v>309</v>
      </c>
      <c r="B5" s="294" t="s">
        <v>348</v>
      </c>
      <c r="C5" s="757">
        <f>SUM(C6:C40)</f>
        <v>323.75</v>
      </c>
      <c r="D5" s="331"/>
      <c r="E5" s="331"/>
      <c r="F5" s="739">
        <f>SUM(F6:F40)</f>
        <v>4935505641</v>
      </c>
      <c r="G5" s="757">
        <f>SUM(G6:G40)</f>
        <v>323.75</v>
      </c>
      <c r="H5" s="331"/>
      <c r="I5" s="331"/>
      <c r="J5" s="739">
        <f>SUM(J6:J40)</f>
        <v>5233972265</v>
      </c>
      <c r="K5" s="757">
        <f>SUM(K6:K40)</f>
        <v>322</v>
      </c>
      <c r="L5" s="331"/>
      <c r="M5" s="331"/>
      <c r="N5" s="739">
        <f>SUM(N6:N40)</f>
        <v>5179094943</v>
      </c>
      <c r="O5" s="739">
        <f>SUM(O6:O40)</f>
        <v>323.25</v>
      </c>
      <c r="P5" s="739">
        <f>SUM(P6:P40)</f>
        <v>0</v>
      </c>
      <c r="Q5" s="757">
        <f>SUM(Q6:Q40)</f>
        <v>250</v>
      </c>
      <c r="R5" s="331"/>
      <c r="S5" s="331"/>
      <c r="T5" s="739">
        <f>SUM(T6:T41)</f>
        <v>5280677191</v>
      </c>
      <c r="U5" s="757">
        <f>SUM(U6:U40)</f>
        <v>250</v>
      </c>
      <c r="V5" s="331"/>
      <c r="W5" s="331"/>
      <c r="X5" s="739">
        <f>SUM(X6:X41)</f>
        <v>3704582946</v>
      </c>
      <c r="Z5" s="39"/>
    </row>
    <row r="6" spans="1:27" x14ac:dyDescent="0.25">
      <c r="A6" s="378" t="s">
        <v>1032</v>
      </c>
      <c r="B6" s="299" t="s">
        <v>693</v>
      </c>
      <c r="C6" s="709"/>
      <c r="D6" s="332"/>
      <c r="E6" s="332"/>
      <c r="F6" s="379">
        <f>'2C Önk bev kiad fel'!E7</f>
        <v>20230000</v>
      </c>
      <c r="G6" s="709"/>
      <c r="H6" s="332"/>
      <c r="I6" s="332"/>
      <c r="J6" s="512">
        <f>'2C Önk bev kiad fel'!I7</f>
        <v>23463000</v>
      </c>
      <c r="K6" s="709"/>
      <c r="L6" s="332"/>
      <c r="M6" s="332"/>
      <c r="N6" s="512">
        <f>'2C Önk bev kiad fel'!L7</f>
        <v>23463000</v>
      </c>
      <c r="O6" s="512">
        <f>'2C Önk bev kiad fel'!M7</f>
        <v>0</v>
      </c>
      <c r="P6" s="512">
        <f>'2C Önk bev kiad fel'!N7</f>
        <v>0</v>
      </c>
      <c r="Q6" s="709"/>
      <c r="R6" s="332"/>
      <c r="S6" s="332"/>
      <c r="T6" s="512">
        <f>'2C Önk bev kiad fel'!O7</f>
        <v>23463000</v>
      </c>
      <c r="U6" s="709"/>
      <c r="V6" s="332"/>
      <c r="W6" s="332"/>
      <c r="X6" s="512">
        <f>'2C Önk bev kiad fel'!R7</f>
        <v>2797830</v>
      </c>
      <c r="Z6" s="39"/>
    </row>
    <row r="7" spans="1:27" x14ac:dyDescent="0.25">
      <c r="A7" s="378" t="s">
        <v>1033</v>
      </c>
      <c r="B7" s="299" t="s">
        <v>694</v>
      </c>
      <c r="C7" s="709"/>
      <c r="D7" s="332"/>
      <c r="E7" s="332"/>
      <c r="F7" s="379">
        <f>'2C Önk bev kiad fel'!E13</f>
        <v>6175000</v>
      </c>
      <c r="G7" s="709"/>
      <c r="H7" s="332"/>
      <c r="I7" s="332"/>
      <c r="J7" s="512">
        <f>'2C Önk bev kiad fel'!I13</f>
        <v>6831717</v>
      </c>
      <c r="K7" s="709"/>
      <c r="L7" s="332"/>
      <c r="M7" s="332"/>
      <c r="N7" s="512">
        <f>'2C Önk bev kiad fel'!L13</f>
        <v>6831717</v>
      </c>
      <c r="O7" s="512">
        <f>'2C Önk bev kiad fel'!M13</f>
        <v>0</v>
      </c>
      <c r="P7" s="512">
        <f>'2C Önk bev kiad fel'!N13</f>
        <v>0</v>
      </c>
      <c r="Q7" s="709"/>
      <c r="R7" s="332"/>
      <c r="S7" s="332"/>
      <c r="T7" s="512">
        <f>'2C Önk bev kiad fel'!O13</f>
        <v>9181714</v>
      </c>
      <c r="U7" s="709"/>
      <c r="V7" s="332"/>
      <c r="W7" s="332"/>
      <c r="X7" s="512">
        <f>'2C Önk bev kiad fel'!R13</f>
        <v>2229215</v>
      </c>
    </row>
    <row r="8" spans="1:27" x14ac:dyDescent="0.25">
      <c r="A8" s="378" t="s">
        <v>1034</v>
      </c>
      <c r="B8" s="299" t="s">
        <v>695</v>
      </c>
      <c r="C8" s="755"/>
      <c r="D8" s="332"/>
      <c r="E8" s="332"/>
      <c r="F8" s="379">
        <f>'2C Önk bev kiad fel'!E16</f>
        <v>31417000</v>
      </c>
      <c r="G8" s="755"/>
      <c r="H8" s="332"/>
      <c r="I8" s="332"/>
      <c r="J8" s="512">
        <f>'2C Önk bev kiad fel'!I16</f>
        <v>32760248</v>
      </c>
      <c r="K8" s="755"/>
      <c r="L8" s="332"/>
      <c r="M8" s="332"/>
      <c r="N8" s="512">
        <f>'2C Önk bev kiad fel'!L16</f>
        <v>33631748</v>
      </c>
      <c r="O8" s="512">
        <f>'2C Önk bev kiad fel'!M16</f>
        <v>0</v>
      </c>
      <c r="P8" s="512">
        <f>'2C Önk bev kiad fel'!N16</f>
        <v>0</v>
      </c>
      <c r="Q8" s="755"/>
      <c r="R8" s="332"/>
      <c r="S8" s="332"/>
      <c r="T8" s="512">
        <f>'2C Önk bev kiad fel'!O16</f>
        <v>34175308</v>
      </c>
      <c r="U8" s="755"/>
      <c r="V8" s="332"/>
      <c r="W8" s="332"/>
      <c r="X8" s="512">
        <f>'2C Önk bev kiad fel'!R16</f>
        <v>32987779</v>
      </c>
    </row>
    <row r="9" spans="1:27" x14ac:dyDescent="0.25">
      <c r="A9" s="378" t="s">
        <v>1035</v>
      </c>
      <c r="B9" s="299" t="s">
        <v>655</v>
      </c>
      <c r="C9" s="755">
        <v>7</v>
      </c>
      <c r="D9" s="332"/>
      <c r="E9" s="332"/>
      <c r="F9" s="379">
        <f>'2C Önk bev kiad fel'!E21</f>
        <v>57394100</v>
      </c>
      <c r="G9" s="755">
        <v>7</v>
      </c>
      <c r="H9" s="332"/>
      <c r="I9" s="332"/>
      <c r="J9" s="512">
        <f>'2C Önk bev kiad fel'!I21</f>
        <v>57394100</v>
      </c>
      <c r="K9" s="755">
        <v>7</v>
      </c>
      <c r="L9" s="332"/>
      <c r="M9" s="332"/>
      <c r="N9" s="512">
        <f>'2C Önk bev kiad fel'!L21</f>
        <v>57394100</v>
      </c>
      <c r="O9" s="512">
        <f>'2C Önk bev kiad fel'!M21</f>
        <v>7</v>
      </c>
      <c r="P9" s="512">
        <f>'2C Önk bev kiad fel'!N21</f>
        <v>0</v>
      </c>
      <c r="Q9" s="755">
        <v>7</v>
      </c>
      <c r="R9" s="332"/>
      <c r="S9" s="332"/>
      <c r="T9" s="512">
        <f>'2C Önk bev kiad fel'!O21</f>
        <v>64219874</v>
      </c>
      <c r="U9" s="755">
        <v>7</v>
      </c>
      <c r="V9" s="332"/>
      <c r="W9" s="332"/>
      <c r="X9" s="512">
        <f>'2C Önk bev kiad fel'!R21</f>
        <v>63257253</v>
      </c>
    </row>
    <row r="10" spans="1:27" x14ac:dyDescent="0.25">
      <c r="A10" s="378" t="s">
        <v>1036</v>
      </c>
      <c r="B10" s="299" t="s">
        <v>1263</v>
      </c>
      <c r="C10" s="755"/>
      <c r="D10" s="332"/>
      <c r="E10" s="332"/>
      <c r="F10" s="379">
        <f>'2C Önk bev kiad fel'!E26</f>
        <v>1000000</v>
      </c>
      <c r="G10" s="755"/>
      <c r="H10" s="332"/>
      <c r="I10" s="332"/>
      <c r="J10" s="512">
        <f>'2C Önk bev kiad fel'!I26</f>
        <v>1000000</v>
      </c>
      <c r="K10" s="755"/>
      <c r="L10" s="332"/>
      <c r="M10" s="332"/>
      <c r="N10" s="512">
        <f>'2C Önk bev kiad fel'!L26</f>
        <v>1000000</v>
      </c>
      <c r="O10" s="512">
        <f>'2C Önk bev kiad fel'!M26</f>
        <v>0</v>
      </c>
      <c r="P10" s="512">
        <f>'2C Önk bev kiad fel'!N26</f>
        <v>0</v>
      </c>
      <c r="Q10" s="755"/>
      <c r="R10" s="332"/>
      <c r="S10" s="332"/>
      <c r="T10" s="512">
        <f>'2C Önk bev kiad fel'!O26</f>
        <v>1000000</v>
      </c>
      <c r="U10" s="755"/>
      <c r="V10" s="332"/>
      <c r="W10" s="332"/>
      <c r="X10" s="512">
        <f>'2C Önk bev kiad fel'!R26</f>
        <v>0</v>
      </c>
    </row>
    <row r="11" spans="1:27" x14ac:dyDescent="0.25">
      <c r="A11" s="378" t="s">
        <v>1037</v>
      </c>
      <c r="B11" s="299" t="s">
        <v>1609</v>
      </c>
      <c r="C11" s="755"/>
      <c r="D11" s="332"/>
      <c r="E11" s="332"/>
      <c r="F11" s="379">
        <f>'2C Önk bev kiad fel'!E28</f>
        <v>500000</v>
      </c>
      <c r="G11" s="755"/>
      <c r="H11" s="332"/>
      <c r="I11" s="332"/>
      <c r="J11" s="512">
        <f>'2C Önk bev kiad fel'!I28</f>
        <v>500000</v>
      </c>
      <c r="K11" s="755"/>
      <c r="L11" s="332"/>
      <c r="M11" s="332"/>
      <c r="N11" s="512">
        <f>'2C Önk bev kiad fel'!L28</f>
        <v>500000</v>
      </c>
      <c r="O11" s="512">
        <f>'2C Önk bev kiad fel'!M28</f>
        <v>0</v>
      </c>
      <c r="P11" s="512">
        <f>'2C Önk bev kiad fel'!N28</f>
        <v>0</v>
      </c>
      <c r="Q11" s="755"/>
      <c r="R11" s="332"/>
      <c r="S11" s="332"/>
      <c r="T11" s="512">
        <f>'2C Önk bev kiad fel'!O28</f>
        <v>500000</v>
      </c>
      <c r="U11" s="755"/>
      <c r="V11" s="332"/>
      <c r="W11" s="332"/>
      <c r="X11" s="512">
        <f>'2C Önk bev kiad fel'!R28</f>
        <v>0</v>
      </c>
    </row>
    <row r="12" spans="1:27" x14ac:dyDescent="0.25">
      <c r="A12" s="378" t="s">
        <v>1038</v>
      </c>
      <c r="B12" s="299" t="s">
        <v>696</v>
      </c>
      <c r="C12" s="755"/>
      <c r="D12" s="332"/>
      <c r="E12" s="332"/>
      <c r="F12" s="379">
        <f>+'3B PH fel'!F12</f>
        <v>0</v>
      </c>
      <c r="G12" s="755"/>
      <c r="H12" s="332"/>
      <c r="I12" s="332"/>
      <c r="J12" s="512">
        <f>+'3B PH fel'!J12</f>
        <v>0</v>
      </c>
      <c r="K12" s="755"/>
      <c r="L12" s="332"/>
      <c r="M12" s="332"/>
      <c r="N12" s="512">
        <f>+'3B PH fel'!N12</f>
        <v>0</v>
      </c>
      <c r="O12" s="512">
        <f>+'3B PH fel'!O12</f>
        <v>0</v>
      </c>
      <c r="P12" s="512">
        <f>+'3B PH fel'!P12</f>
        <v>0</v>
      </c>
      <c r="Q12" s="755"/>
      <c r="R12" s="332"/>
      <c r="S12" s="332"/>
      <c r="T12" s="512">
        <f>+'3B PH fel'!R12</f>
        <v>0</v>
      </c>
      <c r="U12" s="755"/>
      <c r="V12" s="332"/>
      <c r="W12" s="332"/>
      <c r="X12" s="512">
        <f>+'3B PH fel'!V12</f>
        <v>0</v>
      </c>
    </row>
    <row r="13" spans="1:27" x14ac:dyDescent="0.25">
      <c r="A13" s="378" t="s">
        <v>1039</v>
      </c>
      <c r="B13" s="299" t="s">
        <v>697</v>
      </c>
      <c r="C13" s="755"/>
      <c r="D13" s="332"/>
      <c r="E13" s="332"/>
      <c r="F13" s="379">
        <f>'2C Önk bev kiad fel'!E30+'5 GSZNR fel'!E183</f>
        <v>15483000</v>
      </c>
      <c r="G13" s="755"/>
      <c r="H13" s="332"/>
      <c r="I13" s="332"/>
      <c r="J13" s="512">
        <f>'2C Önk bev kiad fel'!I30+'5 GSZNR fel'!H183</f>
        <v>18095590</v>
      </c>
      <c r="K13" s="755"/>
      <c r="L13" s="332"/>
      <c r="M13" s="332"/>
      <c r="N13" s="512">
        <f>'2C Önk bev kiad fel'!L30+'5 GSZNR fel'!K183</f>
        <v>18095590</v>
      </c>
      <c r="O13" s="512">
        <f>'2C Önk bev kiad fel'!M30+'5 GSZNR fel'!L183</f>
        <v>0</v>
      </c>
      <c r="P13" s="512">
        <f>'2C Önk bev kiad fel'!N30+'5 GSZNR fel'!M183</f>
        <v>0</v>
      </c>
      <c r="Q13" s="755"/>
      <c r="R13" s="332"/>
      <c r="S13" s="332"/>
      <c r="T13" s="512">
        <f>'2C Önk bev kiad fel'!O30+'5 GSZNR fel'!N183</f>
        <v>14339734</v>
      </c>
      <c r="U13" s="755"/>
      <c r="V13" s="332"/>
      <c r="W13" s="332"/>
      <c r="X13" s="512">
        <f>'2C Önk bev kiad fel'!R30+'5 GSZNR fel'!Q183</f>
        <v>12799647</v>
      </c>
      <c r="Y13" s="39"/>
    </row>
    <row r="14" spans="1:27" x14ac:dyDescent="0.25">
      <c r="A14" s="378" t="s">
        <v>1040</v>
      </c>
      <c r="B14" s="328" t="s">
        <v>698</v>
      </c>
      <c r="C14" s="755"/>
      <c r="D14" s="332"/>
      <c r="E14" s="332"/>
      <c r="F14" s="379">
        <f>'2C Önk bev kiad fel'!E34</f>
        <v>9040000</v>
      </c>
      <c r="G14" s="755"/>
      <c r="H14" s="332"/>
      <c r="I14" s="332"/>
      <c r="J14" s="512">
        <f>'2C Önk bev kiad fel'!I34</f>
        <v>9040000</v>
      </c>
      <c r="K14" s="755"/>
      <c r="L14" s="332"/>
      <c r="M14" s="332"/>
      <c r="N14" s="512">
        <f>'2C Önk bev kiad fel'!L34</f>
        <v>9040000</v>
      </c>
      <c r="O14" s="512">
        <f>'2C Önk bev kiad fel'!M34</f>
        <v>0</v>
      </c>
      <c r="P14" s="512">
        <f>'2C Önk bev kiad fel'!N34</f>
        <v>0</v>
      </c>
      <c r="Q14" s="755"/>
      <c r="R14" s="332"/>
      <c r="S14" s="332"/>
      <c r="T14" s="512">
        <f>'2C Önk bev kiad fel'!O34</f>
        <v>9040000</v>
      </c>
      <c r="U14" s="755"/>
      <c r="V14" s="332"/>
      <c r="W14" s="332"/>
      <c r="X14" s="512">
        <f>'2C Önk bev kiad fel'!R34</f>
        <v>2540000</v>
      </c>
    </row>
    <row r="15" spans="1:27" x14ac:dyDescent="0.25">
      <c r="A15" s="378" t="s">
        <v>1041</v>
      </c>
      <c r="B15" s="299" t="s">
        <v>699</v>
      </c>
      <c r="C15" s="755"/>
      <c r="D15" s="332"/>
      <c r="E15" s="332"/>
      <c r="F15" s="379">
        <f>'2C Önk bev kiad fel'!E37</f>
        <v>9000500</v>
      </c>
      <c r="G15" s="755"/>
      <c r="H15" s="332"/>
      <c r="I15" s="332"/>
      <c r="J15" s="512">
        <f>'2C Önk bev kiad fel'!I37</f>
        <v>13001255</v>
      </c>
      <c r="K15" s="755"/>
      <c r="L15" s="332"/>
      <c r="M15" s="332"/>
      <c r="N15" s="512">
        <f>'2C Önk bev kiad fel'!L37</f>
        <v>13001255</v>
      </c>
      <c r="O15" s="512">
        <f>'2C Önk bev kiad fel'!M37</f>
        <v>0</v>
      </c>
      <c r="P15" s="512">
        <f>'2C Önk bev kiad fel'!N37</f>
        <v>0</v>
      </c>
      <c r="Q15" s="755"/>
      <c r="R15" s="332"/>
      <c r="S15" s="332"/>
      <c r="T15" s="512">
        <f>'2C Önk bev kiad fel'!O37</f>
        <v>13001255</v>
      </c>
      <c r="U15" s="755"/>
      <c r="V15" s="332"/>
      <c r="W15" s="332"/>
      <c r="X15" s="512">
        <f>'2C Önk bev kiad fel'!R37</f>
        <v>4000755</v>
      </c>
      <c r="Y15" s="39"/>
    </row>
    <row r="16" spans="1:27" x14ac:dyDescent="0.25">
      <c r="A16" s="378" t="s">
        <v>1042</v>
      </c>
      <c r="B16" s="299" t="s">
        <v>700</v>
      </c>
      <c r="C16" s="755">
        <v>24</v>
      </c>
      <c r="D16" s="332"/>
      <c r="E16" s="332"/>
      <c r="F16" s="379">
        <f>'2C Önk bev kiad fel'!$E$43+'5 GSZNR fel'!$E$187+'5 GSZNR fel'!$E$194</f>
        <v>1084318156</v>
      </c>
      <c r="G16" s="755">
        <v>24</v>
      </c>
      <c r="H16" s="332"/>
      <c r="I16" s="332"/>
      <c r="J16" s="512">
        <f>'2C Önk bev kiad fel'!I43+'5 GSZNR fel'!H187+'5 GSZNR fel'!H194</f>
        <v>1119550580</v>
      </c>
      <c r="K16" s="755">
        <v>24</v>
      </c>
      <c r="L16" s="332"/>
      <c r="M16" s="332"/>
      <c r="N16" s="512">
        <f>'2C Önk bev kiad fel'!L43+'5 GSZNR fel'!K187+'5 GSZNR fel'!K194</f>
        <v>1127879349</v>
      </c>
      <c r="O16" s="512">
        <f>'2C Önk bev kiad fel'!M43+'5 GSZNR fel'!L187+'5 GSZNR fel'!L194</f>
        <v>24</v>
      </c>
      <c r="P16" s="512">
        <f>'2C Önk bev kiad fel'!N43+'5 GSZNR fel'!M187+'5 GSZNR fel'!M194</f>
        <v>0</v>
      </c>
      <c r="Q16" s="755">
        <v>24</v>
      </c>
      <c r="R16" s="332"/>
      <c r="S16" s="332"/>
      <c r="T16" s="512">
        <f>'2C Önk bev kiad fel'!O43+'5 GSZNR fel'!N187+'5 GSZNR fel'!N194</f>
        <v>1048341500</v>
      </c>
      <c r="U16" s="755">
        <v>24</v>
      </c>
      <c r="V16" s="332"/>
      <c r="W16" s="332"/>
      <c r="X16" s="512">
        <f>'2C Önk bev kiad fel'!R43+'5 GSZNR fel'!Q187+'5 GSZNR fel'!Q194</f>
        <v>797184319</v>
      </c>
      <c r="Y16" s="39"/>
    </row>
    <row r="17" spans="1:25" x14ac:dyDescent="0.25">
      <c r="A17" s="378" t="s">
        <v>1043</v>
      </c>
      <c r="B17" s="299" t="s">
        <v>1485</v>
      </c>
      <c r="C17" s="755"/>
      <c r="D17" s="332"/>
      <c r="E17" s="332"/>
      <c r="F17" s="379">
        <f>+'2C Önk bev kiad fel'!E53</f>
        <v>889706190</v>
      </c>
      <c r="G17" s="755"/>
      <c r="H17" s="332"/>
      <c r="I17" s="332"/>
      <c r="J17" s="512">
        <f>+'2C Önk bev kiad fel'!I53</f>
        <v>979310703</v>
      </c>
      <c r="K17" s="755"/>
      <c r="L17" s="332"/>
      <c r="M17" s="332"/>
      <c r="N17" s="512">
        <f>+'2C Önk bev kiad fel'!L53</f>
        <v>992350703</v>
      </c>
      <c r="O17" s="512">
        <f>+'2C Önk bev kiad fel'!M53</f>
        <v>0</v>
      </c>
      <c r="P17" s="512">
        <f>+'2C Önk bev kiad fel'!N53</f>
        <v>0</v>
      </c>
      <c r="Q17" s="755"/>
      <c r="R17" s="332"/>
      <c r="S17" s="332"/>
      <c r="T17" s="512">
        <f>+'2C Önk bev kiad fel'!O53</f>
        <v>1180159584</v>
      </c>
      <c r="U17" s="755"/>
      <c r="V17" s="332"/>
      <c r="W17" s="332"/>
      <c r="X17" s="512">
        <f>+'2C Önk bev kiad fel'!R53</f>
        <v>247736510</v>
      </c>
    </row>
    <row r="18" spans="1:25" x14ac:dyDescent="0.25">
      <c r="A18" s="378" t="s">
        <v>1044</v>
      </c>
      <c r="B18" s="299" t="s">
        <v>602</v>
      </c>
      <c r="C18" s="755"/>
      <c r="D18" s="332"/>
      <c r="E18" s="332"/>
      <c r="F18" s="379">
        <f>'2C Önk bev kiad fel'!E59+'5 GSZNR fel'!E72</f>
        <v>2686000</v>
      </c>
      <c r="G18" s="755"/>
      <c r="H18" s="332"/>
      <c r="I18" s="332"/>
      <c r="J18" s="512">
        <f>'2C Önk bev kiad fel'!I59+'5 GSZNR fel'!H72</f>
        <v>2686000</v>
      </c>
      <c r="K18" s="755"/>
      <c r="L18" s="332"/>
      <c r="M18" s="332"/>
      <c r="N18" s="512">
        <f>'2C Önk bev kiad fel'!L59+'5 GSZNR fel'!K72</f>
        <v>2686000</v>
      </c>
      <c r="O18" s="512">
        <f>'2C Önk bev kiad fel'!M59+'5 GSZNR fel'!L72</f>
        <v>0</v>
      </c>
      <c r="P18" s="512">
        <f>'2C Önk bev kiad fel'!N59+'5 GSZNR fel'!M72</f>
        <v>0</v>
      </c>
      <c r="Q18" s="755"/>
      <c r="R18" s="332"/>
      <c r="S18" s="332"/>
      <c r="T18" s="512">
        <f>'2C Önk bev kiad fel'!O59+'5 GSZNR fel'!N72</f>
        <v>2686000</v>
      </c>
      <c r="U18" s="755"/>
      <c r="V18" s="332"/>
      <c r="W18" s="332"/>
      <c r="X18" s="512">
        <f>'2C Önk bev kiad fel'!R59+'5 GSZNR fel'!Q72</f>
        <v>0</v>
      </c>
    </row>
    <row r="19" spans="1:25" s="46" customFormat="1" x14ac:dyDescent="0.25">
      <c r="A19" s="378" t="s">
        <v>1046</v>
      </c>
      <c r="B19" s="299" t="s">
        <v>612</v>
      </c>
      <c r="C19" s="755"/>
      <c r="D19" s="332"/>
      <c r="E19" s="332"/>
      <c r="F19" s="379">
        <f>'2C Önk bev kiad fel'!E63</f>
        <v>18000000</v>
      </c>
      <c r="G19" s="755"/>
      <c r="H19" s="332"/>
      <c r="I19" s="332"/>
      <c r="J19" s="512">
        <f>'2C Önk bev kiad fel'!I63</f>
        <v>48233000</v>
      </c>
      <c r="K19" s="755"/>
      <c r="L19" s="332"/>
      <c r="M19" s="332"/>
      <c r="N19" s="512">
        <f>'2C Önk bev kiad fel'!L63</f>
        <v>48233000</v>
      </c>
      <c r="O19" s="512">
        <f>'2C Önk bev kiad fel'!M63</f>
        <v>0</v>
      </c>
      <c r="P19" s="512">
        <f>'2C Önk bev kiad fel'!N63</f>
        <v>0</v>
      </c>
      <c r="Q19" s="755"/>
      <c r="R19" s="332"/>
      <c r="S19" s="332"/>
      <c r="T19" s="512">
        <f>'2C Önk bev kiad fel'!O63</f>
        <v>47966860</v>
      </c>
      <c r="U19" s="755"/>
      <c r="V19" s="332"/>
      <c r="W19" s="332"/>
      <c r="X19" s="512">
        <f>'2C Önk bev kiad fel'!R63</f>
        <v>34415446</v>
      </c>
    </row>
    <row r="20" spans="1:25" s="46" customFormat="1" x14ac:dyDescent="0.25">
      <c r="A20" s="378" t="s">
        <v>1047</v>
      </c>
      <c r="B20" s="299" t="s">
        <v>1045</v>
      </c>
      <c r="C20" s="755">
        <f>'3B PH fel'!C6</f>
        <v>79</v>
      </c>
      <c r="D20" s="332"/>
      <c r="E20" s="332">
        <v>7</v>
      </c>
      <c r="F20" s="379">
        <f>'3B PH fel'!F6</f>
        <v>787907000</v>
      </c>
      <c r="G20" s="755">
        <f>'3B PH fel'!G6</f>
        <v>79</v>
      </c>
      <c r="H20" s="332"/>
      <c r="I20" s="332">
        <v>7</v>
      </c>
      <c r="J20" s="512">
        <f>'3B PH fel'!J6</f>
        <v>856011827</v>
      </c>
      <c r="K20" s="755">
        <f>'3B PH fel'!K6</f>
        <v>79</v>
      </c>
      <c r="L20" s="332"/>
      <c r="M20" s="332">
        <v>7</v>
      </c>
      <c r="N20" s="512">
        <f>'3B PH fel'!N6</f>
        <v>856011827</v>
      </c>
      <c r="O20" s="512">
        <f>'3B PH fel'!O6</f>
        <v>79</v>
      </c>
      <c r="P20" s="512">
        <f>'3B PH fel'!P6</f>
        <v>0</v>
      </c>
      <c r="Q20" s="755">
        <f>'3B PH fel'!Q6</f>
        <v>7</v>
      </c>
      <c r="R20" s="332"/>
      <c r="S20" s="332">
        <v>7</v>
      </c>
      <c r="T20" s="512">
        <f>'3B PH fel'!R6</f>
        <v>845964598</v>
      </c>
      <c r="U20" s="755">
        <f>'3B PH fel'!U6</f>
        <v>7</v>
      </c>
      <c r="V20" s="332"/>
      <c r="W20" s="332">
        <v>7</v>
      </c>
      <c r="X20" s="512">
        <f>'3B PH fel'!V6</f>
        <v>690950879</v>
      </c>
    </row>
    <row r="21" spans="1:25" s="46" customFormat="1" x14ac:dyDescent="0.25">
      <c r="A21" s="378" t="s">
        <v>1048</v>
      </c>
      <c r="B21" s="299" t="s">
        <v>608</v>
      </c>
      <c r="C21" s="755"/>
      <c r="D21" s="332">
        <v>0</v>
      </c>
      <c r="E21" s="332"/>
      <c r="F21" s="379">
        <f>'2C Önk bev kiad fel'!E67</f>
        <v>0</v>
      </c>
      <c r="G21" s="755"/>
      <c r="H21" s="332">
        <v>0</v>
      </c>
      <c r="I21" s="332"/>
      <c r="J21" s="512">
        <f>'2C Önk bev kiad fel'!I67</f>
        <v>0</v>
      </c>
      <c r="K21" s="755"/>
      <c r="L21" s="332">
        <v>0</v>
      </c>
      <c r="M21" s="332"/>
      <c r="N21" s="512">
        <f>'2C Önk bev kiad fel'!L67</f>
        <v>0</v>
      </c>
      <c r="O21" s="512">
        <f>'2C Önk bev kiad fel'!M67</f>
        <v>0</v>
      </c>
      <c r="P21" s="512">
        <f>'2C Önk bev kiad fel'!N67</f>
        <v>0</v>
      </c>
      <c r="Q21" s="755"/>
      <c r="R21" s="332">
        <v>0</v>
      </c>
      <c r="S21" s="332"/>
      <c r="T21" s="512">
        <f>'2C Önk bev kiad fel'!O67</f>
        <v>0</v>
      </c>
      <c r="U21" s="755"/>
      <c r="V21" s="332">
        <v>0</v>
      </c>
      <c r="W21" s="332"/>
      <c r="X21" s="512">
        <f>'2C Önk bev kiad fel'!R67</f>
        <v>0</v>
      </c>
    </row>
    <row r="22" spans="1:25" s="46" customFormat="1" x14ac:dyDescent="0.25">
      <c r="A22" s="378" t="s">
        <v>1049</v>
      </c>
      <c r="B22" s="299" t="s">
        <v>552</v>
      </c>
      <c r="C22" s="755">
        <v>5</v>
      </c>
      <c r="D22" s="332"/>
      <c r="E22" s="332"/>
      <c r="F22" s="379">
        <f>+'5 GSZNR fel'!$E$152</f>
        <v>90511500</v>
      </c>
      <c r="G22" s="755">
        <v>5</v>
      </c>
      <c r="H22" s="332"/>
      <c r="I22" s="332"/>
      <c r="J22" s="512">
        <f>+'5 GSZNR fel'!H152</f>
        <v>90511500</v>
      </c>
      <c r="K22" s="755">
        <v>5</v>
      </c>
      <c r="L22" s="332"/>
      <c r="M22" s="332"/>
      <c r="N22" s="512">
        <f>+'5 GSZNR fel'!K152</f>
        <v>90511500</v>
      </c>
      <c r="O22" s="512">
        <f>+'5 GSZNR fel'!L152</f>
        <v>5</v>
      </c>
      <c r="P22" s="512">
        <f>+'5 GSZNR fel'!M152</f>
        <v>0</v>
      </c>
      <c r="Q22" s="755">
        <v>5</v>
      </c>
      <c r="R22" s="332"/>
      <c r="S22" s="332"/>
      <c r="T22" s="512">
        <f>+'5 GSZNR fel'!N152</f>
        <v>94477711</v>
      </c>
      <c r="U22" s="755">
        <v>5</v>
      </c>
      <c r="V22" s="332"/>
      <c r="W22" s="332"/>
      <c r="X22" s="512">
        <f>+'5 GSZNR fel'!Q152</f>
        <v>93648608</v>
      </c>
      <c r="Y22" s="900"/>
    </row>
    <row r="23" spans="1:25" s="46" customFormat="1" x14ac:dyDescent="0.25">
      <c r="A23" s="378" t="s">
        <v>1050</v>
      </c>
      <c r="B23" s="299" t="s">
        <v>553</v>
      </c>
      <c r="C23" s="755">
        <v>21</v>
      </c>
      <c r="D23" s="332"/>
      <c r="E23" s="332"/>
      <c r="F23" s="379">
        <f>+'5 GSZNR fel'!$E$157</f>
        <v>124299500</v>
      </c>
      <c r="G23" s="755">
        <v>21</v>
      </c>
      <c r="H23" s="332"/>
      <c r="I23" s="332"/>
      <c r="J23" s="512">
        <f>+'5 GSZNR fel'!H157</f>
        <v>124299500</v>
      </c>
      <c r="K23" s="755">
        <v>21</v>
      </c>
      <c r="L23" s="332"/>
      <c r="M23" s="332"/>
      <c r="N23" s="512">
        <f>+'5 GSZNR fel'!K157</f>
        <v>124299500</v>
      </c>
      <c r="O23" s="512">
        <f>+'5 GSZNR fel'!L157</f>
        <v>21</v>
      </c>
      <c r="P23" s="512">
        <f>+'5 GSZNR fel'!M157</f>
        <v>0</v>
      </c>
      <c r="Q23" s="755">
        <v>21</v>
      </c>
      <c r="R23" s="332"/>
      <c r="S23" s="332"/>
      <c r="T23" s="512">
        <f>+'5 GSZNR fel'!N157</f>
        <v>105675323</v>
      </c>
      <c r="U23" s="755">
        <v>21</v>
      </c>
      <c r="V23" s="332"/>
      <c r="W23" s="332"/>
      <c r="X23" s="512">
        <f>+'5 GSZNR fel'!Q157</f>
        <v>96485823</v>
      </c>
      <c r="Y23" s="900"/>
    </row>
    <row r="24" spans="1:25" s="46" customFormat="1" x14ac:dyDescent="0.25">
      <c r="A24" s="378" t="s">
        <v>1051</v>
      </c>
      <c r="B24" s="299" t="s">
        <v>554</v>
      </c>
      <c r="C24" s="755"/>
      <c r="D24" s="332"/>
      <c r="E24" s="332"/>
      <c r="F24" s="379">
        <f>+'5 GSZNR fel'!E163</f>
        <v>56134000</v>
      </c>
      <c r="G24" s="755"/>
      <c r="H24" s="332"/>
      <c r="I24" s="332"/>
      <c r="J24" s="512">
        <f>+'5 GSZNR fel'!H163</f>
        <v>56300472</v>
      </c>
      <c r="K24" s="755"/>
      <c r="L24" s="332"/>
      <c r="M24" s="332"/>
      <c r="N24" s="512">
        <f>+'5 GSZNR fel'!K163</f>
        <v>56300472</v>
      </c>
      <c r="O24" s="512">
        <f>+'5 GSZNR fel'!L163</f>
        <v>0</v>
      </c>
      <c r="P24" s="512">
        <f>+'5 GSZNR fel'!M163</f>
        <v>0</v>
      </c>
      <c r="Q24" s="755"/>
      <c r="R24" s="332"/>
      <c r="S24" s="332"/>
      <c r="T24" s="512">
        <f>+'5 GSZNR fel'!N163</f>
        <v>59557561</v>
      </c>
      <c r="U24" s="755"/>
      <c r="V24" s="332"/>
      <c r="W24" s="332"/>
      <c r="X24" s="512">
        <f>+'5 GSZNR fel'!Q163</f>
        <v>57893226</v>
      </c>
      <c r="Y24" s="900"/>
    </row>
    <row r="25" spans="1:25" s="46" customFormat="1" x14ac:dyDescent="0.25">
      <c r="A25" s="378" t="s">
        <v>1053</v>
      </c>
      <c r="B25" s="299" t="s">
        <v>555</v>
      </c>
      <c r="C25" s="755"/>
      <c r="D25" s="332"/>
      <c r="E25" s="332"/>
      <c r="F25" s="379">
        <f>+'5 GSZNR fel'!E166+'2C Önk bev kiad fel'!E71</f>
        <v>116975000</v>
      </c>
      <c r="G25" s="755"/>
      <c r="H25" s="332"/>
      <c r="I25" s="332"/>
      <c r="J25" s="512">
        <f>+'5 GSZNR fel'!H166+'2C Önk bev kiad fel'!I71</f>
        <v>117971550</v>
      </c>
      <c r="K25" s="755"/>
      <c r="L25" s="332"/>
      <c r="M25" s="332"/>
      <c r="N25" s="512">
        <f>+'5 GSZNR fel'!K166+'2C Önk bev kiad fel'!L71</f>
        <v>117971550</v>
      </c>
      <c r="O25" s="512">
        <f>+'5 GSZNR fel'!L166+'2C Önk bev kiad fel'!M71</f>
        <v>0</v>
      </c>
      <c r="P25" s="512">
        <f>+'5 GSZNR fel'!M166+'2C Önk bev kiad fel'!N71</f>
        <v>0</v>
      </c>
      <c r="Q25" s="755"/>
      <c r="R25" s="332"/>
      <c r="S25" s="332"/>
      <c r="T25" s="512">
        <f>+'5 GSZNR fel'!N166+'2C Önk bev kiad fel'!O71</f>
        <v>119102380</v>
      </c>
      <c r="U25" s="755"/>
      <c r="V25" s="332"/>
      <c r="W25" s="332"/>
      <c r="X25" s="512">
        <f>+'5 GSZNR fel'!Q166+'2C Önk bev kiad fel'!R71</f>
        <v>104479076</v>
      </c>
      <c r="Y25" s="900"/>
    </row>
    <row r="26" spans="1:25" s="46" customFormat="1" x14ac:dyDescent="0.25">
      <c r="A26" s="378" t="s">
        <v>1054</v>
      </c>
      <c r="B26" s="299" t="s">
        <v>1052</v>
      </c>
      <c r="C26" s="755"/>
      <c r="D26" s="332"/>
      <c r="E26" s="332"/>
      <c r="F26" s="379">
        <f>+'5 GSZNR fel'!E170</f>
        <v>8930000</v>
      </c>
      <c r="G26" s="755"/>
      <c r="H26" s="332"/>
      <c r="I26" s="332"/>
      <c r="J26" s="512">
        <f>+'5 GSZNR fel'!H170</f>
        <v>8930000</v>
      </c>
      <c r="K26" s="755"/>
      <c r="L26" s="332"/>
      <c r="M26" s="332"/>
      <c r="N26" s="512">
        <f>+'5 GSZNR fel'!K170</f>
        <v>8930000</v>
      </c>
      <c r="O26" s="512">
        <f>+'5 GSZNR fel'!L170</f>
        <v>0</v>
      </c>
      <c r="P26" s="512">
        <f>+'5 GSZNR fel'!M170</f>
        <v>0</v>
      </c>
      <c r="Q26" s="755"/>
      <c r="R26" s="332"/>
      <c r="S26" s="332"/>
      <c r="T26" s="512">
        <f>+'5 GSZNR fel'!N170</f>
        <v>10349425</v>
      </c>
      <c r="U26" s="755"/>
      <c r="V26" s="332"/>
      <c r="W26" s="332"/>
      <c r="X26" s="512">
        <f>+'5 GSZNR fel'!Q170</f>
        <v>9184713</v>
      </c>
    </row>
    <row r="27" spans="1:25" s="46" customFormat="1" x14ac:dyDescent="0.25">
      <c r="A27" s="378" t="s">
        <v>1055</v>
      </c>
      <c r="B27" s="299" t="s">
        <v>558</v>
      </c>
      <c r="C27" s="755">
        <f>+'5 GSZNR fel'!C173</f>
        <v>1.75</v>
      </c>
      <c r="D27" s="332"/>
      <c r="E27" s="332"/>
      <c r="F27" s="379">
        <f>+'5 GSZNR fel'!E173</f>
        <v>10614125</v>
      </c>
      <c r="G27" s="755">
        <f>+'5 GSZNR fel'!F173</f>
        <v>1.75</v>
      </c>
      <c r="H27" s="332"/>
      <c r="I27" s="332"/>
      <c r="J27" s="512">
        <f>+'5 GSZNR fel'!H173</f>
        <v>10614125</v>
      </c>
      <c r="K27" s="755">
        <f>+'5 GSZNR fel'!J173</f>
        <v>0</v>
      </c>
      <c r="L27" s="332"/>
      <c r="M27" s="332"/>
      <c r="N27" s="512">
        <f>+'5 GSZNR fel'!K173</f>
        <v>10614125</v>
      </c>
      <c r="O27" s="512">
        <f>+'5 GSZNR fel'!L173</f>
        <v>1.75</v>
      </c>
      <c r="P27" s="512">
        <f>+'5 GSZNR fel'!M173</f>
        <v>0</v>
      </c>
      <c r="Q27" s="755">
        <f>+'5 GSZNR fel'!P173</f>
        <v>0</v>
      </c>
      <c r="R27" s="332"/>
      <c r="S27" s="332"/>
      <c r="T27" s="512">
        <f>+'5 GSZNR fel'!N173</f>
        <v>10727823</v>
      </c>
      <c r="U27" s="755">
        <f>+'5 GSZNR fel'!T173</f>
        <v>0</v>
      </c>
      <c r="V27" s="332"/>
      <c r="W27" s="332"/>
      <c r="X27" s="512">
        <f>+'5 GSZNR fel'!Q173</f>
        <v>10721824</v>
      </c>
    </row>
    <row r="28" spans="1:25" s="46" customFormat="1" x14ac:dyDescent="0.25">
      <c r="A28" s="378" t="s">
        <v>1056</v>
      </c>
      <c r="B28" s="299" t="s">
        <v>560</v>
      </c>
      <c r="C28" s="755">
        <v>2</v>
      </c>
      <c r="D28" s="332"/>
      <c r="E28" s="332"/>
      <c r="F28" s="379">
        <f>+'5 GSZNR fel'!E178</f>
        <v>15217000</v>
      </c>
      <c r="G28" s="755">
        <v>2</v>
      </c>
      <c r="H28" s="332"/>
      <c r="I28" s="332"/>
      <c r="J28" s="512">
        <f>+'5 GSZNR fel'!H178</f>
        <v>15217000</v>
      </c>
      <c r="K28" s="755">
        <v>2</v>
      </c>
      <c r="L28" s="332"/>
      <c r="M28" s="332"/>
      <c r="N28" s="512">
        <f>+'5 GSZNR fel'!K178</f>
        <v>15217000</v>
      </c>
      <c r="O28" s="512">
        <f>+'5 GSZNR fel'!L178</f>
        <v>2</v>
      </c>
      <c r="P28" s="512">
        <f>+'5 GSZNR fel'!M178</f>
        <v>0</v>
      </c>
      <c r="Q28" s="755">
        <v>2</v>
      </c>
      <c r="R28" s="332"/>
      <c r="S28" s="332"/>
      <c r="T28" s="512">
        <f>+'5 GSZNR fel'!N178</f>
        <v>14832655</v>
      </c>
      <c r="U28" s="755">
        <v>2</v>
      </c>
      <c r="V28" s="332"/>
      <c r="W28" s="332"/>
      <c r="X28" s="512">
        <f>+'5 GSZNR fel'!Q178</f>
        <v>14126174</v>
      </c>
    </row>
    <row r="29" spans="1:25" s="46" customFormat="1" x14ac:dyDescent="0.25">
      <c r="A29" s="378" t="s">
        <v>1057</v>
      </c>
      <c r="B29" s="299" t="s">
        <v>572</v>
      </c>
      <c r="C29" s="755">
        <v>19</v>
      </c>
      <c r="D29" s="332"/>
      <c r="E29" s="332"/>
      <c r="F29" s="379">
        <f>+'5 GSZNR fel'!$E$199</f>
        <v>309028500</v>
      </c>
      <c r="G29" s="755">
        <v>19</v>
      </c>
      <c r="H29" s="332"/>
      <c r="I29" s="332"/>
      <c r="J29" s="512">
        <f>+'5 GSZNR fel'!H199</f>
        <v>314841823</v>
      </c>
      <c r="K29" s="755">
        <v>19</v>
      </c>
      <c r="L29" s="332"/>
      <c r="M29" s="332"/>
      <c r="N29" s="512">
        <f>+'5 GSZNR fel'!K199</f>
        <v>256567630</v>
      </c>
      <c r="O29" s="512">
        <f>+'5 GSZNR fel'!L199</f>
        <v>19</v>
      </c>
      <c r="P29" s="512">
        <f>+'5 GSZNR fel'!M199</f>
        <v>0</v>
      </c>
      <c r="Q29" s="755">
        <v>19</v>
      </c>
      <c r="R29" s="332"/>
      <c r="S29" s="332"/>
      <c r="T29" s="512">
        <f>+'5 GSZNR fel'!N199</f>
        <v>255877480</v>
      </c>
      <c r="U29" s="755">
        <v>19</v>
      </c>
      <c r="V29" s="332"/>
      <c r="W29" s="332"/>
      <c r="X29" s="512">
        <f>+'5 GSZNR fel'!Q199</f>
        <v>246125130</v>
      </c>
    </row>
    <row r="30" spans="1:25" s="46" customFormat="1" x14ac:dyDescent="0.25">
      <c r="A30" s="378" t="s">
        <v>1058</v>
      </c>
      <c r="B30" s="299" t="s">
        <v>349</v>
      </c>
      <c r="C30" s="755">
        <v>100.5</v>
      </c>
      <c r="D30" s="332"/>
      <c r="E30" s="332"/>
      <c r="F30" s="379">
        <f>'5 GSZNR fel'!E8+'5 GSZNR fel'!E25+'5 GSZNR fel'!E41</f>
        <v>555642770</v>
      </c>
      <c r="G30" s="755">
        <v>100.5</v>
      </c>
      <c r="H30" s="332"/>
      <c r="I30" s="332"/>
      <c r="J30" s="512">
        <f>'5 GSZNR fel'!H8+'5 GSZNR fel'!H25+'5 GSZNR fel'!H41</f>
        <v>590933478</v>
      </c>
      <c r="K30" s="755">
        <v>100.5</v>
      </c>
      <c r="L30" s="332"/>
      <c r="M30" s="332"/>
      <c r="N30" s="512">
        <f>'5 GSZNR fel'!K8+'5 GSZNR fel'!K25+'5 GSZNR fel'!K41</f>
        <v>590933478</v>
      </c>
      <c r="O30" s="512">
        <f>'5 GSZNR fel'!L8+'5 GSZNR fel'!L25+'5 GSZNR fel'!L41</f>
        <v>100</v>
      </c>
      <c r="P30" s="512">
        <f>'5 GSZNR fel'!M8+'5 GSZNR fel'!M25+'5 GSZNR fel'!M41</f>
        <v>0</v>
      </c>
      <c r="Q30" s="755">
        <v>100.5</v>
      </c>
      <c r="R30" s="332"/>
      <c r="S30" s="332"/>
      <c r="T30" s="512">
        <f>'5 GSZNR fel'!N8+'5 GSZNR fel'!N25+'5 GSZNR fel'!N41</f>
        <v>590428032.53999996</v>
      </c>
      <c r="U30" s="755">
        <v>100.5</v>
      </c>
      <c r="V30" s="332"/>
      <c r="W30" s="332"/>
      <c r="X30" s="512">
        <f>'5 GSZNR fel'!Q8+'5 GSZNR fel'!Q25+'5 GSZNR fel'!Q41</f>
        <v>545478376</v>
      </c>
    </row>
    <row r="31" spans="1:25" s="46" customFormat="1" x14ac:dyDescent="0.25">
      <c r="A31" s="378" t="s">
        <v>1059</v>
      </c>
      <c r="B31" s="299" t="s">
        <v>352</v>
      </c>
      <c r="C31" s="755"/>
      <c r="D31" s="332"/>
      <c r="E31" s="332"/>
      <c r="F31" s="379">
        <f>'5 GSZNR fel'!E15+'5 GSZNR fel'!E31+'5 GSZNR fel'!E47</f>
        <v>90451700</v>
      </c>
      <c r="G31" s="755"/>
      <c r="H31" s="332"/>
      <c r="I31" s="332"/>
      <c r="J31" s="512">
        <f>'5 GSZNR fel'!H15+'5 GSZNR fel'!H31+'5 GSZNR fel'!H47</f>
        <v>90451700</v>
      </c>
      <c r="K31" s="755"/>
      <c r="L31" s="332"/>
      <c r="M31" s="332"/>
      <c r="N31" s="512">
        <f>'5 GSZNR fel'!K15+'5 GSZNR fel'!K31+'5 GSZNR fel'!K47</f>
        <v>72690677</v>
      </c>
      <c r="O31" s="512">
        <f>'5 GSZNR fel'!L15+'5 GSZNR fel'!L31+'5 GSZNR fel'!L47</f>
        <v>0</v>
      </c>
      <c r="P31" s="512">
        <f>'5 GSZNR fel'!M15+'5 GSZNR fel'!M31+'5 GSZNR fel'!M47</f>
        <v>0</v>
      </c>
      <c r="Q31" s="755"/>
      <c r="R31" s="332"/>
      <c r="S31" s="332"/>
      <c r="T31" s="512">
        <f>'5 GSZNR fel'!N15+'5 GSZNR fel'!N31+'5 GSZNR fel'!N47</f>
        <v>72690676.460000008</v>
      </c>
      <c r="U31" s="755"/>
      <c r="V31" s="332"/>
      <c r="W31" s="332"/>
      <c r="X31" s="512">
        <f>'5 GSZNR fel'!Q15+'5 GSZNR fel'!Q31+'5 GSZNR fel'!Q47</f>
        <v>67912933</v>
      </c>
    </row>
    <row r="32" spans="1:25" s="46" customFormat="1" x14ac:dyDescent="0.25">
      <c r="A32" s="378" t="s">
        <v>1060</v>
      </c>
      <c r="B32" s="299" t="s">
        <v>357</v>
      </c>
      <c r="C32" s="755">
        <v>17</v>
      </c>
      <c r="D32" s="332"/>
      <c r="E32" s="332"/>
      <c r="F32" s="379">
        <f>'5 GSZNR fel'!E58</f>
        <v>65711310</v>
      </c>
      <c r="G32" s="755">
        <v>17</v>
      </c>
      <c r="H32" s="332"/>
      <c r="I32" s="332"/>
      <c r="J32" s="512">
        <f>'5 GSZNR fel'!H58</f>
        <v>68524807</v>
      </c>
      <c r="K32" s="755">
        <v>17</v>
      </c>
      <c r="L32" s="332"/>
      <c r="M32" s="332"/>
      <c r="N32" s="512">
        <f>'5 GSZNR fel'!K58</f>
        <v>68709607</v>
      </c>
      <c r="O32" s="512">
        <f>'5 GSZNR fel'!L58</f>
        <v>17</v>
      </c>
      <c r="P32" s="512">
        <f>'5 GSZNR fel'!M58</f>
        <v>0</v>
      </c>
      <c r="Q32" s="755">
        <v>17</v>
      </c>
      <c r="R32" s="332"/>
      <c r="S32" s="332"/>
      <c r="T32" s="512">
        <f>'5 GSZNR fel'!N58</f>
        <v>65991310</v>
      </c>
      <c r="U32" s="755">
        <v>17</v>
      </c>
      <c r="V32" s="332"/>
      <c r="W32" s="332"/>
      <c r="X32" s="512">
        <f>'5 GSZNR fel'!Q58</f>
        <v>51319210</v>
      </c>
    </row>
    <row r="33" spans="1:24" s="46" customFormat="1" x14ac:dyDescent="0.25">
      <c r="A33" s="378" t="s">
        <v>1062</v>
      </c>
      <c r="B33" s="299" t="s">
        <v>1061</v>
      </c>
      <c r="C33" s="755"/>
      <c r="D33" s="332"/>
      <c r="E33" s="332"/>
      <c r="F33" s="379">
        <f>'5 GSZNR fel'!E65</f>
        <v>189916850</v>
      </c>
      <c r="G33" s="755"/>
      <c r="H33" s="332"/>
      <c r="I33" s="332"/>
      <c r="J33" s="512">
        <f>'5 GSZNR fel'!H65</f>
        <v>192338368</v>
      </c>
      <c r="K33" s="755"/>
      <c r="L33" s="332"/>
      <c r="M33" s="332"/>
      <c r="N33" s="512">
        <f>'5 GSZNR fel'!K65</f>
        <v>192338368</v>
      </c>
      <c r="O33" s="512">
        <f>'5 GSZNR fel'!L65</f>
        <v>0</v>
      </c>
      <c r="P33" s="512">
        <f>'5 GSZNR fel'!M65</f>
        <v>0</v>
      </c>
      <c r="Q33" s="755"/>
      <c r="R33" s="332"/>
      <c r="S33" s="332"/>
      <c r="T33" s="512">
        <f>'5 GSZNR fel'!N65</f>
        <v>197851551</v>
      </c>
      <c r="U33" s="755"/>
      <c r="V33" s="332"/>
      <c r="W33" s="332"/>
      <c r="X33" s="512">
        <f>'5 GSZNR fel'!Q65</f>
        <v>169728865</v>
      </c>
    </row>
    <row r="34" spans="1:24" s="46" customFormat="1" x14ac:dyDescent="0.25">
      <c r="A34" s="378" t="s">
        <v>1063</v>
      </c>
      <c r="B34" s="299" t="s">
        <v>360</v>
      </c>
      <c r="C34" s="755">
        <v>4.5</v>
      </c>
      <c r="D34" s="332"/>
      <c r="E34" s="332"/>
      <c r="F34" s="379">
        <f>'5 GSZNR fel'!E88</f>
        <v>43962130</v>
      </c>
      <c r="G34" s="755">
        <v>4.5</v>
      </c>
      <c r="H34" s="332"/>
      <c r="I34" s="332"/>
      <c r="J34" s="512">
        <f>'5 GSZNR fel'!H88</f>
        <v>46243725</v>
      </c>
      <c r="K34" s="755">
        <v>4.5</v>
      </c>
      <c r="L34" s="332"/>
      <c r="M34" s="332"/>
      <c r="N34" s="512">
        <f>'5 GSZNR fel'!K88</f>
        <v>46243725</v>
      </c>
      <c r="O34" s="512">
        <f>'5 GSZNR fel'!L88</f>
        <v>4.5</v>
      </c>
      <c r="P34" s="512">
        <f>'5 GSZNR fel'!M88</f>
        <v>0</v>
      </c>
      <c r="Q34" s="755">
        <v>4.5</v>
      </c>
      <c r="R34" s="332"/>
      <c r="S34" s="332"/>
      <c r="T34" s="512">
        <f>'5 GSZNR fel'!N88</f>
        <v>46879480</v>
      </c>
      <c r="U34" s="755">
        <v>4.5</v>
      </c>
      <c r="V34" s="332"/>
      <c r="W34" s="332"/>
      <c r="X34" s="512">
        <f>'5 GSZNR fel'!Q88</f>
        <v>32189044</v>
      </c>
    </row>
    <row r="35" spans="1:24" s="46" customFormat="1" ht="30" x14ac:dyDescent="0.25">
      <c r="A35" s="378" t="s">
        <v>1066</v>
      </c>
      <c r="B35" s="468" t="s">
        <v>1432</v>
      </c>
      <c r="C35" s="755"/>
      <c r="D35" s="332"/>
      <c r="E35" s="332"/>
      <c r="F35" s="379">
        <f>'5 GSZNR fel'!E95</f>
        <v>2600000</v>
      </c>
      <c r="G35" s="755"/>
      <c r="H35" s="332"/>
      <c r="I35" s="332"/>
      <c r="J35" s="512">
        <f>'5 GSZNR fel'!H95</f>
        <v>2600000</v>
      </c>
      <c r="K35" s="755"/>
      <c r="L35" s="332"/>
      <c r="M35" s="332"/>
      <c r="N35" s="512">
        <f>'5 GSZNR fel'!K95</f>
        <v>2600000</v>
      </c>
      <c r="O35" s="512">
        <f>'5 GSZNR fel'!L95</f>
        <v>0</v>
      </c>
      <c r="P35" s="512">
        <f>'5 GSZNR fel'!M95</f>
        <v>0</v>
      </c>
      <c r="Q35" s="755"/>
      <c r="R35" s="332"/>
      <c r="S35" s="332"/>
      <c r="T35" s="512">
        <f>'5 GSZNR fel'!N95</f>
        <v>2845702</v>
      </c>
      <c r="U35" s="755"/>
      <c r="V35" s="332"/>
      <c r="W35" s="332"/>
      <c r="X35" s="512">
        <f>'5 GSZNR fel'!Q95</f>
        <v>1911215</v>
      </c>
    </row>
    <row r="36" spans="1:24" s="46" customFormat="1" x14ac:dyDescent="0.25">
      <c r="A36" s="378" t="s">
        <v>1067</v>
      </c>
      <c r="B36" s="299" t="s">
        <v>363</v>
      </c>
      <c r="C36" s="755">
        <v>13</v>
      </c>
      <c r="D36" s="332"/>
      <c r="E36" s="332"/>
      <c r="F36" s="379">
        <f>'5 GSZNR fel'!E110</f>
        <v>120929930</v>
      </c>
      <c r="G36" s="755">
        <v>13</v>
      </c>
      <c r="H36" s="332"/>
      <c r="I36" s="332"/>
      <c r="J36" s="512">
        <f>'5 GSZNR fel'!H110</f>
        <v>130389447</v>
      </c>
      <c r="K36" s="755">
        <v>13</v>
      </c>
      <c r="L36" s="332"/>
      <c r="M36" s="332"/>
      <c r="N36" s="512">
        <f>'5 GSZNR fel'!K110</f>
        <v>131189447</v>
      </c>
      <c r="O36" s="512">
        <f>'5 GSZNR fel'!L110</f>
        <v>13</v>
      </c>
      <c r="P36" s="512">
        <f>'5 GSZNR fel'!M110</f>
        <v>0</v>
      </c>
      <c r="Q36" s="755">
        <v>13</v>
      </c>
      <c r="R36" s="332"/>
      <c r="S36" s="332"/>
      <c r="T36" s="512">
        <f>'5 GSZNR fel'!N110</f>
        <v>120529442</v>
      </c>
      <c r="U36" s="755">
        <v>13</v>
      </c>
      <c r="V36" s="332"/>
      <c r="W36" s="332"/>
      <c r="X36" s="512">
        <f>'5 GSZNR fel'!Q110</f>
        <v>110181153</v>
      </c>
    </row>
    <row r="37" spans="1:24" s="46" customFormat="1" x14ac:dyDescent="0.25">
      <c r="A37" s="378" t="s">
        <v>1068</v>
      </c>
      <c r="B37" s="299" t="s">
        <v>364</v>
      </c>
      <c r="C37" s="755">
        <v>6</v>
      </c>
      <c r="D37" s="332"/>
      <c r="E37" s="332"/>
      <c r="F37" s="379">
        <f>'5 GSZNR fel'!E116</f>
        <v>31609660</v>
      </c>
      <c r="G37" s="755">
        <v>6</v>
      </c>
      <c r="H37" s="332"/>
      <c r="I37" s="332"/>
      <c r="J37" s="512">
        <f>'5 GSZNR fel'!H116</f>
        <v>31609660</v>
      </c>
      <c r="K37" s="755">
        <v>6</v>
      </c>
      <c r="L37" s="332"/>
      <c r="M37" s="332"/>
      <c r="N37" s="512">
        <f>'5 GSZNR fel'!K116</f>
        <v>31609660</v>
      </c>
      <c r="O37" s="512">
        <f>'5 GSZNR fel'!L116</f>
        <v>6</v>
      </c>
      <c r="P37" s="512">
        <f>'5 GSZNR fel'!M116</f>
        <v>0</v>
      </c>
      <c r="Q37" s="755">
        <v>6</v>
      </c>
      <c r="R37" s="332"/>
      <c r="S37" s="332"/>
      <c r="T37" s="512">
        <f>'5 GSZNR fel'!N116</f>
        <v>40779721</v>
      </c>
      <c r="U37" s="755">
        <v>6</v>
      </c>
      <c r="V37" s="332"/>
      <c r="W37" s="332"/>
      <c r="X37" s="512">
        <f>'5 GSZNR fel'!Q116</f>
        <v>39388613</v>
      </c>
    </row>
    <row r="38" spans="1:24" s="46" customFormat="1" x14ac:dyDescent="0.25">
      <c r="A38" s="378" t="s">
        <v>1069</v>
      </c>
      <c r="B38" s="299" t="s">
        <v>365</v>
      </c>
      <c r="C38" s="755"/>
      <c r="D38" s="332"/>
      <c r="E38" s="332"/>
      <c r="F38" s="379">
        <f>'5 GSZNR fel'!E121</f>
        <v>18746000</v>
      </c>
      <c r="G38" s="755"/>
      <c r="H38" s="332"/>
      <c r="I38" s="332"/>
      <c r="J38" s="512">
        <f>'5 GSZNR fel'!H121</f>
        <v>18746000</v>
      </c>
      <c r="K38" s="755"/>
      <c r="L38" s="332"/>
      <c r="M38" s="332"/>
      <c r="N38" s="512">
        <f>'5 GSZNR fel'!K121</f>
        <v>18746000</v>
      </c>
      <c r="O38" s="512">
        <f>'5 GSZNR fel'!L121</f>
        <v>0</v>
      </c>
      <c r="P38" s="512">
        <f>'5 GSZNR fel'!M121</f>
        <v>0</v>
      </c>
      <c r="Q38" s="755"/>
      <c r="R38" s="332"/>
      <c r="S38" s="332"/>
      <c r="T38" s="512">
        <f>'5 GSZNR fel'!N121</f>
        <v>20811700</v>
      </c>
      <c r="U38" s="755"/>
      <c r="V38" s="332"/>
      <c r="W38" s="332"/>
      <c r="X38" s="512">
        <f>'5 GSZNR fel'!Q121</f>
        <v>20511010</v>
      </c>
    </row>
    <row r="39" spans="1:24" s="46" customFormat="1" x14ac:dyDescent="0.25">
      <c r="A39" s="378" t="s">
        <v>1070</v>
      </c>
      <c r="B39" s="299" t="s">
        <v>366</v>
      </c>
      <c r="C39" s="755">
        <v>24</v>
      </c>
      <c r="D39" s="332"/>
      <c r="E39" s="332"/>
      <c r="F39" s="379">
        <f>'5 GSZNR fel'!E136</f>
        <v>138668720</v>
      </c>
      <c r="G39" s="755">
        <v>24</v>
      </c>
      <c r="H39" s="332"/>
      <c r="I39" s="332"/>
      <c r="J39" s="512">
        <f>'5 GSZNR fel'!H136</f>
        <v>142871090</v>
      </c>
      <c r="K39" s="755">
        <v>24</v>
      </c>
      <c r="L39" s="332"/>
      <c r="M39" s="332"/>
      <c r="N39" s="512">
        <f>'5 GSZNR fel'!K136</f>
        <v>142871090</v>
      </c>
      <c r="O39" s="512">
        <f>'5 GSZNR fel'!L136</f>
        <v>24</v>
      </c>
      <c r="P39" s="512">
        <f>'5 GSZNR fel'!M136</f>
        <v>0</v>
      </c>
      <c r="Q39" s="755">
        <v>24</v>
      </c>
      <c r="R39" s="332"/>
      <c r="S39" s="332"/>
      <c r="T39" s="512">
        <f>'5 GSZNR fel'!N136</f>
        <v>142700108</v>
      </c>
      <c r="U39" s="755">
        <v>24</v>
      </c>
      <c r="V39" s="332"/>
      <c r="W39" s="332"/>
      <c r="X39" s="512">
        <f>'5 GSZNR fel'!Q136</f>
        <v>132395522</v>
      </c>
    </row>
    <row r="40" spans="1:24" s="46" customFormat="1" x14ac:dyDescent="0.25">
      <c r="A40" s="378" t="s">
        <v>1486</v>
      </c>
      <c r="B40" s="299" t="s">
        <v>367</v>
      </c>
      <c r="C40" s="756"/>
      <c r="D40" s="332"/>
      <c r="E40" s="332"/>
      <c r="F40" s="379">
        <f>'5 GSZNR fel'!E142</f>
        <v>12700000</v>
      </c>
      <c r="G40" s="756"/>
      <c r="H40" s="332"/>
      <c r="I40" s="332"/>
      <c r="J40" s="512">
        <f>'5 GSZNR fel'!H142</f>
        <v>12700000</v>
      </c>
      <c r="K40" s="756"/>
      <c r="L40" s="332"/>
      <c r="M40" s="332"/>
      <c r="N40" s="512">
        <f>'5 GSZNR fel'!K142</f>
        <v>10632825</v>
      </c>
      <c r="O40" s="512">
        <f>'5 GSZNR fel'!L142</f>
        <v>0</v>
      </c>
      <c r="P40" s="512">
        <f>'5 GSZNR fel'!M142</f>
        <v>0</v>
      </c>
      <c r="Q40" s="756"/>
      <c r="R40" s="332"/>
      <c r="S40" s="332"/>
      <c r="T40" s="512">
        <f>'5 GSZNR fel'!N142</f>
        <v>10632825</v>
      </c>
      <c r="U40" s="756"/>
      <c r="V40" s="332"/>
      <c r="W40" s="332"/>
      <c r="X40" s="512">
        <f>'5 GSZNR fel'!Q142</f>
        <v>6105940</v>
      </c>
    </row>
    <row r="41" spans="1:24" s="46" customFormat="1" x14ac:dyDescent="0.25">
      <c r="A41" s="378" t="s">
        <v>1811</v>
      </c>
      <c r="B41" s="299" t="s">
        <v>1763</v>
      </c>
      <c r="C41" s="756"/>
      <c r="D41" s="332"/>
      <c r="E41" s="332"/>
      <c r="F41" s="512"/>
      <c r="G41" s="756"/>
      <c r="H41" s="332"/>
      <c r="I41" s="332"/>
      <c r="J41" s="512"/>
      <c r="K41" s="756"/>
      <c r="L41" s="332"/>
      <c r="M41" s="332"/>
      <c r="N41" s="512"/>
      <c r="O41" s="512"/>
      <c r="P41" s="512"/>
      <c r="Q41" s="756"/>
      <c r="R41" s="332"/>
      <c r="S41" s="332"/>
      <c r="T41" s="512">
        <f>'5 GSZNR fel'!N20+'5 GSZNR fel'!N36+'5 GSZNR fel'!N52+'5 GSZNR fel'!N77+'5 GSZNR fel'!N126+'5 GSZNR fel'!N147+'5 GSZNR fel'!N204+'5 GSZNR fel'!N100+'3B PH fel'!R17</f>
        <v>3896858</v>
      </c>
      <c r="U41" s="756"/>
      <c r="V41" s="332"/>
      <c r="W41" s="332"/>
      <c r="X41" s="512">
        <f>'5 GSZNR fel'!Q20+'5 GSZNR fel'!Q36+'5 GSZNR fel'!Q52+'5 GSZNR fel'!Q77+'5 GSZNR fel'!Q126+'5 GSZNR fel'!Q147+'5 GSZNR fel'!Q204+'5 GSZNR fel'!Q100+'3B PH fel'!V17</f>
        <v>3896858</v>
      </c>
    </row>
    <row r="42" spans="1:24" x14ac:dyDescent="0.25">
      <c r="A42" s="322" t="s">
        <v>318</v>
      </c>
      <c r="B42" s="294" t="s">
        <v>353</v>
      </c>
      <c r="C42" s="331">
        <f>SUM(C43:C82)</f>
        <v>5.5</v>
      </c>
      <c r="D42" s="331"/>
      <c r="E42" s="331"/>
      <c r="F42" s="739">
        <f>SUM(F43:F87)</f>
        <v>987115265</v>
      </c>
      <c r="G42" s="331">
        <f>SUM(G43:G82)</f>
        <v>5.5</v>
      </c>
      <c r="H42" s="331"/>
      <c r="I42" s="331"/>
      <c r="J42" s="739">
        <f>SUM(J43:J88)</f>
        <v>1250587512</v>
      </c>
      <c r="K42" s="331">
        <f>SUM(K43:K82)</f>
        <v>5.5</v>
      </c>
      <c r="L42" s="331"/>
      <c r="M42" s="331"/>
      <c r="N42" s="739">
        <f>SUM(N43:N88)</f>
        <v>1288881448</v>
      </c>
      <c r="O42" s="739">
        <f>SUM(O43:O88)</f>
        <v>6</v>
      </c>
      <c r="P42" s="739">
        <f>SUM(P43:P88)</f>
        <v>0</v>
      </c>
      <c r="Q42" s="331">
        <f>SUM(Q43:Q82)</f>
        <v>5.5</v>
      </c>
      <c r="R42" s="331"/>
      <c r="S42" s="331"/>
      <c r="T42" s="739">
        <f>SUM(T43:T88)</f>
        <v>1233370613</v>
      </c>
      <c r="U42" s="331">
        <f>SUM(U43:U82)</f>
        <v>5.5</v>
      </c>
      <c r="V42" s="331"/>
      <c r="W42" s="331"/>
      <c r="X42" s="739">
        <f>SUM(X43:X88)</f>
        <v>656846105</v>
      </c>
    </row>
    <row r="43" spans="1:24" s="46" customFormat="1" x14ac:dyDescent="0.25">
      <c r="A43" s="378" t="s">
        <v>1071</v>
      </c>
      <c r="B43" s="299" t="s">
        <v>702</v>
      </c>
      <c r="C43" s="709"/>
      <c r="D43" s="332"/>
      <c r="E43" s="332"/>
      <c r="F43" s="379">
        <f>'2C Önk bev kiad fel'!E76</f>
        <v>5360000</v>
      </c>
      <c r="G43" s="709"/>
      <c r="H43" s="332"/>
      <c r="I43" s="332"/>
      <c r="J43" s="512">
        <f>'2C Önk bev kiad fel'!I76</f>
        <v>5360000</v>
      </c>
      <c r="K43" s="709"/>
      <c r="L43" s="332"/>
      <c r="M43" s="332"/>
      <c r="N43" s="512">
        <f>'2C Önk bev kiad fel'!L76</f>
        <v>5360000</v>
      </c>
      <c r="O43" s="512">
        <f>'2C Önk bev kiad fel'!M76</f>
        <v>0</v>
      </c>
      <c r="P43" s="512">
        <f>'2C Önk bev kiad fel'!N76</f>
        <v>0</v>
      </c>
      <c r="Q43" s="709"/>
      <c r="R43" s="332"/>
      <c r="S43" s="332"/>
      <c r="T43" s="512">
        <f>'2C Önk bev kiad fel'!O76</f>
        <v>5360000</v>
      </c>
      <c r="U43" s="709"/>
      <c r="V43" s="332"/>
      <c r="W43" s="332"/>
      <c r="X43" s="512">
        <f>'2C Önk bev kiad fel'!R76</f>
        <v>5256746</v>
      </c>
    </row>
    <row r="44" spans="1:24" s="46" customFormat="1" x14ac:dyDescent="0.25">
      <c r="A44" s="378" t="s">
        <v>1072</v>
      </c>
      <c r="B44" s="299" t="s">
        <v>703</v>
      </c>
      <c r="C44" s="709"/>
      <c r="D44" s="332"/>
      <c r="E44" s="332"/>
      <c r="F44" s="379">
        <f>'2C Önk bev kiad fel'!E79</f>
        <v>1000000</v>
      </c>
      <c r="G44" s="709"/>
      <c r="H44" s="332"/>
      <c r="I44" s="332"/>
      <c r="J44" s="512">
        <f>'2C Önk bev kiad fel'!I79</f>
        <v>1000000</v>
      </c>
      <c r="K44" s="709"/>
      <c r="L44" s="332"/>
      <c r="M44" s="332"/>
      <c r="N44" s="512">
        <f>'2C Önk bev kiad fel'!L79</f>
        <v>1000000</v>
      </c>
      <c r="O44" s="512">
        <f>'2C Önk bev kiad fel'!M79</f>
        <v>0</v>
      </c>
      <c r="P44" s="512">
        <f>'2C Önk bev kiad fel'!N79</f>
        <v>0</v>
      </c>
      <c r="Q44" s="709"/>
      <c r="R44" s="332"/>
      <c r="S44" s="332"/>
      <c r="T44" s="512">
        <f>'2C Önk bev kiad fel'!O79</f>
        <v>1000000</v>
      </c>
      <c r="U44" s="709"/>
      <c r="V44" s="332"/>
      <c r="W44" s="332"/>
      <c r="X44" s="512">
        <f>'2C Önk bev kiad fel'!R79</f>
        <v>0</v>
      </c>
    </row>
    <row r="45" spans="1:24" s="46" customFormat="1" x14ac:dyDescent="0.25">
      <c r="A45" s="378" t="s">
        <v>1073</v>
      </c>
      <c r="B45" s="300" t="s">
        <v>1076</v>
      </c>
      <c r="C45" s="710"/>
      <c r="D45" s="333"/>
      <c r="E45" s="333"/>
      <c r="F45" s="302">
        <f>'2C Önk bev kiad fel'!E82</f>
        <v>1500000</v>
      </c>
      <c r="G45" s="710"/>
      <c r="H45" s="333"/>
      <c r="I45" s="333"/>
      <c r="J45" s="302">
        <f>'2C Önk bev kiad fel'!I82</f>
        <v>1500000</v>
      </c>
      <c r="K45" s="710"/>
      <c r="L45" s="333"/>
      <c r="M45" s="333"/>
      <c r="N45" s="302">
        <f>'2C Önk bev kiad fel'!L82</f>
        <v>1500000</v>
      </c>
      <c r="O45" s="302">
        <f>'2C Önk bev kiad fel'!M82</f>
        <v>0</v>
      </c>
      <c r="P45" s="302">
        <f>'2C Önk bev kiad fel'!N82</f>
        <v>0</v>
      </c>
      <c r="Q45" s="710"/>
      <c r="R45" s="333"/>
      <c r="S45" s="333"/>
      <c r="T45" s="302">
        <f>'2C Önk bev kiad fel'!O82</f>
        <v>1500000</v>
      </c>
      <c r="U45" s="710"/>
      <c r="V45" s="333"/>
      <c r="W45" s="333"/>
      <c r="X45" s="302">
        <f>'2C Önk bev kiad fel'!R82</f>
        <v>81960</v>
      </c>
    </row>
    <row r="46" spans="1:24" s="46" customFormat="1" x14ac:dyDescent="0.25">
      <c r="A46" s="378" t="s">
        <v>1074</v>
      </c>
      <c r="B46" s="299" t="s">
        <v>1077</v>
      </c>
      <c r="C46" s="709"/>
      <c r="D46" s="332"/>
      <c r="E46" s="332"/>
      <c r="F46" s="379">
        <f>'2C Önk bev kiad fel'!E86</f>
        <v>4000000</v>
      </c>
      <c r="G46" s="709"/>
      <c r="H46" s="332"/>
      <c r="I46" s="332"/>
      <c r="J46" s="512">
        <f>'2C Önk bev kiad fel'!I86</f>
        <v>4000000</v>
      </c>
      <c r="K46" s="709"/>
      <c r="L46" s="332"/>
      <c r="M46" s="332"/>
      <c r="N46" s="512">
        <f>'2C Önk bev kiad fel'!L86</f>
        <v>4000000</v>
      </c>
      <c r="O46" s="512">
        <f>'2C Önk bev kiad fel'!M86</f>
        <v>0</v>
      </c>
      <c r="P46" s="512">
        <f>'2C Önk bev kiad fel'!N86</f>
        <v>0</v>
      </c>
      <c r="Q46" s="709"/>
      <c r="R46" s="332"/>
      <c r="S46" s="332"/>
      <c r="T46" s="512">
        <f>'2C Önk bev kiad fel'!O86</f>
        <v>4000000</v>
      </c>
      <c r="U46" s="709"/>
      <c r="V46" s="332"/>
      <c r="W46" s="332"/>
      <c r="X46" s="512">
        <f>'2C Önk bev kiad fel'!R86</f>
        <v>1481184</v>
      </c>
    </row>
    <row r="47" spans="1:24" s="46" customFormat="1" x14ac:dyDescent="0.25">
      <c r="A47" s="378" t="s">
        <v>1075</v>
      </c>
      <c r="B47" s="299" t="s">
        <v>1080</v>
      </c>
      <c r="C47" s="709"/>
      <c r="D47" s="332"/>
      <c r="E47" s="332"/>
      <c r="F47" s="379">
        <f>'2C Önk bev kiad fel'!E90</f>
        <v>6308000</v>
      </c>
      <c r="G47" s="709"/>
      <c r="H47" s="332"/>
      <c r="I47" s="332"/>
      <c r="J47" s="512">
        <f>'2C Önk bev kiad fel'!I90</f>
        <v>6308000</v>
      </c>
      <c r="K47" s="709"/>
      <c r="L47" s="332"/>
      <c r="M47" s="332"/>
      <c r="N47" s="512">
        <f>'2C Önk bev kiad fel'!L90</f>
        <v>6308000</v>
      </c>
      <c r="O47" s="512">
        <f>'2C Önk bev kiad fel'!M90</f>
        <v>0</v>
      </c>
      <c r="P47" s="512">
        <f>'2C Önk bev kiad fel'!N90</f>
        <v>0</v>
      </c>
      <c r="Q47" s="709"/>
      <c r="R47" s="332"/>
      <c r="S47" s="332"/>
      <c r="T47" s="512">
        <f>'2C Önk bev kiad fel'!O90</f>
        <v>6308000</v>
      </c>
      <c r="U47" s="709"/>
      <c r="V47" s="332"/>
      <c r="W47" s="332"/>
      <c r="X47" s="512">
        <f>'2C Önk bev kiad fel'!R90</f>
        <v>0</v>
      </c>
    </row>
    <row r="48" spans="1:24" s="46" customFormat="1" x14ac:dyDescent="0.25">
      <c r="A48" s="378" t="s">
        <v>1078</v>
      </c>
      <c r="B48" s="299" t="s">
        <v>1082</v>
      </c>
      <c r="C48" s="709"/>
      <c r="D48" s="332"/>
      <c r="E48" s="332"/>
      <c r="F48" s="379">
        <f>'2C Önk bev kiad fel'!E92</f>
        <v>5000000</v>
      </c>
      <c r="G48" s="709"/>
      <c r="H48" s="332"/>
      <c r="I48" s="332"/>
      <c r="J48" s="512">
        <f>'2C Önk bev kiad fel'!I92</f>
        <v>5000000</v>
      </c>
      <c r="K48" s="709"/>
      <c r="L48" s="332"/>
      <c r="M48" s="332"/>
      <c r="N48" s="512">
        <f>'2C Önk bev kiad fel'!L92</f>
        <v>5000000</v>
      </c>
      <c r="O48" s="512">
        <f>'2C Önk bev kiad fel'!M92</f>
        <v>0</v>
      </c>
      <c r="P48" s="512">
        <f>'2C Önk bev kiad fel'!N92</f>
        <v>0</v>
      </c>
      <c r="Q48" s="709"/>
      <c r="R48" s="332"/>
      <c r="S48" s="332"/>
      <c r="T48" s="512">
        <f>'2C Önk bev kiad fel'!O92</f>
        <v>5000000</v>
      </c>
      <c r="U48" s="709"/>
      <c r="V48" s="332"/>
      <c r="W48" s="332"/>
      <c r="X48" s="512">
        <f>'2C Önk bev kiad fel'!R92</f>
        <v>3900000</v>
      </c>
    </row>
    <row r="49" spans="1:24" s="46" customFormat="1" x14ac:dyDescent="0.25">
      <c r="A49" s="378" t="s">
        <v>1079</v>
      </c>
      <c r="B49" s="299" t="s">
        <v>1084</v>
      </c>
      <c r="C49" s="709"/>
      <c r="D49" s="332"/>
      <c r="E49" s="332"/>
      <c r="F49" s="379">
        <f>'2C Önk bev kiad fel'!E94</f>
        <v>5810400</v>
      </c>
      <c r="G49" s="709"/>
      <c r="H49" s="332"/>
      <c r="I49" s="332"/>
      <c r="J49" s="512">
        <f>'2C Önk bev kiad fel'!I94</f>
        <v>5810400</v>
      </c>
      <c r="K49" s="709"/>
      <c r="L49" s="332"/>
      <c r="M49" s="332"/>
      <c r="N49" s="512">
        <f>'2C Önk bev kiad fel'!L94</f>
        <v>5810400</v>
      </c>
      <c r="O49" s="512">
        <f>'2C Önk bev kiad fel'!M94</f>
        <v>0</v>
      </c>
      <c r="P49" s="512">
        <f>'2C Önk bev kiad fel'!N94</f>
        <v>0</v>
      </c>
      <c r="Q49" s="709"/>
      <c r="R49" s="332"/>
      <c r="S49" s="332"/>
      <c r="T49" s="512">
        <f>'2C Önk bev kiad fel'!O94</f>
        <v>5810400</v>
      </c>
      <c r="U49" s="709"/>
      <c r="V49" s="332"/>
      <c r="W49" s="332"/>
      <c r="X49" s="512">
        <f>'2C Önk bev kiad fel'!R94</f>
        <v>2246400</v>
      </c>
    </row>
    <row r="50" spans="1:24" s="137" customFormat="1" x14ac:dyDescent="0.25">
      <c r="A50" s="378" t="s">
        <v>1081</v>
      </c>
      <c r="B50" s="300" t="s">
        <v>708</v>
      </c>
      <c r="C50" s="710"/>
      <c r="D50" s="333"/>
      <c r="E50" s="333"/>
      <c r="F50" s="302">
        <f>'2C Önk bev kiad fel'!E96</f>
        <v>1080000</v>
      </c>
      <c r="G50" s="710"/>
      <c r="H50" s="333"/>
      <c r="I50" s="333"/>
      <c r="J50" s="302">
        <f>'2C Önk bev kiad fel'!I96</f>
        <v>1080000</v>
      </c>
      <c r="K50" s="710"/>
      <c r="L50" s="333"/>
      <c r="M50" s="333"/>
      <c r="N50" s="302">
        <f>'2C Önk bev kiad fel'!L96</f>
        <v>1080000</v>
      </c>
      <c r="O50" s="302">
        <f>'2C Önk bev kiad fel'!M96</f>
        <v>0</v>
      </c>
      <c r="P50" s="302">
        <f>'2C Önk bev kiad fel'!N96</f>
        <v>0</v>
      </c>
      <c r="Q50" s="710"/>
      <c r="R50" s="333"/>
      <c r="S50" s="333"/>
      <c r="T50" s="302">
        <f>'2C Önk bev kiad fel'!O96</f>
        <v>1080000</v>
      </c>
      <c r="U50" s="710"/>
      <c r="V50" s="333"/>
      <c r="W50" s="333"/>
      <c r="X50" s="302">
        <f>'2C Önk bev kiad fel'!R96</f>
        <v>0</v>
      </c>
    </row>
    <row r="51" spans="1:24" s="46" customFormat="1" x14ac:dyDescent="0.25">
      <c r="A51" s="378" t="s">
        <v>1083</v>
      </c>
      <c r="B51" s="299" t="s">
        <v>709</v>
      </c>
      <c r="C51" s="709"/>
      <c r="D51" s="332"/>
      <c r="E51" s="332"/>
      <c r="F51" s="379">
        <f>'2C Önk bev kiad fel'!E98</f>
        <v>0</v>
      </c>
      <c r="G51" s="709"/>
      <c r="H51" s="332"/>
      <c r="I51" s="332"/>
      <c r="J51" s="512">
        <f>'2C Önk bev kiad fel'!I98</f>
        <v>0</v>
      </c>
      <c r="K51" s="709"/>
      <c r="L51" s="332"/>
      <c r="M51" s="332"/>
      <c r="N51" s="512">
        <f>'2C Önk bev kiad fel'!L98</f>
        <v>0</v>
      </c>
      <c r="O51" s="512">
        <f>'2C Önk bev kiad fel'!M98</f>
        <v>0</v>
      </c>
      <c r="P51" s="512">
        <f>'2C Önk bev kiad fel'!N98</f>
        <v>0</v>
      </c>
      <c r="Q51" s="709"/>
      <c r="R51" s="332"/>
      <c r="S51" s="332"/>
      <c r="T51" s="512">
        <f>'2C Önk bev kiad fel'!O98</f>
        <v>0</v>
      </c>
      <c r="U51" s="709"/>
      <c r="V51" s="332"/>
      <c r="W51" s="332"/>
      <c r="X51" s="512">
        <f>'2C Önk bev kiad fel'!R98</f>
        <v>0</v>
      </c>
    </row>
    <row r="52" spans="1:24" s="46" customFormat="1" x14ac:dyDescent="0.25">
      <c r="A52" s="378" t="s">
        <v>1085</v>
      </c>
      <c r="B52" s="299" t="s">
        <v>710</v>
      </c>
      <c r="C52" s="709"/>
      <c r="D52" s="332"/>
      <c r="E52" s="332"/>
      <c r="F52" s="379">
        <f>'2C Önk bev kiad fel'!E100</f>
        <v>2286000</v>
      </c>
      <c r="G52" s="709"/>
      <c r="H52" s="332"/>
      <c r="I52" s="332"/>
      <c r="J52" s="512">
        <f>'2C Önk bev kiad fel'!I100</f>
        <v>2286000</v>
      </c>
      <c r="K52" s="709"/>
      <c r="L52" s="332"/>
      <c r="M52" s="332"/>
      <c r="N52" s="512">
        <f>'2C Önk bev kiad fel'!L100</f>
        <v>2286000</v>
      </c>
      <c r="O52" s="512">
        <f>'2C Önk bev kiad fel'!M100</f>
        <v>0</v>
      </c>
      <c r="P52" s="512">
        <f>'2C Önk bev kiad fel'!N100</f>
        <v>0</v>
      </c>
      <c r="Q52" s="709"/>
      <c r="R52" s="332"/>
      <c r="S52" s="332"/>
      <c r="T52" s="512">
        <f>'2C Önk bev kiad fel'!O100</f>
        <v>2286000</v>
      </c>
      <c r="U52" s="709"/>
      <c r="V52" s="332"/>
      <c r="W52" s="332"/>
      <c r="X52" s="512">
        <f>'2C Önk bev kiad fel'!R100</f>
        <v>2286000</v>
      </c>
    </row>
    <row r="53" spans="1:24" s="46" customFormat="1" x14ac:dyDescent="0.25">
      <c r="A53" s="378" t="s">
        <v>1086</v>
      </c>
      <c r="B53" s="299" t="s">
        <v>711</v>
      </c>
      <c r="C53" s="709"/>
      <c r="D53" s="332"/>
      <c r="E53" s="332"/>
      <c r="F53" s="379">
        <f>'2C Önk bev kiad fel'!E102</f>
        <v>2420000</v>
      </c>
      <c r="G53" s="709"/>
      <c r="H53" s="332"/>
      <c r="I53" s="332"/>
      <c r="J53" s="512">
        <f>'2C Önk bev kiad fel'!I102</f>
        <v>2420000</v>
      </c>
      <c r="K53" s="709"/>
      <c r="L53" s="332"/>
      <c r="M53" s="332"/>
      <c r="N53" s="512">
        <f>'2C Önk bev kiad fel'!L102</f>
        <v>2420000</v>
      </c>
      <c r="O53" s="512">
        <f>'2C Önk bev kiad fel'!M102</f>
        <v>0</v>
      </c>
      <c r="P53" s="512">
        <f>'2C Önk bev kiad fel'!N102</f>
        <v>0</v>
      </c>
      <c r="Q53" s="709"/>
      <c r="R53" s="332"/>
      <c r="S53" s="332"/>
      <c r="T53" s="512">
        <f>'2C Önk bev kiad fel'!O102</f>
        <v>2420000</v>
      </c>
      <c r="U53" s="709"/>
      <c r="V53" s="332"/>
      <c r="W53" s="332"/>
      <c r="X53" s="512">
        <f>'2C Önk bev kiad fel'!R102</f>
        <v>2419608</v>
      </c>
    </row>
    <row r="54" spans="1:24" s="46" customFormat="1" x14ac:dyDescent="0.25">
      <c r="A54" s="378" t="s">
        <v>1087</v>
      </c>
      <c r="B54" s="299" t="s">
        <v>712</v>
      </c>
      <c r="C54" s="709"/>
      <c r="D54" s="332"/>
      <c r="E54" s="332"/>
      <c r="F54" s="379">
        <f>'2C Önk bev kiad fel'!E104</f>
        <v>2400000</v>
      </c>
      <c r="G54" s="709"/>
      <c r="H54" s="332"/>
      <c r="I54" s="332"/>
      <c r="J54" s="512">
        <f>'2C Önk bev kiad fel'!I104</f>
        <v>2400000</v>
      </c>
      <c r="K54" s="709"/>
      <c r="L54" s="332"/>
      <c r="M54" s="332"/>
      <c r="N54" s="512">
        <f>'2C Önk bev kiad fel'!L104</f>
        <v>2400000</v>
      </c>
      <c r="O54" s="512">
        <f>'2C Önk bev kiad fel'!M104</f>
        <v>0</v>
      </c>
      <c r="P54" s="512">
        <f>'2C Önk bev kiad fel'!N104</f>
        <v>0</v>
      </c>
      <c r="Q54" s="709"/>
      <c r="R54" s="332"/>
      <c r="S54" s="332"/>
      <c r="T54" s="512">
        <f>'2C Önk bev kiad fel'!O104</f>
        <v>2400000</v>
      </c>
      <c r="U54" s="709"/>
      <c r="V54" s="332"/>
      <c r="W54" s="332"/>
      <c r="X54" s="512">
        <f>'2C Önk bev kiad fel'!R104</f>
        <v>610200</v>
      </c>
    </row>
    <row r="55" spans="1:24" s="46" customFormat="1" x14ac:dyDescent="0.25">
      <c r="A55" s="378" t="s">
        <v>1088</v>
      </c>
      <c r="B55" s="299" t="s">
        <v>1091</v>
      </c>
      <c r="C55" s="709"/>
      <c r="D55" s="332"/>
      <c r="E55" s="332"/>
      <c r="F55" s="379">
        <f>'2C Önk bev kiad fel'!E106</f>
        <v>2540000</v>
      </c>
      <c r="G55" s="709"/>
      <c r="H55" s="332"/>
      <c r="I55" s="332"/>
      <c r="J55" s="512">
        <f>'2C Önk bev kiad fel'!I106</f>
        <v>2540000</v>
      </c>
      <c r="K55" s="709"/>
      <c r="L55" s="332"/>
      <c r="M55" s="332"/>
      <c r="N55" s="512">
        <f>'2C Önk bev kiad fel'!L106</f>
        <v>2540000</v>
      </c>
      <c r="O55" s="512">
        <f>'2C Önk bev kiad fel'!M106</f>
        <v>0</v>
      </c>
      <c r="P55" s="512">
        <f>'2C Önk bev kiad fel'!N106</f>
        <v>0</v>
      </c>
      <c r="Q55" s="709"/>
      <c r="R55" s="332"/>
      <c r="S55" s="332"/>
      <c r="T55" s="512">
        <f>'2C Önk bev kiad fel'!O106</f>
        <v>2540000</v>
      </c>
      <c r="U55" s="709"/>
      <c r="V55" s="332"/>
      <c r="W55" s="332"/>
      <c r="X55" s="512">
        <f>'2C Önk bev kiad fel'!R106</f>
        <v>0</v>
      </c>
    </row>
    <row r="56" spans="1:24" s="46" customFormat="1" x14ac:dyDescent="0.25">
      <c r="A56" s="378" t="s">
        <v>1089</v>
      </c>
      <c r="B56" s="299" t="s">
        <v>714</v>
      </c>
      <c r="C56" s="709"/>
      <c r="D56" s="332"/>
      <c r="E56" s="332"/>
      <c r="F56" s="379">
        <f>'2C Önk bev kiad fel'!E110</f>
        <v>17819045</v>
      </c>
      <c r="G56" s="709"/>
      <c r="H56" s="332"/>
      <c r="I56" s="332"/>
      <c r="J56" s="512">
        <f>'2C Önk bev kiad fel'!I110</f>
        <v>19446133</v>
      </c>
      <c r="K56" s="709"/>
      <c r="L56" s="332"/>
      <c r="M56" s="332"/>
      <c r="N56" s="512">
        <f>'2C Önk bev kiad fel'!L110</f>
        <v>19446133</v>
      </c>
      <c r="O56" s="512">
        <f>'2C Önk bev kiad fel'!M110</f>
        <v>0</v>
      </c>
      <c r="P56" s="512">
        <f>'2C Önk bev kiad fel'!N110</f>
        <v>0</v>
      </c>
      <c r="Q56" s="709"/>
      <c r="R56" s="332"/>
      <c r="S56" s="332"/>
      <c r="T56" s="512">
        <f>'2C Önk bev kiad fel'!O110</f>
        <v>19446133</v>
      </c>
      <c r="U56" s="709"/>
      <c r="V56" s="332"/>
      <c r="W56" s="332"/>
      <c r="X56" s="512">
        <f>'2C Önk bev kiad fel'!R110</f>
        <v>18413298</v>
      </c>
    </row>
    <row r="57" spans="1:24" s="137" customFormat="1" ht="30" x14ac:dyDescent="0.25">
      <c r="A57" s="378" t="s">
        <v>1090</v>
      </c>
      <c r="B57" s="300" t="s">
        <v>1369</v>
      </c>
      <c r="C57" s="710"/>
      <c r="D57" s="333"/>
      <c r="E57" s="333"/>
      <c r="F57" s="302">
        <f>'2C Önk bev kiad fel'!E115</f>
        <v>8163000</v>
      </c>
      <c r="G57" s="710"/>
      <c r="H57" s="333"/>
      <c r="I57" s="333"/>
      <c r="J57" s="302">
        <f>'2C Önk bev kiad fel'!I115</f>
        <v>8163000</v>
      </c>
      <c r="K57" s="710"/>
      <c r="L57" s="333"/>
      <c r="M57" s="333"/>
      <c r="N57" s="302">
        <f>'2C Önk bev kiad fel'!L115</f>
        <v>8163000</v>
      </c>
      <c r="O57" s="302">
        <f>'2C Önk bev kiad fel'!M115</f>
        <v>0</v>
      </c>
      <c r="P57" s="302">
        <f>'2C Önk bev kiad fel'!N115</f>
        <v>0</v>
      </c>
      <c r="Q57" s="710"/>
      <c r="R57" s="333"/>
      <c r="S57" s="333"/>
      <c r="T57" s="302">
        <f>'2C Önk bev kiad fel'!O115</f>
        <v>8163000</v>
      </c>
      <c r="U57" s="710"/>
      <c r="V57" s="333"/>
      <c r="W57" s="333"/>
      <c r="X57" s="302">
        <f>'2C Önk bev kiad fel'!R115</f>
        <v>8163000</v>
      </c>
    </row>
    <row r="58" spans="1:24" s="46" customFormat="1" x14ac:dyDescent="0.25">
      <c r="A58" s="378" t="s">
        <v>1092</v>
      </c>
      <c r="B58" s="299" t="s">
        <v>1095</v>
      </c>
      <c r="C58" s="709"/>
      <c r="D58" s="332"/>
      <c r="E58" s="332"/>
      <c r="F58" s="379">
        <f>'2C Önk bev kiad fel'!E117</f>
        <v>3024000</v>
      </c>
      <c r="G58" s="709"/>
      <c r="H58" s="332"/>
      <c r="I58" s="332"/>
      <c r="J58" s="512">
        <f>'2C Önk bev kiad fel'!I117</f>
        <v>3024000</v>
      </c>
      <c r="K58" s="709"/>
      <c r="L58" s="332"/>
      <c r="M58" s="332"/>
      <c r="N58" s="512">
        <f>'2C Önk bev kiad fel'!L117</f>
        <v>3024000</v>
      </c>
      <c r="O58" s="512">
        <f>'2C Önk bev kiad fel'!M117</f>
        <v>0</v>
      </c>
      <c r="P58" s="512">
        <f>'2C Önk bev kiad fel'!N117</f>
        <v>0</v>
      </c>
      <c r="Q58" s="709"/>
      <c r="R58" s="332"/>
      <c r="S58" s="332"/>
      <c r="T58" s="512">
        <f>'2C Önk bev kiad fel'!O117</f>
        <v>3024000</v>
      </c>
      <c r="U58" s="709"/>
      <c r="V58" s="332"/>
      <c r="W58" s="332"/>
      <c r="X58" s="512">
        <f>'2C Önk bev kiad fel'!R117</f>
        <v>0</v>
      </c>
    </row>
    <row r="59" spans="1:24" s="46" customFormat="1" x14ac:dyDescent="0.25">
      <c r="A59" s="378" t="s">
        <v>1093</v>
      </c>
      <c r="B59" s="365" t="s">
        <v>1345</v>
      </c>
      <c r="C59" s="709"/>
      <c r="D59" s="332"/>
      <c r="E59" s="332"/>
      <c r="F59" s="379">
        <f>'2C Önk bev kiad fel'!E120</f>
        <v>32945000</v>
      </c>
      <c r="G59" s="709"/>
      <c r="H59" s="332"/>
      <c r="I59" s="332"/>
      <c r="J59" s="512">
        <f>'2C Önk bev kiad fel'!I120</f>
        <v>32945000</v>
      </c>
      <c r="K59" s="709"/>
      <c r="L59" s="332"/>
      <c r="M59" s="332"/>
      <c r="N59" s="512">
        <f>'2C Önk bev kiad fel'!L120</f>
        <v>32945000</v>
      </c>
      <c r="O59" s="512">
        <f>'2C Önk bev kiad fel'!M120</f>
        <v>0</v>
      </c>
      <c r="P59" s="512">
        <f>'2C Önk bev kiad fel'!N120</f>
        <v>0</v>
      </c>
      <c r="Q59" s="709"/>
      <c r="R59" s="332"/>
      <c r="S59" s="332"/>
      <c r="T59" s="512">
        <f>'2C Önk bev kiad fel'!O120</f>
        <v>32945000</v>
      </c>
      <c r="U59" s="709"/>
      <c r="V59" s="332"/>
      <c r="W59" s="332"/>
      <c r="X59" s="512">
        <f>'2C Önk bev kiad fel'!R120</f>
        <v>32000000</v>
      </c>
    </row>
    <row r="60" spans="1:24" s="46" customFormat="1" x14ac:dyDescent="0.25">
      <c r="A60" s="378" t="s">
        <v>1094</v>
      </c>
      <c r="B60" s="299" t="s">
        <v>1099</v>
      </c>
      <c r="C60" s="709"/>
      <c r="D60" s="332"/>
      <c r="E60" s="332"/>
      <c r="F60" s="379">
        <f>'2C Önk bev kiad fel'!E124</f>
        <v>2000000</v>
      </c>
      <c r="G60" s="709"/>
      <c r="H60" s="332"/>
      <c r="I60" s="332"/>
      <c r="J60" s="512">
        <f>'2C Önk bev kiad fel'!I124</f>
        <v>2000000</v>
      </c>
      <c r="K60" s="709"/>
      <c r="L60" s="332"/>
      <c r="M60" s="332"/>
      <c r="N60" s="512">
        <f>'2C Önk bev kiad fel'!L124</f>
        <v>2000000</v>
      </c>
      <c r="O60" s="512">
        <f>'2C Önk bev kiad fel'!M124</f>
        <v>0</v>
      </c>
      <c r="P60" s="512">
        <f>'2C Önk bev kiad fel'!N124</f>
        <v>0</v>
      </c>
      <c r="Q60" s="709"/>
      <c r="R60" s="332"/>
      <c r="S60" s="332"/>
      <c r="T60" s="512">
        <f>'2C Önk bev kiad fel'!O124</f>
        <v>2100000</v>
      </c>
      <c r="U60" s="709"/>
      <c r="V60" s="332"/>
      <c r="W60" s="332"/>
      <c r="X60" s="512">
        <f>'2C Önk bev kiad fel'!R124</f>
        <v>2100000</v>
      </c>
    </row>
    <row r="61" spans="1:24" s="46" customFormat="1" x14ac:dyDescent="0.25">
      <c r="A61" s="378" t="s">
        <v>1096</v>
      </c>
      <c r="B61" s="299" t="s">
        <v>1101</v>
      </c>
      <c r="C61" s="709"/>
      <c r="D61" s="332"/>
      <c r="E61" s="332"/>
      <c r="F61" s="379">
        <f>'2C Önk bev kiad fel'!E126</f>
        <v>200000</v>
      </c>
      <c r="G61" s="709"/>
      <c r="H61" s="332"/>
      <c r="I61" s="332"/>
      <c r="J61" s="512">
        <f>'2C Önk bev kiad fel'!I126</f>
        <v>200000</v>
      </c>
      <c r="K61" s="709"/>
      <c r="L61" s="332"/>
      <c r="M61" s="332"/>
      <c r="N61" s="512">
        <f>'2C Önk bev kiad fel'!L126</f>
        <v>200000</v>
      </c>
      <c r="O61" s="512">
        <f>'2C Önk bev kiad fel'!M126</f>
        <v>0</v>
      </c>
      <c r="P61" s="512">
        <f>'2C Önk bev kiad fel'!N126</f>
        <v>0</v>
      </c>
      <c r="Q61" s="709"/>
      <c r="R61" s="332"/>
      <c r="S61" s="332"/>
      <c r="T61" s="512">
        <f>'2C Önk bev kiad fel'!O126</f>
        <v>200000</v>
      </c>
      <c r="U61" s="709"/>
      <c r="V61" s="332"/>
      <c r="W61" s="332"/>
      <c r="X61" s="512">
        <f>'2C Önk bev kiad fel'!R126</f>
        <v>200000</v>
      </c>
    </row>
    <row r="62" spans="1:24" s="46" customFormat="1" x14ac:dyDescent="0.25">
      <c r="A62" s="378" t="s">
        <v>1097</v>
      </c>
      <c r="B62" s="299" t="s">
        <v>726</v>
      </c>
      <c r="C62" s="709"/>
      <c r="D62" s="332"/>
      <c r="E62" s="332"/>
      <c r="F62" s="379">
        <f>'2C Önk bev kiad fel'!E128</f>
        <v>3000000</v>
      </c>
      <c r="G62" s="709"/>
      <c r="H62" s="332"/>
      <c r="I62" s="332"/>
      <c r="J62" s="512">
        <f>'2C Önk bev kiad fel'!I128</f>
        <v>3000000</v>
      </c>
      <c r="K62" s="709"/>
      <c r="L62" s="332"/>
      <c r="M62" s="332"/>
      <c r="N62" s="512">
        <f>'2C Önk bev kiad fel'!L128</f>
        <v>3000000</v>
      </c>
      <c r="O62" s="512">
        <f>'2C Önk bev kiad fel'!M128</f>
        <v>0</v>
      </c>
      <c r="P62" s="512">
        <f>'2C Önk bev kiad fel'!N128</f>
        <v>0</v>
      </c>
      <c r="Q62" s="709"/>
      <c r="R62" s="332"/>
      <c r="S62" s="332"/>
      <c r="T62" s="512">
        <f>'2C Önk bev kiad fel'!O128</f>
        <v>6000000</v>
      </c>
      <c r="U62" s="709"/>
      <c r="V62" s="332"/>
      <c r="W62" s="332"/>
      <c r="X62" s="512">
        <f>'2C Önk bev kiad fel'!R128</f>
        <v>5999994</v>
      </c>
    </row>
    <row r="63" spans="1:24" s="46" customFormat="1" x14ac:dyDescent="0.25">
      <c r="A63" s="378" t="s">
        <v>1098</v>
      </c>
      <c r="B63" s="299" t="s">
        <v>728</v>
      </c>
      <c r="C63" s="709"/>
      <c r="D63" s="332"/>
      <c r="E63" s="332"/>
      <c r="F63" s="379">
        <f>'2C Önk bev kiad fel'!E130</f>
        <v>5400000</v>
      </c>
      <c r="G63" s="709"/>
      <c r="H63" s="332"/>
      <c r="I63" s="332"/>
      <c r="J63" s="512">
        <f>'2C Önk bev kiad fel'!I130</f>
        <v>5400000</v>
      </c>
      <c r="K63" s="709"/>
      <c r="L63" s="332"/>
      <c r="M63" s="332"/>
      <c r="N63" s="512">
        <f>'2C Önk bev kiad fel'!L130</f>
        <v>5400000</v>
      </c>
      <c r="O63" s="512">
        <f>'2C Önk bev kiad fel'!M130</f>
        <v>0</v>
      </c>
      <c r="P63" s="512">
        <f>'2C Önk bev kiad fel'!N130</f>
        <v>0</v>
      </c>
      <c r="Q63" s="709"/>
      <c r="R63" s="332"/>
      <c r="S63" s="332"/>
      <c r="T63" s="512">
        <f>'2C Önk bev kiad fel'!O130</f>
        <v>6500000</v>
      </c>
      <c r="U63" s="709"/>
      <c r="V63" s="332"/>
      <c r="W63" s="332"/>
      <c r="X63" s="512">
        <f>'2C Önk bev kiad fel'!R130</f>
        <v>6500000</v>
      </c>
    </row>
    <row r="64" spans="1:24" s="46" customFormat="1" x14ac:dyDescent="0.25">
      <c r="A64" s="378" t="s">
        <v>1100</v>
      </c>
      <c r="B64" s="299" t="s">
        <v>730</v>
      </c>
      <c r="C64" s="709"/>
      <c r="D64" s="332"/>
      <c r="E64" s="332"/>
      <c r="F64" s="379">
        <f>'2C Önk bev kiad fel'!E132</f>
        <v>400000</v>
      </c>
      <c r="G64" s="709"/>
      <c r="H64" s="332"/>
      <c r="I64" s="332"/>
      <c r="J64" s="512">
        <f>'2C Önk bev kiad fel'!I132</f>
        <v>400000</v>
      </c>
      <c r="K64" s="709"/>
      <c r="L64" s="332"/>
      <c r="M64" s="332"/>
      <c r="N64" s="512">
        <f>'2C Önk bev kiad fel'!L132</f>
        <v>400000</v>
      </c>
      <c r="O64" s="512">
        <f>'2C Önk bev kiad fel'!M132</f>
        <v>0</v>
      </c>
      <c r="P64" s="512">
        <f>'2C Önk bev kiad fel'!N132</f>
        <v>0</v>
      </c>
      <c r="Q64" s="709"/>
      <c r="R64" s="332"/>
      <c r="S64" s="332"/>
      <c r="T64" s="512">
        <f>'2C Önk bev kiad fel'!O132</f>
        <v>400000</v>
      </c>
      <c r="U64" s="709"/>
      <c r="V64" s="332"/>
      <c r="W64" s="332"/>
      <c r="X64" s="512">
        <f>'2C Önk bev kiad fel'!R132</f>
        <v>400000</v>
      </c>
    </row>
    <row r="65" spans="1:24" s="46" customFormat="1" x14ac:dyDescent="0.25">
      <c r="A65" s="378" t="s">
        <v>1102</v>
      </c>
      <c r="B65" s="299" t="s">
        <v>1370</v>
      </c>
      <c r="C65" s="709"/>
      <c r="D65" s="332"/>
      <c r="E65" s="332"/>
      <c r="F65" s="379">
        <f>'2C Önk bev kiad fel'!E134</f>
        <v>81300000</v>
      </c>
      <c r="G65" s="709"/>
      <c r="H65" s="332"/>
      <c r="I65" s="332"/>
      <c r="J65" s="512">
        <f>'2C Önk bev kiad fel'!I134</f>
        <v>81300000</v>
      </c>
      <c r="K65" s="709"/>
      <c r="L65" s="332"/>
      <c r="M65" s="332"/>
      <c r="N65" s="512">
        <f>'2C Önk bev kiad fel'!L134</f>
        <v>81300000</v>
      </c>
      <c r="O65" s="512">
        <f>'2C Önk bev kiad fel'!M134</f>
        <v>0</v>
      </c>
      <c r="P65" s="512">
        <f>'2C Önk bev kiad fel'!N134</f>
        <v>0</v>
      </c>
      <c r="Q65" s="709"/>
      <c r="R65" s="332"/>
      <c r="S65" s="332"/>
      <c r="T65" s="512">
        <f>'2C Önk bev kiad fel'!O134</f>
        <v>88053967</v>
      </c>
      <c r="U65" s="709"/>
      <c r="V65" s="332"/>
      <c r="W65" s="332"/>
      <c r="X65" s="512">
        <f>'2C Önk bev kiad fel'!R134</f>
        <v>88053967</v>
      </c>
    </row>
    <row r="66" spans="1:24" s="46" customFormat="1" x14ac:dyDescent="0.25">
      <c r="A66" s="378" t="s">
        <v>1103</v>
      </c>
      <c r="B66" s="299" t="s">
        <v>733</v>
      </c>
      <c r="C66" s="709"/>
      <c r="D66" s="332"/>
      <c r="E66" s="332"/>
      <c r="F66" s="379">
        <f>'2C Önk bev kiad fel'!E137</f>
        <v>45380000</v>
      </c>
      <c r="G66" s="709"/>
      <c r="H66" s="332"/>
      <c r="I66" s="332"/>
      <c r="J66" s="512">
        <f>'2C Önk bev kiad fel'!I137</f>
        <v>46861000</v>
      </c>
      <c r="K66" s="709"/>
      <c r="L66" s="332"/>
      <c r="M66" s="332"/>
      <c r="N66" s="512">
        <f>'2C Önk bev kiad fel'!L137</f>
        <v>46861000</v>
      </c>
      <c r="O66" s="512">
        <f>'2C Önk bev kiad fel'!M137</f>
        <v>0</v>
      </c>
      <c r="P66" s="512">
        <f>'2C Önk bev kiad fel'!N137</f>
        <v>0</v>
      </c>
      <c r="Q66" s="709"/>
      <c r="R66" s="332"/>
      <c r="S66" s="332"/>
      <c r="T66" s="512">
        <f>'2C Önk bev kiad fel'!O137</f>
        <v>50642671</v>
      </c>
      <c r="U66" s="709"/>
      <c r="V66" s="332"/>
      <c r="W66" s="332"/>
      <c r="X66" s="512">
        <f>'2C Önk bev kiad fel'!R137</f>
        <v>46861004</v>
      </c>
    </row>
    <row r="67" spans="1:24" s="46" customFormat="1" x14ac:dyDescent="0.25">
      <c r="A67" s="378" t="s">
        <v>1104</v>
      </c>
      <c r="B67" s="299" t="s">
        <v>736</v>
      </c>
      <c r="C67" s="709"/>
      <c r="D67" s="332"/>
      <c r="E67" s="332"/>
      <c r="F67" s="379">
        <f>'2C Önk bev kiad fel'!E140</f>
        <v>6500000</v>
      </c>
      <c r="G67" s="709"/>
      <c r="H67" s="332"/>
      <c r="I67" s="332"/>
      <c r="J67" s="512">
        <f>'2C Önk bev kiad fel'!I140</f>
        <v>6200000</v>
      </c>
      <c r="K67" s="709"/>
      <c r="L67" s="332"/>
      <c r="M67" s="332"/>
      <c r="N67" s="512">
        <f>'2C Önk bev kiad fel'!L140</f>
        <v>6200000</v>
      </c>
      <c r="O67" s="512">
        <f>'2C Önk bev kiad fel'!M140</f>
        <v>0</v>
      </c>
      <c r="P67" s="512">
        <f>'2C Önk bev kiad fel'!N140</f>
        <v>0</v>
      </c>
      <c r="Q67" s="709"/>
      <c r="R67" s="332"/>
      <c r="S67" s="332"/>
      <c r="T67" s="512">
        <f>'2C Önk bev kiad fel'!O140</f>
        <v>11300000</v>
      </c>
      <c r="U67" s="709"/>
      <c r="V67" s="332"/>
      <c r="W67" s="332"/>
      <c r="X67" s="512">
        <f>'2C Önk bev kiad fel'!R140</f>
        <v>8540000</v>
      </c>
    </row>
    <row r="68" spans="1:24" s="46" customFormat="1" x14ac:dyDescent="0.25">
      <c r="A68" s="378" t="s">
        <v>1105</v>
      </c>
      <c r="B68" s="299" t="s">
        <v>1111</v>
      </c>
      <c r="C68" s="709"/>
      <c r="D68" s="332"/>
      <c r="E68" s="332"/>
      <c r="F68" s="379">
        <f>'2C Önk bev kiad fel'!E143</f>
        <v>2000000</v>
      </c>
      <c r="G68" s="709"/>
      <c r="H68" s="332"/>
      <c r="I68" s="332"/>
      <c r="J68" s="512">
        <f>'2C Önk bev kiad fel'!I143</f>
        <v>2000000</v>
      </c>
      <c r="K68" s="709"/>
      <c r="L68" s="332"/>
      <c r="M68" s="332"/>
      <c r="N68" s="512">
        <f>'2C Önk bev kiad fel'!L143</f>
        <v>2000000</v>
      </c>
      <c r="O68" s="512">
        <f>'2C Önk bev kiad fel'!M143</f>
        <v>0</v>
      </c>
      <c r="P68" s="512">
        <f>'2C Önk bev kiad fel'!N143</f>
        <v>0</v>
      </c>
      <c r="Q68" s="709"/>
      <c r="R68" s="332"/>
      <c r="S68" s="332"/>
      <c r="T68" s="512">
        <f>'2C Önk bev kiad fel'!O143</f>
        <v>2000000</v>
      </c>
      <c r="U68" s="709"/>
      <c r="V68" s="332"/>
      <c r="W68" s="332"/>
      <c r="X68" s="512">
        <f>'2C Önk bev kiad fel'!R143</f>
        <v>250000</v>
      </c>
    </row>
    <row r="69" spans="1:24" s="46" customFormat="1" x14ac:dyDescent="0.25">
      <c r="A69" s="378" t="s">
        <v>1106</v>
      </c>
      <c r="B69" s="299" t="s">
        <v>740</v>
      </c>
      <c r="C69" s="709"/>
      <c r="D69" s="332"/>
      <c r="E69" s="332"/>
      <c r="F69" s="379">
        <f>'2C Önk bev kiad fel'!E145</f>
        <v>41500000</v>
      </c>
      <c r="G69" s="709"/>
      <c r="H69" s="332"/>
      <c r="I69" s="332"/>
      <c r="J69" s="512">
        <f>'2C Önk bev kiad fel'!I145</f>
        <v>13300000</v>
      </c>
      <c r="K69" s="709"/>
      <c r="L69" s="332"/>
      <c r="M69" s="332"/>
      <c r="N69" s="512">
        <f>'2C Önk bev kiad fel'!L145</f>
        <v>13300000</v>
      </c>
      <c r="O69" s="512">
        <f>'2C Önk bev kiad fel'!M145</f>
        <v>0</v>
      </c>
      <c r="P69" s="512">
        <f>'2C Önk bev kiad fel'!N145</f>
        <v>0</v>
      </c>
      <c r="Q69" s="709"/>
      <c r="R69" s="332"/>
      <c r="S69" s="332"/>
      <c r="T69" s="512">
        <f>'2C Önk bev kiad fel'!O145</f>
        <v>24500000</v>
      </c>
      <c r="U69" s="709"/>
      <c r="V69" s="332"/>
      <c r="W69" s="332"/>
      <c r="X69" s="512">
        <f>'2C Önk bev kiad fel'!R145</f>
        <v>39100000</v>
      </c>
    </row>
    <row r="70" spans="1:24" s="46" customFormat="1" x14ac:dyDescent="0.25">
      <c r="A70" s="378" t="s">
        <v>1783</v>
      </c>
      <c r="B70" s="365" t="s">
        <v>1782</v>
      </c>
      <c r="C70" s="709"/>
      <c r="D70" s="332"/>
      <c r="E70" s="332"/>
      <c r="F70" s="512"/>
      <c r="G70" s="709"/>
      <c r="H70" s="332"/>
      <c r="I70" s="332"/>
      <c r="J70" s="512">
        <f>+'2C Önk bev kiad fel'!I148</f>
        <v>24000000</v>
      </c>
      <c r="K70" s="709"/>
      <c r="L70" s="332"/>
      <c r="M70" s="332"/>
      <c r="N70" s="512">
        <f>+'2C Önk bev kiad fel'!L148</f>
        <v>24000000</v>
      </c>
      <c r="O70" s="512">
        <f>+'2C Önk bev kiad fel'!M148</f>
        <v>0</v>
      </c>
      <c r="P70" s="512">
        <f>+'2C Önk bev kiad fel'!N148</f>
        <v>0</v>
      </c>
      <c r="Q70" s="709"/>
      <c r="R70" s="332"/>
      <c r="S70" s="332"/>
      <c r="T70" s="512">
        <f>+'2C Önk bev kiad fel'!O148</f>
        <v>24000000</v>
      </c>
      <c r="U70" s="709"/>
      <c r="V70" s="332"/>
      <c r="W70" s="332"/>
      <c r="X70" s="512">
        <f>+'2C Önk bev kiad fel'!R148</f>
        <v>0</v>
      </c>
    </row>
    <row r="71" spans="1:24" s="46" customFormat="1" x14ac:dyDescent="0.25">
      <c r="A71" s="378" t="s">
        <v>1107</v>
      </c>
      <c r="B71" s="299" t="s">
        <v>1115</v>
      </c>
      <c r="C71" s="709"/>
      <c r="D71" s="332"/>
      <c r="E71" s="332"/>
      <c r="F71" s="379">
        <f>'2C Önk bev kiad fel'!E151</f>
        <v>12600000</v>
      </c>
      <c r="G71" s="709"/>
      <c r="H71" s="332"/>
      <c r="I71" s="332"/>
      <c r="J71" s="512">
        <f>'2C Önk bev kiad fel'!I151</f>
        <v>12600000</v>
      </c>
      <c r="K71" s="709"/>
      <c r="L71" s="332"/>
      <c r="M71" s="332"/>
      <c r="N71" s="512">
        <f>'2C Önk bev kiad fel'!L151</f>
        <v>12600000</v>
      </c>
      <c r="O71" s="512">
        <f>'2C Önk bev kiad fel'!M151</f>
        <v>0</v>
      </c>
      <c r="P71" s="512">
        <f>'2C Önk bev kiad fel'!N151</f>
        <v>0</v>
      </c>
      <c r="Q71" s="709"/>
      <c r="R71" s="332"/>
      <c r="S71" s="332"/>
      <c r="T71" s="512">
        <f>'2C Önk bev kiad fel'!O151</f>
        <v>12600000</v>
      </c>
      <c r="U71" s="709"/>
      <c r="V71" s="332"/>
      <c r="W71" s="332"/>
      <c r="X71" s="512">
        <f>'2C Önk bev kiad fel'!R151</f>
        <v>12600000</v>
      </c>
    </row>
    <row r="72" spans="1:24" s="46" customFormat="1" x14ac:dyDescent="0.25">
      <c r="A72" s="378" t="s">
        <v>1108</v>
      </c>
      <c r="B72" s="299" t="s">
        <v>743</v>
      </c>
      <c r="C72" s="709"/>
      <c r="D72" s="332"/>
      <c r="E72" s="332"/>
      <c r="F72" s="379">
        <f>'2C Önk bev kiad fel'!E153</f>
        <v>3190000</v>
      </c>
      <c r="G72" s="709"/>
      <c r="H72" s="332"/>
      <c r="I72" s="332"/>
      <c r="J72" s="512">
        <f>'2C Önk bev kiad fel'!I153</f>
        <v>3687000</v>
      </c>
      <c r="K72" s="709"/>
      <c r="L72" s="332"/>
      <c r="M72" s="332"/>
      <c r="N72" s="512">
        <f>'2C Önk bev kiad fel'!L153</f>
        <v>3687000</v>
      </c>
      <c r="O72" s="512">
        <f>'2C Önk bev kiad fel'!M153</f>
        <v>0</v>
      </c>
      <c r="P72" s="512">
        <f>'2C Önk bev kiad fel'!N153</f>
        <v>0</v>
      </c>
      <c r="Q72" s="709"/>
      <c r="R72" s="332"/>
      <c r="S72" s="332"/>
      <c r="T72" s="512">
        <f>'2C Önk bev kiad fel'!O153</f>
        <v>3687000</v>
      </c>
      <c r="U72" s="709"/>
      <c r="V72" s="332"/>
      <c r="W72" s="332"/>
      <c r="X72" s="512">
        <f>'2C Önk bev kiad fel'!R153</f>
        <v>1249500</v>
      </c>
    </row>
    <row r="73" spans="1:24" s="46" customFormat="1" x14ac:dyDescent="0.25">
      <c r="A73" s="378" t="s">
        <v>1109</v>
      </c>
      <c r="B73" s="299" t="s">
        <v>745</v>
      </c>
      <c r="C73" s="709"/>
      <c r="D73" s="332"/>
      <c r="E73" s="332"/>
      <c r="F73" s="379">
        <f>'2C Önk bev kiad fel'!E155</f>
        <v>16000000</v>
      </c>
      <c r="G73" s="709"/>
      <c r="H73" s="332"/>
      <c r="I73" s="332"/>
      <c r="J73" s="512">
        <f>'2C Önk bev kiad fel'!I155</f>
        <v>16484500</v>
      </c>
      <c r="K73" s="709"/>
      <c r="L73" s="332"/>
      <c r="M73" s="332"/>
      <c r="N73" s="512">
        <f>'2C Önk bev kiad fel'!L155</f>
        <v>16484500</v>
      </c>
      <c r="O73" s="512">
        <f>'2C Önk bev kiad fel'!M155</f>
        <v>0</v>
      </c>
      <c r="P73" s="512">
        <f>'2C Önk bev kiad fel'!N155</f>
        <v>0</v>
      </c>
      <c r="Q73" s="709"/>
      <c r="R73" s="332"/>
      <c r="S73" s="332"/>
      <c r="T73" s="512">
        <f>'2C Önk bev kiad fel'!O155</f>
        <v>16484500</v>
      </c>
      <c r="U73" s="709"/>
      <c r="V73" s="332"/>
      <c r="W73" s="332"/>
      <c r="X73" s="512">
        <f>'2C Önk bev kiad fel'!R155</f>
        <v>7923374</v>
      </c>
    </row>
    <row r="74" spans="1:24" s="128" customFormat="1" x14ac:dyDescent="0.25">
      <c r="A74" s="378" t="s">
        <v>1110</v>
      </c>
      <c r="B74" s="299" t="s">
        <v>1118</v>
      </c>
      <c r="C74" s="709"/>
      <c r="D74" s="332"/>
      <c r="E74" s="332"/>
      <c r="F74" s="379">
        <f>'2C Önk bev kiad fel'!E158</f>
        <v>67457320</v>
      </c>
      <c r="G74" s="709"/>
      <c r="H74" s="332"/>
      <c r="I74" s="332"/>
      <c r="J74" s="512">
        <f>'2C Önk bev kiad fel'!I158</f>
        <v>75622087</v>
      </c>
      <c r="K74" s="709"/>
      <c r="L74" s="332"/>
      <c r="M74" s="332"/>
      <c r="N74" s="512">
        <f>'2C Önk bev kiad fel'!L158</f>
        <v>86598987</v>
      </c>
      <c r="O74" s="512">
        <f>'2C Önk bev kiad fel'!M158</f>
        <v>0</v>
      </c>
      <c r="P74" s="512">
        <f>'2C Önk bev kiad fel'!N158</f>
        <v>0</v>
      </c>
      <c r="Q74" s="709"/>
      <c r="R74" s="332"/>
      <c r="S74" s="332"/>
      <c r="T74" s="512">
        <f>'2C Önk bev kiad fel'!O158</f>
        <v>174438130</v>
      </c>
      <c r="U74" s="709"/>
      <c r="V74" s="332"/>
      <c r="W74" s="332"/>
      <c r="X74" s="512">
        <f>'2C Önk bev kiad fel'!R158</f>
        <v>47530412</v>
      </c>
    </row>
    <row r="75" spans="1:24" s="128" customFormat="1" x14ac:dyDescent="0.25">
      <c r="A75" s="378" t="s">
        <v>1113</v>
      </c>
      <c r="B75" s="299" t="s">
        <v>1487</v>
      </c>
      <c r="C75" s="709"/>
      <c r="D75" s="332"/>
      <c r="E75" s="332"/>
      <c r="F75" s="379">
        <f>'2C Önk bev kiad fel'!E166</f>
        <v>392408000</v>
      </c>
      <c r="G75" s="709"/>
      <c r="H75" s="332"/>
      <c r="I75" s="332"/>
      <c r="J75" s="512">
        <f>'2C Önk bev kiad fel'!I166</f>
        <v>619682477</v>
      </c>
      <c r="K75" s="709"/>
      <c r="L75" s="332"/>
      <c r="M75" s="332"/>
      <c r="N75" s="512">
        <f>'2C Önk bev kiad fel'!L166</f>
        <v>626999513</v>
      </c>
      <c r="O75" s="512">
        <f>'2C Önk bev kiad fel'!M166</f>
        <v>0</v>
      </c>
      <c r="P75" s="512">
        <f>'2C Önk bev kiad fel'!N166</f>
        <v>0</v>
      </c>
      <c r="Q75" s="709"/>
      <c r="R75" s="332"/>
      <c r="S75" s="332"/>
      <c r="T75" s="512">
        <f>'2C Önk bev kiad fel'!O166</f>
        <v>393225369</v>
      </c>
      <c r="U75" s="709"/>
      <c r="V75" s="332"/>
      <c r="W75" s="332"/>
      <c r="X75" s="512">
        <f>'2C Önk bev kiad fel'!R166</f>
        <v>80466960</v>
      </c>
    </row>
    <row r="76" spans="1:24" s="128" customFormat="1" x14ac:dyDescent="0.25">
      <c r="A76" s="378" t="s">
        <v>1114</v>
      </c>
      <c r="B76" s="299" t="s">
        <v>1121</v>
      </c>
      <c r="C76" s="332">
        <v>4.5</v>
      </c>
      <c r="D76" s="332"/>
      <c r="E76" s="332"/>
      <c r="F76" s="379">
        <f>+'3B PH fel'!F21+'3B PH fel'!F26</f>
        <v>31760000</v>
      </c>
      <c r="G76" s="332">
        <v>4.5</v>
      </c>
      <c r="H76" s="332"/>
      <c r="I76" s="332"/>
      <c r="J76" s="512">
        <f>+'3B PH fel'!J21+'3B PH fel'!J26</f>
        <v>31760000</v>
      </c>
      <c r="K76" s="332">
        <v>4.5</v>
      </c>
      <c r="L76" s="332"/>
      <c r="M76" s="332"/>
      <c r="N76" s="512">
        <f>+'3B PH fel'!N21+'3B PH fel'!N26</f>
        <v>31760000</v>
      </c>
      <c r="O76" s="512">
        <f>+'3B PH fel'!O21+'3B PH fel'!O26</f>
        <v>5</v>
      </c>
      <c r="P76" s="512">
        <f>+'3B PH fel'!P21+'3B PH fel'!P26</f>
        <v>0</v>
      </c>
      <c r="Q76" s="332">
        <v>4.5</v>
      </c>
      <c r="R76" s="332"/>
      <c r="S76" s="332"/>
      <c r="T76" s="512">
        <f>+'3B PH fel'!R21+'3B PH fel'!R26</f>
        <v>40995878</v>
      </c>
      <c r="U76" s="332">
        <v>4.5</v>
      </c>
      <c r="V76" s="332"/>
      <c r="W76" s="332"/>
      <c r="X76" s="512">
        <f>+'3B PH fel'!V21+'3B PH fel'!V26</f>
        <v>39919594</v>
      </c>
    </row>
    <row r="77" spans="1:24" s="128" customFormat="1" x14ac:dyDescent="0.25">
      <c r="A77" s="378" t="s">
        <v>1112</v>
      </c>
      <c r="B77" s="299" t="s">
        <v>656</v>
      </c>
      <c r="C77" s="709"/>
      <c r="D77" s="332"/>
      <c r="E77" s="332"/>
      <c r="F77" s="379">
        <f>'2C Önk bev kiad fel'!E186</f>
        <v>8512000</v>
      </c>
      <c r="G77" s="709"/>
      <c r="H77" s="332"/>
      <c r="I77" s="332"/>
      <c r="J77" s="512">
        <f>'2C Önk bev kiad fel'!I186</f>
        <v>8512000</v>
      </c>
      <c r="K77" s="709"/>
      <c r="L77" s="332"/>
      <c r="M77" s="332"/>
      <c r="N77" s="512">
        <f>'2C Önk bev kiad fel'!L186</f>
        <v>8512000</v>
      </c>
      <c r="O77" s="512">
        <f>'2C Önk bev kiad fel'!M186</f>
        <v>0</v>
      </c>
      <c r="P77" s="512">
        <f>'2C Önk bev kiad fel'!N186</f>
        <v>0</v>
      </c>
      <c r="Q77" s="709"/>
      <c r="R77" s="332"/>
      <c r="S77" s="332"/>
      <c r="T77" s="512">
        <f>'2C Önk bev kiad fel'!O186</f>
        <v>8512000</v>
      </c>
      <c r="U77" s="709"/>
      <c r="V77" s="332"/>
      <c r="W77" s="332"/>
      <c r="X77" s="512">
        <f>'2C Önk bev kiad fel'!R186</f>
        <v>1627601</v>
      </c>
    </row>
    <row r="78" spans="1:24" s="128" customFormat="1" x14ac:dyDescent="0.25">
      <c r="A78" s="378" t="s">
        <v>1116</v>
      </c>
      <c r="B78" s="299" t="s">
        <v>1663</v>
      </c>
      <c r="C78" s="709"/>
      <c r="D78" s="332"/>
      <c r="E78" s="332"/>
      <c r="F78" s="379">
        <f>'2C Önk bev kiad fel'!E173</f>
        <v>0</v>
      </c>
      <c r="G78" s="709"/>
      <c r="H78" s="332"/>
      <c r="I78" s="332"/>
      <c r="J78" s="512">
        <f>'2C Önk bev kiad fel'!I173</f>
        <v>0</v>
      </c>
      <c r="K78" s="709"/>
      <c r="L78" s="332"/>
      <c r="M78" s="332"/>
      <c r="N78" s="512">
        <f>'2C Önk bev kiad fel'!L173</f>
        <v>0</v>
      </c>
      <c r="O78" s="512">
        <f>'2C Önk bev kiad fel'!M173</f>
        <v>0</v>
      </c>
      <c r="P78" s="512">
        <f>'2C Önk bev kiad fel'!N173</f>
        <v>0</v>
      </c>
      <c r="Q78" s="709"/>
      <c r="R78" s="332"/>
      <c r="S78" s="332"/>
      <c r="T78" s="512">
        <f>'2C Önk bev kiad fel'!O173</f>
        <v>0</v>
      </c>
      <c r="U78" s="709"/>
      <c r="V78" s="332"/>
      <c r="W78" s="332"/>
      <c r="X78" s="512">
        <f>'2C Önk bev kiad fel'!R173</f>
        <v>0</v>
      </c>
    </row>
    <row r="79" spans="1:24" s="128" customFormat="1" x14ac:dyDescent="0.25">
      <c r="A79" s="378" t="s">
        <v>1117</v>
      </c>
      <c r="B79" s="299" t="s">
        <v>751</v>
      </c>
      <c r="C79" s="709"/>
      <c r="D79" s="332"/>
      <c r="E79" s="332"/>
      <c r="F79" s="379">
        <f>'2C Önk bev kiad fel'!E180</f>
        <v>30000000</v>
      </c>
      <c r="G79" s="709"/>
      <c r="H79" s="332"/>
      <c r="I79" s="332"/>
      <c r="J79" s="512">
        <f>'2C Önk bev kiad fel'!I180</f>
        <v>26000000</v>
      </c>
      <c r="K79" s="709"/>
      <c r="L79" s="332"/>
      <c r="M79" s="332"/>
      <c r="N79" s="512">
        <f>'2C Önk bev kiad fel'!L180</f>
        <v>26000000</v>
      </c>
      <c r="O79" s="512">
        <f>'2C Önk bev kiad fel'!M180</f>
        <v>0</v>
      </c>
      <c r="P79" s="512">
        <f>'2C Önk bev kiad fel'!N180</f>
        <v>0</v>
      </c>
      <c r="Q79" s="709"/>
      <c r="R79" s="332"/>
      <c r="S79" s="332"/>
      <c r="T79" s="512">
        <f>'2C Önk bev kiad fel'!O180</f>
        <v>19549836</v>
      </c>
      <c r="U79" s="709"/>
      <c r="V79" s="332"/>
      <c r="W79" s="332"/>
      <c r="X79" s="512">
        <f>'2C Önk bev kiad fel'!R180</f>
        <v>8794193</v>
      </c>
    </row>
    <row r="80" spans="1:24" s="128" customFormat="1" x14ac:dyDescent="0.25">
      <c r="A80" s="378" t="s">
        <v>1119</v>
      </c>
      <c r="B80" s="299" t="s">
        <v>1065</v>
      </c>
      <c r="C80" s="332">
        <v>1</v>
      </c>
      <c r="D80" s="332"/>
      <c r="E80" s="332"/>
      <c r="F80" s="379">
        <f>'5 GSZNR fel'!E103</f>
        <v>8757500</v>
      </c>
      <c r="G80" s="332">
        <v>1</v>
      </c>
      <c r="H80" s="332"/>
      <c r="I80" s="332"/>
      <c r="J80" s="512">
        <f>'5 GSZNR fel'!H103</f>
        <v>8757500</v>
      </c>
      <c r="K80" s="332">
        <v>1</v>
      </c>
      <c r="L80" s="332"/>
      <c r="M80" s="332"/>
      <c r="N80" s="512">
        <f>'5 GSZNR fel'!K103</f>
        <v>8757500</v>
      </c>
      <c r="O80" s="512">
        <f>'5 GSZNR fel'!L103</f>
        <v>1</v>
      </c>
      <c r="P80" s="512">
        <f>'5 GSZNR fel'!M103</f>
        <v>0</v>
      </c>
      <c r="Q80" s="332">
        <v>1</v>
      </c>
      <c r="R80" s="332"/>
      <c r="S80" s="332"/>
      <c r="T80" s="512">
        <f>'5 GSZNR fel'!N103</f>
        <v>9183314</v>
      </c>
      <c r="U80" s="332">
        <v>1</v>
      </c>
      <c r="V80" s="332"/>
      <c r="W80" s="332"/>
      <c r="X80" s="512">
        <f>'5 GSZNR fel'!Q103</f>
        <v>7541266</v>
      </c>
    </row>
    <row r="81" spans="1:24" s="128" customFormat="1" x14ac:dyDescent="0.25">
      <c r="A81" s="378" t="s">
        <v>1120</v>
      </c>
      <c r="B81" s="586" t="s">
        <v>1726</v>
      </c>
      <c r="C81" s="709"/>
      <c r="D81" s="332"/>
      <c r="E81" s="332"/>
      <c r="F81" s="379">
        <f>+'2C Önk bev kiad fel'!E216+'2C Önk bev kiad fel'!E212+'2C Önk bev kiad fel'!E210+'2C Önk bev kiad fel'!E206+'2C Önk bev kiad fel'!E202+'2C Önk bev kiad fel'!E220</f>
        <v>35635000</v>
      </c>
      <c r="G81" s="709"/>
      <c r="H81" s="332"/>
      <c r="I81" s="332"/>
      <c r="J81" s="512">
        <f>+'2C Önk bev kiad fel'!I216+'2C Önk bev kiad fel'!I212+'2C Önk bev kiad fel'!I210+'2C Önk bev kiad fel'!I206+'2C Önk bev kiad fel'!I202+'2C Önk bev kiad fel'!I220</f>
        <v>35635000</v>
      </c>
      <c r="K81" s="709"/>
      <c r="L81" s="332"/>
      <c r="M81" s="332"/>
      <c r="N81" s="512">
        <f>+'2C Önk bev kiad fel'!L216+'2C Önk bev kiad fel'!L212+'2C Önk bev kiad fel'!L210+'2C Önk bev kiad fel'!L206+'2C Önk bev kiad fel'!L202+'2C Önk bev kiad fel'!L220</f>
        <v>35635000</v>
      </c>
      <c r="O81" s="512">
        <f>+'2C Önk bev kiad fel'!M216+'2C Önk bev kiad fel'!M212+'2C Önk bev kiad fel'!M210+'2C Önk bev kiad fel'!M206+'2C Önk bev kiad fel'!M202+'2C Önk bev kiad fel'!M220</f>
        <v>0</v>
      </c>
      <c r="P81" s="512">
        <f>+'2C Önk bev kiad fel'!N216+'2C Önk bev kiad fel'!N212+'2C Önk bev kiad fel'!N210+'2C Önk bev kiad fel'!N206+'2C Önk bev kiad fel'!N202+'2C Önk bev kiad fel'!N220</f>
        <v>0</v>
      </c>
      <c r="Q81" s="709"/>
      <c r="R81" s="332"/>
      <c r="S81" s="332"/>
      <c r="T81" s="512">
        <f>+'2C Önk bev kiad fel'!O216+'2C Önk bev kiad fel'!O212+'2C Önk bev kiad fel'!O210+'2C Önk bev kiad fel'!O206+'2C Önk bev kiad fel'!O202+'2C Önk bev kiad fel'!O220</f>
        <v>35635000</v>
      </c>
      <c r="U81" s="709"/>
      <c r="V81" s="332"/>
      <c r="W81" s="332"/>
      <c r="X81" s="512">
        <f>+'2C Önk bev kiad fel'!R216+'2C Önk bev kiad fel'!R212+'2C Önk bev kiad fel'!R210+'2C Önk bev kiad fel'!R206+'2C Önk bev kiad fel'!R202+'2C Önk bev kiad fel'!R220</f>
        <v>831574</v>
      </c>
    </row>
    <row r="82" spans="1:24" s="128" customFormat="1" x14ac:dyDescent="0.25">
      <c r="A82" s="378" t="s">
        <v>1122</v>
      </c>
      <c r="B82" s="299" t="s">
        <v>1402</v>
      </c>
      <c r="C82" s="709"/>
      <c r="D82" s="332"/>
      <c r="E82" s="332"/>
      <c r="F82" s="379">
        <f>'2C Önk bev kiad fel'!E190</f>
        <v>80000000</v>
      </c>
      <c r="G82" s="709"/>
      <c r="H82" s="332"/>
      <c r="I82" s="332"/>
      <c r="J82" s="512">
        <f>'2C Önk bev kiad fel'!I190</f>
        <v>81324000</v>
      </c>
      <c r="K82" s="709"/>
      <c r="L82" s="332"/>
      <c r="M82" s="332"/>
      <c r="N82" s="512">
        <f>'2C Önk bev kiad fel'!L190</f>
        <v>81324000</v>
      </c>
      <c r="O82" s="512">
        <f>'2C Önk bev kiad fel'!M190</f>
        <v>0</v>
      </c>
      <c r="P82" s="512">
        <f>'2C Önk bev kiad fel'!N190</f>
        <v>0</v>
      </c>
      <c r="Q82" s="709"/>
      <c r="R82" s="332"/>
      <c r="S82" s="332"/>
      <c r="T82" s="512">
        <f>'2C Önk bev kiad fel'!O190</f>
        <v>141324000</v>
      </c>
      <c r="U82" s="709"/>
      <c r="V82" s="332"/>
      <c r="W82" s="332"/>
      <c r="X82" s="512">
        <f>'2C Önk bev kiad fel'!R190</f>
        <v>127769000</v>
      </c>
    </row>
    <row r="83" spans="1:24" s="128" customFormat="1" x14ac:dyDescent="0.25">
      <c r="A83" s="383" t="s">
        <v>1123</v>
      </c>
      <c r="B83" s="299" t="s">
        <v>1344</v>
      </c>
      <c r="C83" s="709"/>
      <c r="D83" s="332"/>
      <c r="E83" s="332"/>
      <c r="F83" s="379">
        <f>'2C Önk bev kiad fel'!E184</f>
        <v>5300000</v>
      </c>
      <c r="G83" s="709"/>
      <c r="H83" s="332"/>
      <c r="I83" s="332"/>
      <c r="J83" s="512">
        <f>'2C Önk bev kiad fel'!I184</f>
        <v>5300000</v>
      </c>
      <c r="K83" s="709"/>
      <c r="L83" s="332"/>
      <c r="M83" s="332"/>
      <c r="N83" s="512">
        <f>'2C Önk bev kiad fel'!L184</f>
        <v>5300000</v>
      </c>
      <c r="O83" s="512">
        <f>'2C Önk bev kiad fel'!M184</f>
        <v>0</v>
      </c>
      <c r="P83" s="512">
        <f>'2C Önk bev kiad fel'!N184</f>
        <v>0</v>
      </c>
      <c r="Q83" s="709"/>
      <c r="R83" s="332"/>
      <c r="S83" s="332"/>
      <c r="T83" s="512">
        <f>'2C Önk bev kiad fel'!O184</f>
        <v>5300000</v>
      </c>
      <c r="U83" s="709"/>
      <c r="V83" s="332"/>
      <c r="W83" s="332"/>
      <c r="X83" s="512">
        <f>'2C Önk bev kiad fel'!R184</f>
        <v>3331250</v>
      </c>
    </row>
    <row r="84" spans="1:24" s="128" customFormat="1" x14ac:dyDescent="0.25">
      <c r="A84" s="383" t="s">
        <v>1124</v>
      </c>
      <c r="B84" s="365" t="s">
        <v>1470</v>
      </c>
      <c r="C84" s="709"/>
      <c r="D84" s="332"/>
      <c r="E84" s="332"/>
      <c r="F84" s="379">
        <v>0</v>
      </c>
      <c r="G84" s="709"/>
      <c r="H84" s="332"/>
      <c r="I84" s="332"/>
      <c r="J84" s="512">
        <v>0</v>
      </c>
      <c r="K84" s="709"/>
      <c r="L84" s="332"/>
      <c r="M84" s="332"/>
      <c r="N84" s="512">
        <v>0</v>
      </c>
      <c r="O84" s="512">
        <v>0</v>
      </c>
      <c r="P84" s="512">
        <v>0</v>
      </c>
      <c r="Q84" s="709"/>
      <c r="R84" s="332"/>
      <c r="S84" s="332"/>
      <c r="T84" s="512">
        <v>0</v>
      </c>
      <c r="U84" s="709"/>
      <c r="V84" s="332"/>
      <c r="W84" s="332"/>
      <c r="X84" s="512">
        <v>0</v>
      </c>
    </row>
    <row r="85" spans="1:24" s="128" customFormat="1" ht="30" x14ac:dyDescent="0.25">
      <c r="A85" s="383" t="s">
        <v>1439</v>
      </c>
      <c r="B85" s="586" t="s">
        <v>1691</v>
      </c>
      <c r="C85" s="709"/>
      <c r="D85" s="332"/>
      <c r="E85" s="332"/>
      <c r="F85" s="379">
        <f>+'2C Önk bev kiad fel'!E223</f>
        <v>2160000</v>
      </c>
      <c r="G85" s="709"/>
      <c r="H85" s="332"/>
      <c r="I85" s="332"/>
      <c r="J85" s="512">
        <f>+'2C Önk bev kiad fel'!I223</f>
        <v>2160000</v>
      </c>
      <c r="K85" s="709"/>
      <c r="L85" s="332"/>
      <c r="M85" s="332"/>
      <c r="N85" s="512">
        <f>+'2C Önk bev kiad fel'!L223</f>
        <v>2160000</v>
      </c>
      <c r="O85" s="512">
        <f>+'2C Önk bev kiad fel'!M223</f>
        <v>0</v>
      </c>
      <c r="P85" s="512">
        <f>+'2C Önk bev kiad fel'!N223</f>
        <v>0</v>
      </c>
      <c r="Q85" s="709"/>
      <c r="R85" s="332"/>
      <c r="S85" s="332"/>
      <c r="T85" s="512">
        <f>+'2C Önk bev kiad fel'!O223</f>
        <v>2160000</v>
      </c>
      <c r="U85" s="709"/>
      <c r="V85" s="332"/>
      <c r="W85" s="332"/>
      <c r="X85" s="512">
        <f>+'2C Önk bev kiad fel'!R223</f>
        <v>0</v>
      </c>
    </row>
    <row r="86" spans="1:24" s="128" customFormat="1" x14ac:dyDescent="0.25">
      <c r="A86" s="383" t="s">
        <v>1692</v>
      </c>
      <c r="B86" s="586" t="s">
        <v>1693</v>
      </c>
      <c r="C86" s="709"/>
      <c r="D86" s="332"/>
      <c r="E86" s="332"/>
      <c r="F86" s="379">
        <f>+'2C Önk bev kiad fel'!E198</f>
        <v>1000000</v>
      </c>
      <c r="G86" s="709"/>
      <c r="H86" s="332"/>
      <c r="I86" s="332"/>
      <c r="J86" s="512">
        <f>+'2C Önk bev kiad fel'!I198</f>
        <v>1000000</v>
      </c>
      <c r="K86" s="709"/>
      <c r="L86" s="332"/>
      <c r="M86" s="332"/>
      <c r="N86" s="512">
        <f>+'2C Önk bev kiad fel'!L198</f>
        <v>1000000</v>
      </c>
      <c r="O86" s="512">
        <f>+'2C Önk bev kiad fel'!M198</f>
        <v>0</v>
      </c>
      <c r="P86" s="512">
        <f>+'2C Önk bev kiad fel'!N198</f>
        <v>0</v>
      </c>
      <c r="Q86" s="709"/>
      <c r="R86" s="332"/>
      <c r="S86" s="332"/>
      <c r="T86" s="512">
        <f>+'2C Önk bev kiad fel'!O198</f>
        <v>1000000</v>
      </c>
      <c r="U86" s="709"/>
      <c r="V86" s="332"/>
      <c r="W86" s="332"/>
      <c r="X86" s="512">
        <f>+'2C Önk bev kiad fel'!R198</f>
        <v>0</v>
      </c>
    </row>
    <row r="87" spans="1:24" s="128" customFormat="1" x14ac:dyDescent="0.25">
      <c r="A87" s="383" t="s">
        <v>1694</v>
      </c>
      <c r="B87" s="299" t="s">
        <v>1669</v>
      </c>
      <c r="C87" s="709"/>
      <c r="D87" s="332"/>
      <c r="E87" s="332"/>
      <c r="F87" s="379">
        <f>+'2C Önk bev kiad fel'!E194</f>
        <v>3000000</v>
      </c>
      <c r="G87" s="709"/>
      <c r="H87" s="332"/>
      <c r="I87" s="332"/>
      <c r="J87" s="512">
        <f>+'2C Önk bev kiad fel'!I194</f>
        <v>3000000</v>
      </c>
      <c r="K87" s="709"/>
      <c r="L87" s="332"/>
      <c r="M87" s="332"/>
      <c r="N87" s="512">
        <f>+'2C Önk bev kiad fel'!L194</f>
        <v>3000000</v>
      </c>
      <c r="O87" s="512">
        <f>+'2C Önk bev kiad fel'!M194</f>
        <v>0</v>
      </c>
      <c r="P87" s="512">
        <f>+'2C Önk bev kiad fel'!N194</f>
        <v>0</v>
      </c>
      <c r="Q87" s="709"/>
      <c r="R87" s="332"/>
      <c r="S87" s="332"/>
      <c r="T87" s="512">
        <f>+'2C Önk bev kiad fel'!O194</f>
        <v>3000000</v>
      </c>
      <c r="U87" s="709"/>
      <c r="V87" s="332"/>
      <c r="W87" s="332"/>
      <c r="X87" s="512">
        <f>+'2C Önk bev kiad fel'!R194</f>
        <v>0</v>
      </c>
    </row>
    <row r="88" spans="1:24" s="498" customFormat="1" x14ac:dyDescent="0.25">
      <c r="A88" s="383" t="s">
        <v>1765</v>
      </c>
      <c r="B88" s="376" t="s">
        <v>1763</v>
      </c>
      <c r="C88" s="709"/>
      <c r="D88" s="332"/>
      <c r="E88" s="332"/>
      <c r="F88" s="512"/>
      <c r="G88" s="709"/>
      <c r="H88" s="332"/>
      <c r="I88" s="332"/>
      <c r="J88" s="512">
        <f>+'2C Önk bev kiad fel'!I225</f>
        <v>31119415</v>
      </c>
      <c r="K88" s="709"/>
      <c r="L88" s="332"/>
      <c r="M88" s="332"/>
      <c r="N88" s="512">
        <f>+'2C Önk bev kiad fel'!L225</f>
        <v>51119415</v>
      </c>
      <c r="O88" s="512">
        <f>+'2C Önk bev kiad fel'!M225</f>
        <v>0</v>
      </c>
      <c r="P88" s="512">
        <f>+'2C Önk bev kiad fel'!N225</f>
        <v>0</v>
      </c>
      <c r="Q88" s="709"/>
      <c r="R88" s="332"/>
      <c r="S88" s="332"/>
      <c r="T88" s="512">
        <f>+'2C Önk bev kiad fel'!O225</f>
        <v>47296415</v>
      </c>
      <c r="U88" s="709"/>
      <c r="V88" s="332"/>
      <c r="W88" s="332"/>
      <c r="X88" s="512">
        <f>+'2C Önk bev kiad fel'!R225</f>
        <v>42398020</v>
      </c>
    </row>
    <row r="89" spans="1:24" x14ac:dyDescent="0.25">
      <c r="A89" s="322" t="s">
        <v>328</v>
      </c>
      <c r="B89" s="294" t="s">
        <v>657</v>
      </c>
      <c r="C89" s="708"/>
      <c r="D89" s="331"/>
      <c r="E89" s="331"/>
      <c r="F89" s="739">
        <f>SUM(F90:F91)</f>
        <v>1229000</v>
      </c>
      <c r="G89" s="708"/>
      <c r="H89" s="331"/>
      <c r="I89" s="331"/>
      <c r="J89" s="739">
        <f>SUM(J90:J91)</f>
        <v>1229000</v>
      </c>
      <c r="K89" s="708"/>
      <c r="L89" s="331"/>
      <c r="M89" s="331"/>
      <c r="N89" s="739">
        <f>SUM(N90:N91)</f>
        <v>1229000</v>
      </c>
      <c r="O89" s="739">
        <f>SUM(O90:O91)</f>
        <v>0</v>
      </c>
      <c r="P89" s="739">
        <f>SUM(P90:P91)</f>
        <v>0</v>
      </c>
      <c r="Q89" s="708"/>
      <c r="R89" s="331"/>
      <c r="S89" s="331"/>
      <c r="T89" s="739">
        <f>SUM(T90:T91)</f>
        <v>1229000</v>
      </c>
      <c r="U89" s="708"/>
      <c r="V89" s="331"/>
      <c r="W89" s="331"/>
      <c r="X89" s="739">
        <f>SUM(X90:X91)</f>
        <v>649416</v>
      </c>
    </row>
    <row r="90" spans="1:24" x14ac:dyDescent="0.25">
      <c r="A90" s="378" t="s">
        <v>1125</v>
      </c>
      <c r="B90" s="299" t="s">
        <v>1126</v>
      </c>
      <c r="C90" s="709"/>
      <c r="D90" s="334"/>
      <c r="E90" s="334"/>
      <c r="F90" s="379">
        <v>0</v>
      </c>
      <c r="G90" s="709"/>
      <c r="H90" s="334"/>
      <c r="I90" s="334"/>
      <c r="J90" s="512">
        <v>0</v>
      </c>
      <c r="K90" s="709"/>
      <c r="L90" s="334"/>
      <c r="M90" s="334"/>
      <c r="N90" s="512">
        <v>0</v>
      </c>
      <c r="O90" s="512">
        <v>0</v>
      </c>
      <c r="P90" s="512">
        <v>0</v>
      </c>
      <c r="Q90" s="709"/>
      <c r="R90" s="334"/>
      <c r="S90" s="334"/>
      <c r="T90" s="512">
        <v>0</v>
      </c>
      <c r="U90" s="709"/>
      <c r="V90" s="334"/>
      <c r="W90" s="334"/>
      <c r="X90" s="512">
        <v>0</v>
      </c>
    </row>
    <row r="91" spans="1:24" x14ac:dyDescent="0.25">
      <c r="A91" s="378" t="s">
        <v>1127</v>
      </c>
      <c r="B91" s="299" t="s">
        <v>613</v>
      </c>
      <c r="C91" s="709"/>
      <c r="D91" s="334"/>
      <c r="E91" s="334"/>
      <c r="F91" s="379">
        <f>'3B PH fel'!F34</f>
        <v>1229000</v>
      </c>
      <c r="G91" s="709"/>
      <c r="H91" s="334"/>
      <c r="I91" s="334"/>
      <c r="J91" s="512">
        <f>'3B PH fel'!J34</f>
        <v>1229000</v>
      </c>
      <c r="K91" s="709"/>
      <c r="L91" s="334"/>
      <c r="M91" s="334"/>
      <c r="N91" s="512">
        <f>'3B PH fel'!N34</f>
        <v>1229000</v>
      </c>
      <c r="O91" s="512">
        <f>'3B PH fel'!O34</f>
        <v>0</v>
      </c>
      <c r="P91" s="512">
        <f>'3B PH fel'!P34</f>
        <v>0</v>
      </c>
      <c r="Q91" s="709"/>
      <c r="R91" s="334"/>
      <c r="S91" s="334"/>
      <c r="T91" s="512">
        <f>'3B PH fel'!R34</f>
        <v>1229000</v>
      </c>
      <c r="U91" s="709"/>
      <c r="V91" s="334"/>
      <c r="W91" s="334"/>
      <c r="X91" s="512">
        <f>'3B PH fel'!V34</f>
        <v>649416</v>
      </c>
    </row>
    <row r="92" spans="1:24" x14ac:dyDescent="0.25">
      <c r="A92" s="322" t="s">
        <v>1128</v>
      </c>
      <c r="B92" s="294" t="s">
        <v>593</v>
      </c>
      <c r="C92" s="708"/>
      <c r="D92" s="331"/>
      <c r="E92" s="331"/>
      <c r="F92" s="739">
        <f>F93+F94+F95</f>
        <v>205461000</v>
      </c>
      <c r="G92" s="708"/>
      <c r="H92" s="331"/>
      <c r="I92" s="331"/>
      <c r="J92" s="739">
        <f>J93+J94+J95</f>
        <v>391915375</v>
      </c>
      <c r="K92" s="708"/>
      <c r="L92" s="331"/>
      <c r="M92" s="331"/>
      <c r="N92" s="739">
        <f>N93+N94+N95</f>
        <v>541975216</v>
      </c>
      <c r="O92" s="739">
        <f>O93+O94+O95</f>
        <v>0</v>
      </c>
      <c r="P92" s="739">
        <f>P93+P94+P95</f>
        <v>0</v>
      </c>
      <c r="Q92" s="708"/>
      <c r="R92" s="331"/>
      <c r="S92" s="331"/>
      <c r="T92" s="739">
        <f>T93+T94+T95</f>
        <v>799647487</v>
      </c>
      <c r="U92" s="708"/>
      <c r="V92" s="331"/>
      <c r="W92" s="331"/>
      <c r="X92" s="739">
        <f>X93+X94+X95</f>
        <v>759149545</v>
      </c>
    </row>
    <row r="93" spans="1:24" x14ac:dyDescent="0.25">
      <c r="A93" s="378" t="s">
        <v>1129</v>
      </c>
      <c r="B93" s="299" t="s">
        <v>1130</v>
      </c>
      <c r="C93" s="709"/>
      <c r="D93" s="334"/>
      <c r="E93" s="334"/>
      <c r="F93" s="379">
        <f>'2C Önk bev kiad fel'!E235</f>
        <v>180645000</v>
      </c>
      <c r="G93" s="709"/>
      <c r="H93" s="334"/>
      <c r="I93" s="334"/>
      <c r="J93" s="512">
        <f>'2C Önk bev kiad fel'!I235</f>
        <v>180645000</v>
      </c>
      <c r="K93" s="709"/>
      <c r="L93" s="334"/>
      <c r="M93" s="334"/>
      <c r="N93" s="512">
        <f>'2C Önk bev kiad fel'!L235</f>
        <v>180645000</v>
      </c>
      <c r="O93" s="512">
        <f>'2C Önk bev kiad fel'!M235</f>
        <v>0</v>
      </c>
      <c r="P93" s="512">
        <f>'2C Önk bev kiad fel'!N235</f>
        <v>0</v>
      </c>
      <c r="Q93" s="709"/>
      <c r="R93" s="334"/>
      <c r="S93" s="334"/>
      <c r="T93" s="512">
        <f>'2C Önk bev kiad fel'!O235</f>
        <v>180645156</v>
      </c>
      <c r="U93" s="709"/>
      <c r="V93" s="334"/>
      <c r="W93" s="334"/>
      <c r="X93" s="512">
        <f>'2C Önk bev kiad fel'!R235</f>
        <v>180645156</v>
      </c>
    </row>
    <row r="94" spans="1:24" x14ac:dyDescent="0.25">
      <c r="A94" s="378" t="s">
        <v>1131</v>
      </c>
      <c r="B94" s="299" t="s">
        <v>755</v>
      </c>
      <c r="C94" s="709"/>
      <c r="D94" s="334"/>
      <c r="E94" s="334"/>
      <c r="F94" s="379">
        <f>'2C Önk bev kiad fel'!E236</f>
        <v>0</v>
      </c>
      <c r="G94" s="709"/>
      <c r="H94" s="334"/>
      <c r="I94" s="334"/>
      <c r="J94" s="512">
        <f>'2C Önk bev kiad fel'!I236</f>
        <v>0</v>
      </c>
      <c r="K94" s="709"/>
      <c r="L94" s="334"/>
      <c r="M94" s="334"/>
      <c r="N94" s="512">
        <f>'2C Önk bev kiad fel'!L236</f>
        <v>0</v>
      </c>
      <c r="O94" s="512">
        <f>'2C Önk bev kiad fel'!M236</f>
        <v>0</v>
      </c>
      <c r="P94" s="512">
        <f>'2C Önk bev kiad fel'!N236</f>
        <v>0</v>
      </c>
      <c r="Q94" s="709"/>
      <c r="R94" s="334"/>
      <c r="S94" s="334"/>
      <c r="T94" s="512">
        <f>'2C Önk bev kiad fel'!O236</f>
        <v>0</v>
      </c>
      <c r="U94" s="709"/>
      <c r="V94" s="334"/>
      <c r="W94" s="334"/>
      <c r="X94" s="512">
        <f>'2C Önk bev kiad fel'!R236</f>
        <v>0</v>
      </c>
    </row>
    <row r="95" spans="1:24" x14ac:dyDescent="0.25">
      <c r="A95" s="378" t="s">
        <v>1132</v>
      </c>
      <c r="B95" s="299" t="s">
        <v>753</v>
      </c>
      <c r="C95" s="709"/>
      <c r="D95" s="334"/>
      <c r="E95" s="334"/>
      <c r="F95" s="379">
        <f>'2C Önk bev kiad fel'!E234</f>
        <v>24816000</v>
      </c>
      <c r="G95" s="709"/>
      <c r="H95" s="334"/>
      <c r="I95" s="334"/>
      <c r="J95" s="512">
        <f>'2C Önk bev kiad fel'!I234</f>
        <v>211270375</v>
      </c>
      <c r="K95" s="709"/>
      <c r="L95" s="334"/>
      <c r="M95" s="334"/>
      <c r="N95" s="512">
        <f>'2C Önk bev kiad fel'!L234</f>
        <v>361330216</v>
      </c>
      <c r="O95" s="512">
        <f>'2C Önk bev kiad fel'!M234</f>
        <v>0</v>
      </c>
      <c r="P95" s="512">
        <f>'2C Önk bev kiad fel'!N234</f>
        <v>0</v>
      </c>
      <c r="Q95" s="709"/>
      <c r="R95" s="334"/>
      <c r="S95" s="334"/>
      <c r="T95" s="512">
        <f>'2C Önk bev kiad fel'!O234</f>
        <v>619002331</v>
      </c>
      <c r="U95" s="709"/>
      <c r="V95" s="334"/>
      <c r="W95" s="334"/>
      <c r="X95" s="512">
        <f>'2C Önk bev kiad fel'!R234</f>
        <v>578504389</v>
      </c>
    </row>
    <row r="96" spans="1:24" x14ac:dyDescent="0.25">
      <c r="A96" s="366"/>
    </row>
    <row r="97" spans="1:15" x14ac:dyDescent="0.25">
      <c r="A97" s="366"/>
      <c r="O97">
        <v>1796008875</v>
      </c>
    </row>
    <row r="98" spans="1:15" x14ac:dyDescent="0.25">
      <c r="A98" s="366"/>
      <c r="O98">
        <v>894062050</v>
      </c>
    </row>
    <row r="99" spans="1:15" x14ac:dyDescent="0.25">
      <c r="A99" s="366"/>
      <c r="O99">
        <v>268404461</v>
      </c>
    </row>
    <row r="100" spans="1:15" x14ac:dyDescent="0.25">
      <c r="A100" s="366"/>
      <c r="O100">
        <v>21700708</v>
      </c>
    </row>
    <row r="101" spans="1:15" x14ac:dyDescent="0.25">
      <c r="A101" s="366"/>
      <c r="O101">
        <v>61937096</v>
      </c>
    </row>
    <row r="102" spans="1:15" x14ac:dyDescent="0.25">
      <c r="A102" s="366"/>
      <c r="O102">
        <v>118742649</v>
      </c>
    </row>
    <row r="103" spans="1:15" x14ac:dyDescent="0.25">
      <c r="A103" s="366"/>
      <c r="O103">
        <v>79588085</v>
      </c>
    </row>
    <row r="104" spans="1:15" x14ac:dyDescent="0.25">
      <c r="A104" s="366"/>
      <c r="O104">
        <v>14617462</v>
      </c>
    </row>
    <row r="105" spans="1:15" x14ac:dyDescent="0.25">
      <c r="A105" s="366"/>
      <c r="O105">
        <v>56473585</v>
      </c>
    </row>
    <row r="106" spans="1:15" x14ac:dyDescent="0.25">
      <c r="A106" s="366"/>
      <c r="O106">
        <v>48467081</v>
      </c>
    </row>
    <row r="107" spans="1:15" x14ac:dyDescent="0.25">
      <c r="A107" s="366"/>
      <c r="O107">
        <v>273888564</v>
      </c>
    </row>
    <row r="108" spans="1:15" x14ac:dyDescent="0.25">
      <c r="A108" s="366"/>
    </row>
    <row r="109" spans="1:15" x14ac:dyDescent="0.25">
      <c r="A109" s="366"/>
    </row>
    <row r="110" spans="1:15" x14ac:dyDescent="0.25">
      <c r="A110" s="366"/>
    </row>
    <row r="111" spans="1:15" x14ac:dyDescent="0.25">
      <c r="A111" s="366"/>
    </row>
    <row r="112" spans="1:15" x14ac:dyDescent="0.25">
      <c r="A112" s="366"/>
    </row>
    <row r="113" spans="1:1" x14ac:dyDescent="0.25">
      <c r="A113" s="366"/>
    </row>
    <row r="114" spans="1:1" x14ac:dyDescent="0.25">
      <c r="A114" s="366"/>
    </row>
    <row r="115" spans="1:1" x14ac:dyDescent="0.25">
      <c r="A115" s="366"/>
    </row>
    <row r="116" spans="1:1" x14ac:dyDescent="0.25">
      <c r="A116" s="366"/>
    </row>
    <row r="117" spans="1:1" x14ac:dyDescent="0.25">
      <c r="A117" s="366"/>
    </row>
    <row r="118" spans="1:1" x14ac:dyDescent="0.25">
      <c r="A118" s="366"/>
    </row>
    <row r="119" spans="1:1" x14ac:dyDescent="0.25">
      <c r="A119" s="366"/>
    </row>
    <row r="120" spans="1:1" x14ac:dyDescent="0.25">
      <c r="A120" s="366"/>
    </row>
    <row r="121" spans="1:1" x14ac:dyDescent="0.25">
      <c r="A121" s="366"/>
    </row>
    <row r="122" spans="1:1" x14ac:dyDescent="0.25">
      <c r="A122" s="366"/>
    </row>
    <row r="123" spans="1:1" x14ac:dyDescent="0.25">
      <c r="A123" s="366"/>
    </row>
    <row r="124" spans="1:1" x14ac:dyDescent="0.25">
      <c r="A124" s="366"/>
    </row>
    <row r="125" spans="1:1" x14ac:dyDescent="0.25">
      <c r="A125" s="366"/>
    </row>
    <row r="126" spans="1:1" x14ac:dyDescent="0.25">
      <c r="A126" s="366"/>
    </row>
    <row r="127" spans="1:1" x14ac:dyDescent="0.25">
      <c r="A127" s="366"/>
    </row>
    <row r="128" spans="1:1" x14ac:dyDescent="0.25">
      <c r="A128" s="366"/>
    </row>
    <row r="129" spans="1:1" x14ac:dyDescent="0.25">
      <c r="A129" s="366"/>
    </row>
    <row r="130" spans="1:1" x14ac:dyDescent="0.25">
      <c r="A130" s="366"/>
    </row>
    <row r="131" spans="1:1" x14ac:dyDescent="0.25">
      <c r="A131" s="366"/>
    </row>
    <row r="132" spans="1:1" x14ac:dyDescent="0.25">
      <c r="A132" s="366"/>
    </row>
    <row r="133" spans="1:1" x14ac:dyDescent="0.25">
      <c r="A133" s="366"/>
    </row>
    <row r="134" spans="1:1" x14ac:dyDescent="0.25">
      <c r="A134" s="366"/>
    </row>
    <row r="135" spans="1:1" x14ac:dyDescent="0.25">
      <c r="A135" s="366"/>
    </row>
    <row r="136" spans="1:1" x14ac:dyDescent="0.25">
      <c r="A136" s="366"/>
    </row>
    <row r="137" spans="1:1" x14ac:dyDescent="0.25">
      <c r="A137" s="366"/>
    </row>
    <row r="138" spans="1:1" x14ac:dyDescent="0.25">
      <c r="A138" s="366"/>
    </row>
    <row r="139" spans="1:1" x14ac:dyDescent="0.25">
      <c r="A139" s="366"/>
    </row>
    <row r="140" spans="1:1" x14ac:dyDescent="0.25">
      <c r="A140" s="366"/>
    </row>
    <row r="141" spans="1:1" x14ac:dyDescent="0.25">
      <c r="A141" s="366"/>
    </row>
    <row r="142" spans="1:1" x14ac:dyDescent="0.25">
      <c r="A142" s="366"/>
    </row>
    <row r="143" spans="1:1" x14ac:dyDescent="0.25">
      <c r="A143" s="366"/>
    </row>
    <row r="144" spans="1:1" x14ac:dyDescent="0.25">
      <c r="A144" s="366"/>
    </row>
    <row r="145" spans="1:1" x14ac:dyDescent="0.25">
      <c r="A145" s="366"/>
    </row>
    <row r="146" spans="1:1" x14ac:dyDescent="0.25">
      <c r="A146" s="366"/>
    </row>
    <row r="147" spans="1:1" x14ac:dyDescent="0.25">
      <c r="A147" s="366"/>
    </row>
    <row r="148" spans="1:1" x14ac:dyDescent="0.25">
      <c r="A148" s="366"/>
    </row>
    <row r="149" spans="1:1" x14ac:dyDescent="0.25">
      <c r="A149" s="366"/>
    </row>
    <row r="150" spans="1:1" x14ac:dyDescent="0.25">
      <c r="A150" s="366"/>
    </row>
    <row r="151" spans="1:1" x14ac:dyDescent="0.25">
      <c r="A151" s="366"/>
    </row>
    <row r="152" spans="1:1" x14ac:dyDescent="0.25">
      <c r="A152" s="366"/>
    </row>
    <row r="153" spans="1:1" x14ac:dyDescent="0.25">
      <c r="A153" s="366"/>
    </row>
    <row r="154" spans="1:1" x14ac:dyDescent="0.25">
      <c r="A154" s="366"/>
    </row>
    <row r="155" spans="1:1" x14ac:dyDescent="0.25">
      <c r="A155" s="366"/>
    </row>
    <row r="156" spans="1:1" x14ac:dyDescent="0.25">
      <c r="A156" s="366"/>
    </row>
    <row r="157" spans="1:1" x14ac:dyDescent="0.25">
      <c r="A157" s="366"/>
    </row>
    <row r="158" spans="1:1" x14ac:dyDescent="0.25">
      <c r="A158" s="366"/>
    </row>
    <row r="159" spans="1:1" x14ac:dyDescent="0.25">
      <c r="A159" s="366"/>
    </row>
    <row r="160" spans="1:1" x14ac:dyDescent="0.25">
      <c r="A160" s="366"/>
    </row>
    <row r="161" spans="1:1" x14ac:dyDescent="0.25">
      <c r="A161" s="366"/>
    </row>
    <row r="162" spans="1:1" x14ac:dyDescent="0.25">
      <c r="A162" s="366"/>
    </row>
    <row r="163" spans="1:1" x14ac:dyDescent="0.25">
      <c r="A163" s="366"/>
    </row>
    <row r="164" spans="1:1" x14ac:dyDescent="0.25">
      <c r="A164" s="366"/>
    </row>
    <row r="165" spans="1:1" x14ac:dyDescent="0.25">
      <c r="A165" s="366"/>
    </row>
    <row r="166" spans="1:1" x14ac:dyDescent="0.25">
      <c r="A166" s="366"/>
    </row>
    <row r="167" spans="1:1" x14ac:dyDescent="0.25">
      <c r="A167" s="366"/>
    </row>
    <row r="168" spans="1:1" x14ac:dyDescent="0.25">
      <c r="A168" s="366"/>
    </row>
    <row r="169" spans="1:1" x14ac:dyDescent="0.25">
      <c r="A169" s="366"/>
    </row>
    <row r="170" spans="1:1" x14ac:dyDescent="0.25">
      <c r="A170" s="366"/>
    </row>
    <row r="171" spans="1:1" x14ac:dyDescent="0.25">
      <c r="A171" s="366"/>
    </row>
    <row r="172" spans="1:1" x14ac:dyDescent="0.25">
      <c r="A172" s="366"/>
    </row>
    <row r="173" spans="1:1" x14ac:dyDescent="0.25">
      <c r="A173" s="366"/>
    </row>
    <row r="174" spans="1:1" x14ac:dyDescent="0.25">
      <c r="A174" s="366"/>
    </row>
    <row r="175" spans="1:1" x14ac:dyDescent="0.25">
      <c r="A175" s="366"/>
    </row>
    <row r="176" spans="1:1" x14ac:dyDescent="0.25">
      <c r="A176" s="366"/>
    </row>
    <row r="177" spans="1:1" x14ac:dyDescent="0.25">
      <c r="A177" s="366"/>
    </row>
    <row r="178" spans="1:1" x14ac:dyDescent="0.25">
      <c r="A178" s="366"/>
    </row>
    <row r="179" spans="1:1" x14ac:dyDescent="0.25">
      <c r="A179" s="366"/>
    </row>
    <row r="180" spans="1:1" x14ac:dyDescent="0.25">
      <c r="A180" s="366"/>
    </row>
    <row r="181" spans="1:1" x14ac:dyDescent="0.25">
      <c r="A181" s="366"/>
    </row>
    <row r="182" spans="1:1" x14ac:dyDescent="0.25">
      <c r="A182" s="366"/>
    </row>
    <row r="183" spans="1:1" x14ac:dyDescent="0.25">
      <c r="A183" s="366"/>
    </row>
    <row r="184" spans="1:1" x14ac:dyDescent="0.25">
      <c r="A184" s="366"/>
    </row>
    <row r="185" spans="1:1" x14ac:dyDescent="0.25">
      <c r="A185" s="366"/>
    </row>
    <row r="186" spans="1:1" x14ac:dyDescent="0.25">
      <c r="A186" s="366"/>
    </row>
    <row r="187" spans="1:1" x14ac:dyDescent="0.25">
      <c r="A187" s="366"/>
    </row>
    <row r="188" spans="1:1" x14ac:dyDescent="0.25">
      <c r="A188" s="366"/>
    </row>
    <row r="189" spans="1:1" x14ac:dyDescent="0.25">
      <c r="A189" s="366"/>
    </row>
    <row r="190" spans="1:1" x14ac:dyDescent="0.25">
      <c r="A190" s="366"/>
    </row>
    <row r="191" spans="1:1" x14ac:dyDescent="0.25">
      <c r="A191" s="366"/>
    </row>
    <row r="192" spans="1:1" x14ac:dyDescent="0.25">
      <c r="A192" s="366"/>
    </row>
    <row r="193" spans="1:1" x14ac:dyDescent="0.25">
      <c r="A193" s="366"/>
    </row>
    <row r="194" spans="1:1" x14ac:dyDescent="0.25">
      <c r="A194" s="366"/>
    </row>
    <row r="195" spans="1:1" x14ac:dyDescent="0.25">
      <c r="A195" s="366"/>
    </row>
    <row r="196" spans="1:1" x14ac:dyDescent="0.25">
      <c r="A196" s="366"/>
    </row>
    <row r="197" spans="1:1" x14ac:dyDescent="0.25">
      <c r="A197" s="366"/>
    </row>
    <row r="198" spans="1:1" x14ac:dyDescent="0.25">
      <c r="A198" s="366"/>
    </row>
    <row r="199" spans="1:1" x14ac:dyDescent="0.25">
      <c r="A199" s="366"/>
    </row>
    <row r="200" spans="1:1" x14ac:dyDescent="0.25">
      <c r="A200" s="366"/>
    </row>
    <row r="201" spans="1:1" x14ac:dyDescent="0.25">
      <c r="A201" s="366"/>
    </row>
    <row r="202" spans="1:1" x14ac:dyDescent="0.25">
      <c r="A202" s="366"/>
    </row>
    <row r="203" spans="1:1" x14ac:dyDescent="0.25">
      <c r="A203" s="366"/>
    </row>
    <row r="204" spans="1:1" x14ac:dyDescent="0.25">
      <c r="A204" s="366"/>
    </row>
    <row r="205" spans="1:1" x14ac:dyDescent="0.25">
      <c r="A205" s="366"/>
    </row>
    <row r="206" spans="1:1" x14ac:dyDescent="0.25">
      <c r="A206" s="366"/>
    </row>
    <row r="207" spans="1:1" x14ac:dyDescent="0.25">
      <c r="A207" s="366"/>
    </row>
    <row r="208" spans="1:1" x14ac:dyDescent="0.25">
      <c r="A208" s="366"/>
    </row>
    <row r="209" spans="1:1" x14ac:dyDescent="0.25">
      <c r="A209" s="366"/>
    </row>
    <row r="210" spans="1:1" x14ac:dyDescent="0.25">
      <c r="A210" s="366"/>
    </row>
    <row r="211" spans="1:1" x14ac:dyDescent="0.25">
      <c r="A211" s="366"/>
    </row>
    <row r="212" spans="1:1" x14ac:dyDescent="0.25">
      <c r="A212" s="366"/>
    </row>
    <row r="213" spans="1:1" x14ac:dyDescent="0.25">
      <c r="A213" s="366"/>
    </row>
    <row r="214" spans="1:1" x14ac:dyDescent="0.25">
      <c r="A214" s="366"/>
    </row>
    <row r="215" spans="1:1" x14ac:dyDescent="0.25">
      <c r="A215" s="366"/>
    </row>
    <row r="216" spans="1:1" x14ac:dyDescent="0.25">
      <c r="A216" s="366"/>
    </row>
    <row r="217" spans="1:1" x14ac:dyDescent="0.25">
      <c r="A217" s="366"/>
    </row>
    <row r="218" spans="1:1" x14ac:dyDescent="0.25">
      <c r="A218" s="366"/>
    </row>
    <row r="219" spans="1:1" x14ac:dyDescent="0.25">
      <c r="A219" s="366"/>
    </row>
    <row r="220" spans="1:1" x14ac:dyDescent="0.25">
      <c r="A220" s="366"/>
    </row>
    <row r="221" spans="1:1" x14ac:dyDescent="0.25">
      <c r="A221" s="366"/>
    </row>
    <row r="222" spans="1:1" x14ac:dyDescent="0.25">
      <c r="A222" s="366"/>
    </row>
    <row r="223" spans="1:1" x14ac:dyDescent="0.25">
      <c r="A223" s="366"/>
    </row>
    <row r="224" spans="1:1" x14ac:dyDescent="0.25">
      <c r="A224" s="366"/>
    </row>
    <row r="225" spans="1:1" x14ac:dyDescent="0.25">
      <c r="A225" s="366"/>
    </row>
    <row r="226" spans="1:1" x14ac:dyDescent="0.25">
      <c r="A226" s="366"/>
    </row>
    <row r="227" spans="1:1" x14ac:dyDescent="0.25">
      <c r="A227" s="366"/>
    </row>
    <row r="228" spans="1:1" x14ac:dyDescent="0.25">
      <c r="A228" s="366"/>
    </row>
    <row r="229" spans="1:1" x14ac:dyDescent="0.25">
      <c r="A229" s="366"/>
    </row>
    <row r="230" spans="1:1" x14ac:dyDescent="0.25">
      <c r="A230" s="366"/>
    </row>
    <row r="231" spans="1:1" x14ac:dyDescent="0.25">
      <c r="A231" s="366"/>
    </row>
    <row r="232" spans="1:1" x14ac:dyDescent="0.25">
      <c r="A232" s="366"/>
    </row>
    <row r="233" spans="1:1" x14ac:dyDescent="0.25">
      <c r="A233" s="366"/>
    </row>
    <row r="234" spans="1:1" x14ac:dyDescent="0.25">
      <c r="A234" s="366"/>
    </row>
    <row r="235" spans="1:1" x14ac:dyDescent="0.25">
      <c r="A235" s="366"/>
    </row>
    <row r="236" spans="1:1" x14ac:dyDescent="0.25">
      <c r="A236" s="366"/>
    </row>
    <row r="237" spans="1:1" x14ac:dyDescent="0.25">
      <c r="A237" s="366"/>
    </row>
    <row r="238" spans="1:1" x14ac:dyDescent="0.25">
      <c r="A238" s="366"/>
    </row>
    <row r="239" spans="1:1" x14ac:dyDescent="0.25">
      <c r="A239" s="366"/>
    </row>
    <row r="240" spans="1:1" x14ac:dyDescent="0.25">
      <c r="A240" s="366"/>
    </row>
    <row r="241" spans="1:1" x14ac:dyDescent="0.25">
      <c r="A241" s="366"/>
    </row>
    <row r="242" spans="1:1" x14ac:dyDescent="0.25">
      <c r="A242" s="366"/>
    </row>
    <row r="243" spans="1:1" x14ac:dyDescent="0.25">
      <c r="A243" s="366"/>
    </row>
    <row r="244" spans="1:1" x14ac:dyDescent="0.25">
      <c r="A244" s="366"/>
    </row>
    <row r="245" spans="1:1" x14ac:dyDescent="0.25">
      <c r="A245" s="366"/>
    </row>
    <row r="246" spans="1:1" x14ac:dyDescent="0.25">
      <c r="A246" s="366"/>
    </row>
    <row r="247" spans="1:1" x14ac:dyDescent="0.25">
      <c r="A247" s="366"/>
    </row>
    <row r="248" spans="1:1" x14ac:dyDescent="0.25">
      <c r="A248" s="366"/>
    </row>
    <row r="249" spans="1:1" x14ac:dyDescent="0.25">
      <c r="A249" s="366"/>
    </row>
    <row r="250" spans="1:1" x14ac:dyDescent="0.25">
      <c r="A250" s="366"/>
    </row>
    <row r="251" spans="1:1" x14ac:dyDescent="0.25">
      <c r="A251" s="366"/>
    </row>
    <row r="252" spans="1:1" x14ac:dyDescent="0.25">
      <c r="A252" s="366"/>
    </row>
    <row r="253" spans="1:1" x14ac:dyDescent="0.25">
      <c r="A253" s="366"/>
    </row>
    <row r="254" spans="1:1" x14ac:dyDescent="0.25">
      <c r="A254" s="366"/>
    </row>
    <row r="255" spans="1:1" x14ac:dyDescent="0.25">
      <c r="A255" s="366"/>
    </row>
    <row r="256" spans="1:1" x14ac:dyDescent="0.25">
      <c r="A256" s="366"/>
    </row>
    <row r="257" spans="1:1" x14ac:dyDescent="0.25">
      <c r="A257" s="366"/>
    </row>
    <row r="258" spans="1:1" x14ac:dyDescent="0.25">
      <c r="A258" s="366"/>
    </row>
    <row r="259" spans="1:1" x14ac:dyDescent="0.25">
      <c r="A259" s="366"/>
    </row>
    <row r="260" spans="1:1" x14ac:dyDescent="0.25">
      <c r="A260" s="366"/>
    </row>
    <row r="261" spans="1:1" x14ac:dyDescent="0.25">
      <c r="A261" s="366"/>
    </row>
    <row r="262" spans="1:1" x14ac:dyDescent="0.25">
      <c r="A262" s="366"/>
    </row>
    <row r="263" spans="1:1" x14ac:dyDescent="0.25">
      <c r="A263" s="366"/>
    </row>
    <row r="264" spans="1:1" x14ac:dyDescent="0.25">
      <c r="A264" s="366"/>
    </row>
    <row r="265" spans="1:1" x14ac:dyDescent="0.25">
      <c r="A265" s="366"/>
    </row>
    <row r="266" spans="1:1" x14ac:dyDescent="0.25">
      <c r="A266" s="366"/>
    </row>
    <row r="267" spans="1:1" x14ac:dyDescent="0.25">
      <c r="A267" s="366"/>
    </row>
    <row r="268" spans="1:1" x14ac:dyDescent="0.25">
      <c r="A268" s="366"/>
    </row>
    <row r="269" spans="1:1" x14ac:dyDescent="0.25">
      <c r="A269" s="366"/>
    </row>
    <row r="270" spans="1:1" x14ac:dyDescent="0.25">
      <c r="A270" s="366"/>
    </row>
    <row r="271" spans="1:1" x14ac:dyDescent="0.25">
      <c r="A271" s="366"/>
    </row>
    <row r="272" spans="1:1" x14ac:dyDescent="0.25">
      <c r="A272" s="366"/>
    </row>
    <row r="273" spans="1:1" x14ac:dyDescent="0.25">
      <c r="A273" s="366"/>
    </row>
    <row r="274" spans="1:1" x14ac:dyDescent="0.25">
      <c r="A274" s="366"/>
    </row>
    <row r="275" spans="1:1" x14ac:dyDescent="0.25">
      <c r="A275" s="366"/>
    </row>
  </sheetData>
  <mergeCells count="9">
    <mergeCell ref="Q3:T3"/>
    <mergeCell ref="U3:X3"/>
    <mergeCell ref="P2:P3"/>
    <mergeCell ref="C3:F3"/>
    <mergeCell ref="A2:A3"/>
    <mergeCell ref="B2:B3"/>
    <mergeCell ref="G3:J3"/>
    <mergeCell ref="O2:O3"/>
    <mergeCell ref="K3:N3"/>
  </mergeCells>
  <printOptions horizontalCentered="1"/>
  <pageMargins left="0.19685039370078741" right="0.19685039370078741" top="0.51181102362204722" bottom="0.43307086614173229" header="0.15748031496062992" footer="0.15748031496062992"/>
  <pageSetup paperSize="9" scale="75" fitToWidth="0" fitToHeight="0" pageOrder="overThenDown" orientation="portrait" r:id="rId1"/>
  <headerFooter>
    <oddHeader xml:space="preserve">&amp;L1/C.  melléklet a ......./2021. (.................) önkormányzati rendelethez&amp;C&amp;"-,Félkövér"&amp;16
Az Önkormányzat 2020. évi összevont kiadásai feladatonként részletes bontásban
</oddHeader>
    <oddFooter>&amp;C&amp;P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Z115"/>
  <sheetViews>
    <sheetView view="pageBreakPreview" zoomScale="87" zoomScaleNormal="100" zoomScaleSheetLayoutView="87" workbookViewId="0"/>
  </sheetViews>
  <sheetFormatPr defaultColWidth="9.140625" defaultRowHeight="15" x14ac:dyDescent="0.25"/>
  <cols>
    <col min="1" max="1" width="5.7109375" style="497" customWidth="1"/>
    <col min="2" max="2" width="53.7109375" style="498" customWidth="1"/>
    <col min="3" max="3" width="14.140625" style="498" hidden="1" customWidth="1"/>
    <col min="4" max="4" width="11.28515625" style="498" hidden="1" customWidth="1"/>
    <col min="5" max="5" width="9.7109375" style="498" hidden="1" customWidth="1"/>
    <col min="6" max="6" width="15.85546875" style="498" hidden="1" customWidth="1"/>
    <col min="7" max="7" width="14.140625" style="498" hidden="1" customWidth="1"/>
    <col min="8" max="8" width="11.28515625" style="498" hidden="1" customWidth="1"/>
    <col min="9" max="9" width="9.7109375" style="498" hidden="1" customWidth="1"/>
    <col min="10" max="10" width="15.85546875" style="498" hidden="1" customWidth="1"/>
    <col min="11" max="11" width="14.140625" style="498" bestFit="1" customWidth="1"/>
    <col min="12" max="12" width="11.28515625" style="498" bestFit="1" customWidth="1"/>
    <col min="13" max="13" width="9.7109375" style="498" customWidth="1"/>
    <col min="14" max="14" width="15.85546875" style="498" customWidth="1"/>
    <col min="15" max="15" width="14.140625" style="498" bestFit="1" customWidth="1"/>
    <col min="16" max="16" width="11.28515625" style="498" bestFit="1" customWidth="1"/>
    <col min="17" max="17" width="9.7109375" style="498" customWidth="1"/>
    <col min="18" max="18" width="15.85546875" style="498" customWidth="1"/>
    <col min="19" max="19" width="14.140625" style="498" hidden="1" customWidth="1"/>
    <col min="20" max="20" width="11.28515625" style="498" hidden="1" customWidth="1"/>
    <col min="21" max="21" width="9.7109375" style="498" hidden="1" customWidth="1"/>
    <col min="22" max="22" width="15.85546875" style="498" hidden="1" customWidth="1"/>
    <col min="23" max="23" width="12.42578125" style="498" hidden="1" customWidth="1"/>
    <col min="24" max="25" width="0" style="498" hidden="1" customWidth="1"/>
    <col min="26" max="26" width="12.42578125" style="498" bestFit="1" customWidth="1"/>
    <col min="27" max="16384" width="9.140625" style="498"/>
  </cols>
  <sheetData>
    <row r="1" spans="1:26" x14ac:dyDescent="0.25">
      <c r="F1" s="691"/>
      <c r="J1" s="691"/>
      <c r="N1" s="691"/>
      <c r="R1" s="691" t="s">
        <v>1662</v>
      </c>
    </row>
    <row r="2" spans="1:26" x14ac:dyDescent="0.25">
      <c r="A2" s="499" t="s">
        <v>468</v>
      </c>
      <c r="B2" s="775" t="s">
        <v>469</v>
      </c>
      <c r="C2" s="784"/>
      <c r="D2" s="785"/>
      <c r="E2" s="785"/>
      <c r="F2" s="823"/>
      <c r="G2" s="784"/>
      <c r="H2" s="785"/>
      <c r="I2" s="785"/>
      <c r="J2" s="823"/>
      <c r="K2" s="784"/>
      <c r="L2" s="785"/>
      <c r="M2" s="785"/>
      <c r="N2" s="823"/>
      <c r="O2" s="784"/>
      <c r="P2" s="785"/>
      <c r="Q2" s="785"/>
      <c r="R2" s="823"/>
      <c r="S2" s="784"/>
      <c r="T2" s="785"/>
      <c r="U2" s="785"/>
      <c r="V2" s="823"/>
    </row>
    <row r="3" spans="1:26" ht="30.4" customHeight="1" x14ac:dyDescent="0.25">
      <c r="A3" s="938" t="s">
        <v>305</v>
      </c>
      <c r="B3" s="951" t="s">
        <v>470</v>
      </c>
      <c r="C3" s="935" t="s">
        <v>1654</v>
      </c>
      <c r="D3" s="936"/>
      <c r="E3" s="936"/>
      <c r="F3" s="937"/>
      <c r="G3" s="935" t="s">
        <v>1760</v>
      </c>
      <c r="H3" s="936"/>
      <c r="I3" s="936"/>
      <c r="J3" s="937"/>
      <c r="K3" s="935" t="s">
        <v>1795</v>
      </c>
      <c r="L3" s="936"/>
      <c r="M3" s="936"/>
      <c r="N3" s="937"/>
      <c r="O3" s="935" t="s">
        <v>1803</v>
      </c>
      <c r="P3" s="936"/>
      <c r="Q3" s="936"/>
      <c r="R3" s="937"/>
      <c r="S3" s="935" t="s">
        <v>1808</v>
      </c>
      <c r="T3" s="936"/>
      <c r="U3" s="936"/>
      <c r="V3" s="937"/>
    </row>
    <row r="4" spans="1:26" ht="45" x14ac:dyDescent="0.25">
      <c r="A4" s="938"/>
      <c r="B4" s="951"/>
      <c r="C4" s="787" t="s">
        <v>1300</v>
      </c>
      <c r="D4" s="690" t="s">
        <v>1301</v>
      </c>
      <c r="E4" s="690" t="s">
        <v>1302</v>
      </c>
      <c r="F4" s="824" t="s">
        <v>550</v>
      </c>
      <c r="G4" s="787" t="s">
        <v>1300</v>
      </c>
      <c r="H4" s="690" t="s">
        <v>1301</v>
      </c>
      <c r="I4" s="690" t="s">
        <v>1302</v>
      </c>
      <c r="J4" s="824" t="s">
        <v>550</v>
      </c>
      <c r="K4" s="787" t="s">
        <v>1300</v>
      </c>
      <c r="L4" s="690" t="s">
        <v>1301</v>
      </c>
      <c r="M4" s="690" t="s">
        <v>1302</v>
      </c>
      <c r="N4" s="824" t="s">
        <v>550</v>
      </c>
      <c r="O4" s="787" t="s">
        <v>1300</v>
      </c>
      <c r="P4" s="690" t="s">
        <v>1301</v>
      </c>
      <c r="Q4" s="690" t="s">
        <v>1302</v>
      </c>
      <c r="R4" s="824" t="s">
        <v>550</v>
      </c>
      <c r="S4" s="787" t="s">
        <v>1300</v>
      </c>
      <c r="T4" s="690" t="s">
        <v>1301</v>
      </c>
      <c r="U4" s="690" t="s">
        <v>1302</v>
      </c>
      <c r="V4" s="824" t="s">
        <v>550</v>
      </c>
    </row>
    <row r="5" spans="1:26" x14ac:dyDescent="0.25">
      <c r="A5" s="500" t="s">
        <v>309</v>
      </c>
      <c r="B5" s="814" t="s">
        <v>310</v>
      </c>
      <c r="C5" s="825">
        <f>C6+C26+C43+C57</f>
        <v>4348056291</v>
      </c>
      <c r="D5" s="501">
        <f>D6+D26+D43+D57</f>
        <v>49236960</v>
      </c>
      <c r="E5" s="501">
        <f>E6+E26+E43+E57</f>
        <v>0</v>
      </c>
      <c r="F5" s="826">
        <f>SUM(C5:E5)</f>
        <v>4397293251</v>
      </c>
      <c r="G5" s="825">
        <f>G6+G26+G43+G57</f>
        <v>4383137064</v>
      </c>
      <c r="H5" s="501">
        <f>H6+H26+H43+H57</f>
        <v>49236960</v>
      </c>
      <c r="I5" s="501">
        <f>I6+I26+I43+I57</f>
        <v>0</v>
      </c>
      <c r="J5" s="826">
        <f t="shared" ref="J5:J14" si="0">SUM(G5:I5)</f>
        <v>4432374024</v>
      </c>
      <c r="K5" s="825">
        <f>K6+K26+K43+K57</f>
        <v>4366553678</v>
      </c>
      <c r="L5" s="501">
        <f>L6+L26+L43+L57</f>
        <v>49236960</v>
      </c>
      <c r="M5" s="501">
        <f>M6+M26+M43+M57</f>
        <v>0</v>
      </c>
      <c r="N5" s="826">
        <f t="shared" ref="N5:N15" si="1">SUM(K5:M5)</f>
        <v>4415790638</v>
      </c>
      <c r="O5" s="825">
        <f>O6+O26+O43+O57</f>
        <v>4421134437</v>
      </c>
      <c r="P5" s="501">
        <f>P6+P26+P43+P57</f>
        <v>50236960</v>
      </c>
      <c r="Q5" s="501">
        <f>Q6+Q26+Q43+Q57</f>
        <v>0</v>
      </c>
      <c r="R5" s="826">
        <f t="shared" ref="R5:R15" si="2">SUM(O5:Q5)</f>
        <v>4471371397</v>
      </c>
      <c r="S5" s="825">
        <f>S6+S26+S43+S57</f>
        <v>4452577265</v>
      </c>
      <c r="T5" s="501">
        <f>T6+T26+T43+T57</f>
        <v>47007114</v>
      </c>
      <c r="U5" s="501">
        <f>U6+U26+U43+U57</f>
        <v>0</v>
      </c>
      <c r="V5" s="826">
        <f t="shared" ref="V5:V15" si="3">SUM(S5:U5)</f>
        <v>4499584379</v>
      </c>
      <c r="Z5" s="515">
        <f t="shared" ref="Z5:Z68" si="4">+R5-N5</f>
        <v>55580759</v>
      </c>
    </row>
    <row r="6" spans="1:26" x14ac:dyDescent="0.25">
      <c r="A6" s="502" t="s">
        <v>311</v>
      </c>
      <c r="B6" s="815" t="s">
        <v>312</v>
      </c>
      <c r="C6" s="827">
        <f>C7+C16+C17+C18</f>
        <v>662169291</v>
      </c>
      <c r="D6" s="503">
        <f>D7+D16+D17+D18</f>
        <v>12600000</v>
      </c>
      <c r="E6" s="503">
        <f>E7+E16+E17+E18</f>
        <v>0</v>
      </c>
      <c r="F6" s="828">
        <f t="shared" ref="F6:F58" si="5">SUM(C6:E6)</f>
        <v>674769291</v>
      </c>
      <c r="G6" s="827">
        <f>G7+G16+G17+G18</f>
        <v>774800064</v>
      </c>
      <c r="H6" s="503">
        <f>H7+H16+H17+H18</f>
        <v>12600000</v>
      </c>
      <c r="I6" s="503">
        <f>I7+I16+I17+I18</f>
        <v>0</v>
      </c>
      <c r="J6" s="828">
        <f t="shared" si="0"/>
        <v>787400064</v>
      </c>
      <c r="K6" s="827">
        <f>K7+K16+K17+K18</f>
        <v>758216678</v>
      </c>
      <c r="L6" s="503">
        <f>L7+L16+L17+L18</f>
        <v>12600000</v>
      </c>
      <c r="M6" s="503">
        <f>M7+M16+M17+M18</f>
        <v>0</v>
      </c>
      <c r="N6" s="828">
        <f t="shared" si="1"/>
        <v>770816678</v>
      </c>
      <c r="O6" s="827">
        <f>O7+O16+O17+O18</f>
        <v>812797437</v>
      </c>
      <c r="P6" s="503">
        <f>P7+P16+P17+P18</f>
        <v>13600000</v>
      </c>
      <c r="Q6" s="503">
        <f>Q7+Q16+Q17+Q18</f>
        <v>0</v>
      </c>
      <c r="R6" s="828">
        <f t="shared" si="2"/>
        <v>826397437</v>
      </c>
      <c r="S6" s="827">
        <f>S7+S16+S17+S18</f>
        <v>816783782</v>
      </c>
      <c r="T6" s="503">
        <f>T7+T16+T17+T18</f>
        <v>13600000</v>
      </c>
      <c r="U6" s="503">
        <f>U7+U16+U17+U18</f>
        <v>0</v>
      </c>
      <c r="V6" s="828">
        <f t="shared" si="3"/>
        <v>830383782</v>
      </c>
      <c r="W6" s="515">
        <f>+R6-N6</f>
        <v>55580759</v>
      </c>
      <c r="Z6" s="515">
        <f t="shared" si="4"/>
        <v>55580759</v>
      </c>
    </row>
    <row r="7" spans="1:26" s="506" customFormat="1" x14ac:dyDescent="0.25">
      <c r="A7" s="504"/>
      <c r="B7" s="779" t="s">
        <v>471</v>
      </c>
      <c r="C7" s="829">
        <f>SUM(C8:C14)</f>
        <v>622169291</v>
      </c>
      <c r="D7" s="505">
        <f>SUM(D8:D14)</f>
        <v>12600000</v>
      </c>
      <c r="E7" s="505">
        <f>SUM(E8:E14)</f>
        <v>0</v>
      </c>
      <c r="F7" s="830">
        <f t="shared" si="5"/>
        <v>634769291</v>
      </c>
      <c r="G7" s="829">
        <f>SUM(G8:G14)</f>
        <v>633894289</v>
      </c>
      <c r="H7" s="505">
        <f>SUM(H8:H14)</f>
        <v>12600000</v>
      </c>
      <c r="I7" s="505">
        <f>SUM(I8:I14)</f>
        <v>0</v>
      </c>
      <c r="J7" s="830">
        <f t="shared" si="0"/>
        <v>646494289</v>
      </c>
      <c r="K7" s="829">
        <f>SUM(K8:K15)</f>
        <v>617406103</v>
      </c>
      <c r="L7" s="829">
        <f>SUM(L8:L15)</f>
        <v>12600000</v>
      </c>
      <c r="M7" s="505">
        <f>SUM(M8:M14)</f>
        <v>0</v>
      </c>
      <c r="N7" s="830">
        <f t="shared" si="1"/>
        <v>630006103</v>
      </c>
      <c r="O7" s="829">
        <f>SUM(O8:O15)</f>
        <v>650838362</v>
      </c>
      <c r="P7" s="829">
        <f>SUM(P8:P15)</f>
        <v>12600000</v>
      </c>
      <c r="Q7" s="505">
        <f>SUM(Q8:Q14)</f>
        <v>0</v>
      </c>
      <c r="R7" s="830">
        <f t="shared" si="2"/>
        <v>663438362</v>
      </c>
      <c r="S7" s="829">
        <f>SUM(S8:S15)</f>
        <v>650838362</v>
      </c>
      <c r="T7" s="829">
        <f>SUM(T8:T15)</f>
        <v>12600000</v>
      </c>
      <c r="U7" s="505">
        <f>SUM(U8:U14)</f>
        <v>0</v>
      </c>
      <c r="V7" s="830">
        <f t="shared" si="3"/>
        <v>663438362</v>
      </c>
      <c r="W7" s="515">
        <f t="shared" ref="W7:W16" si="6">+R7-N7</f>
        <v>33432259</v>
      </c>
      <c r="Z7" s="515">
        <f t="shared" si="4"/>
        <v>33432259</v>
      </c>
    </row>
    <row r="8" spans="1:26" s="506" customFormat="1" ht="30" x14ac:dyDescent="0.25">
      <c r="A8" s="504"/>
      <c r="B8" s="816" t="s">
        <v>472</v>
      </c>
      <c r="C8" s="831"/>
      <c r="D8" s="692"/>
      <c r="E8" s="692">
        <v>0</v>
      </c>
      <c r="F8" s="832">
        <f t="shared" si="5"/>
        <v>0</v>
      </c>
      <c r="G8" s="833">
        <f>121968+7520+7520+76963+30668</f>
        <v>244639</v>
      </c>
      <c r="H8" s="692"/>
      <c r="I8" s="692">
        <v>0</v>
      </c>
      <c r="J8" s="832">
        <f t="shared" si="0"/>
        <v>244639</v>
      </c>
      <c r="K8" s="833">
        <f>121968+7520+7520+76963+30668+30668+30668+30145</f>
        <v>336120</v>
      </c>
      <c r="L8" s="692"/>
      <c r="M8" s="692">
        <v>0</v>
      </c>
      <c r="N8" s="832">
        <f t="shared" si="1"/>
        <v>336120</v>
      </c>
      <c r="O8" s="833">
        <f>121968+7520+7520+76963+30668+30668+30668+30145+30145+30145+30145+30081</f>
        <v>456636</v>
      </c>
      <c r="P8" s="692"/>
      <c r="Q8" s="692">
        <v>0</v>
      </c>
      <c r="R8" s="832">
        <f t="shared" si="2"/>
        <v>456636</v>
      </c>
      <c r="S8" s="833">
        <v>456636</v>
      </c>
      <c r="T8" s="692"/>
      <c r="U8" s="692">
        <v>0</v>
      </c>
      <c r="V8" s="832">
        <f t="shared" si="3"/>
        <v>456636</v>
      </c>
      <c r="W8" s="515">
        <f t="shared" si="6"/>
        <v>120516</v>
      </c>
      <c r="Z8" s="515">
        <f t="shared" si="4"/>
        <v>120516</v>
      </c>
    </row>
    <row r="9" spans="1:26" s="506" customFormat="1" x14ac:dyDescent="0.25">
      <c r="A9" s="504"/>
      <c r="B9" s="816" t="s">
        <v>473</v>
      </c>
      <c r="C9" s="833">
        <f>323852000-323852000+323851820</f>
        <v>323851820</v>
      </c>
      <c r="D9" s="692"/>
      <c r="E9" s="692">
        <v>0</v>
      </c>
      <c r="F9" s="832">
        <f t="shared" si="5"/>
        <v>323851820</v>
      </c>
      <c r="G9" s="833">
        <f>323852000-323852000+323851820</f>
        <v>323851820</v>
      </c>
      <c r="H9" s="692"/>
      <c r="I9" s="692">
        <v>0</v>
      </c>
      <c r="J9" s="832">
        <f t="shared" si="0"/>
        <v>323851820</v>
      </c>
      <c r="K9" s="833">
        <f>323852000-323852000+323851820+42247240+119790</f>
        <v>366218850</v>
      </c>
      <c r="L9" s="692"/>
      <c r="M9" s="692">
        <v>0</v>
      </c>
      <c r="N9" s="832">
        <f t="shared" si="1"/>
        <v>366218850</v>
      </c>
      <c r="O9" s="833">
        <f>323852000-323852000+323851820+42247240+119790+6615384</f>
        <v>372834234</v>
      </c>
      <c r="P9" s="692"/>
      <c r="Q9" s="692">
        <v>0</v>
      </c>
      <c r="R9" s="832">
        <f t="shared" si="2"/>
        <v>372834234</v>
      </c>
      <c r="S9" s="833">
        <f>323852000-323852000+323851820+42247240+119790+6615384</f>
        <v>372834234</v>
      </c>
      <c r="T9" s="692"/>
      <c r="U9" s="692">
        <v>0</v>
      </c>
      <c r="V9" s="832">
        <f t="shared" si="3"/>
        <v>372834234</v>
      </c>
      <c r="W9" s="515">
        <f t="shared" si="6"/>
        <v>6615384</v>
      </c>
      <c r="Z9" s="515">
        <f t="shared" si="4"/>
        <v>6615384</v>
      </c>
    </row>
    <row r="10" spans="1:26" s="506" customFormat="1" ht="30" x14ac:dyDescent="0.25">
      <c r="A10" s="504"/>
      <c r="B10" s="816" t="s">
        <v>474</v>
      </c>
      <c r="C10" s="833">
        <f>278650000-278650000+10962000+8952360+62545400+197961619+10545</f>
        <v>280431924</v>
      </c>
      <c r="D10" s="692"/>
      <c r="E10" s="692">
        <v>0</v>
      </c>
      <c r="F10" s="832">
        <f t="shared" si="5"/>
        <v>280431924</v>
      </c>
      <c r="G10" s="833">
        <f>278650000-278650000+10962000+8952360+62545400+197961619+10545+1387998+1351859+2530639+1981890+1871545</f>
        <v>289555855</v>
      </c>
      <c r="H10" s="692"/>
      <c r="I10" s="692">
        <v>0</v>
      </c>
      <c r="J10" s="832">
        <f t="shared" si="0"/>
        <v>289555855</v>
      </c>
      <c r="K10" s="833">
        <f>278650000-278650000+10962000+8952360+62545400+197961619+10545+1387998+1351859+2530639+1981890+1871545+1818573+1939471+1739969-78102391-3116000+42180</f>
        <v>213877657</v>
      </c>
      <c r="L10" s="692"/>
      <c r="M10" s="692">
        <v>0</v>
      </c>
      <c r="N10" s="832">
        <f t="shared" si="1"/>
        <v>213877657</v>
      </c>
      <c r="O10" s="833">
        <f>278650000-278650000+10962000+8952360+62545400+197961619+10545+1387998+1351859+2530639+1981890+1871545+1818573+1939471+1739969-78102391-3116000+42180+1699709+1826878+1834476+1784855+923400+16070940+248456</f>
        <v>238266371</v>
      </c>
      <c r="P10" s="692"/>
      <c r="Q10" s="692">
        <v>0</v>
      </c>
      <c r="R10" s="832">
        <f t="shared" si="2"/>
        <v>238266371</v>
      </c>
      <c r="S10" s="833">
        <v>238266371</v>
      </c>
      <c r="T10" s="692"/>
      <c r="U10" s="692">
        <v>0</v>
      </c>
      <c r="V10" s="832">
        <f t="shared" si="3"/>
        <v>238266371</v>
      </c>
      <c r="W10" s="515">
        <f t="shared" si="6"/>
        <v>24388714</v>
      </c>
      <c r="Z10" s="515">
        <f t="shared" si="4"/>
        <v>24388714</v>
      </c>
    </row>
    <row r="11" spans="1:26" s="506" customFormat="1" x14ac:dyDescent="0.25">
      <c r="A11" s="504"/>
      <c r="B11" s="816" t="s">
        <v>475</v>
      </c>
      <c r="C11" s="833">
        <f>17885000-17885000+17885547</f>
        <v>17885547</v>
      </c>
      <c r="D11" s="692">
        <v>12600000</v>
      </c>
      <c r="E11" s="692">
        <v>0</v>
      </c>
      <c r="F11" s="832">
        <f t="shared" si="5"/>
        <v>30485547</v>
      </c>
      <c r="G11" s="833">
        <f>17885000-17885000+17885547+455010+463455+458911+499534+479518</f>
        <v>20241975</v>
      </c>
      <c r="H11" s="692">
        <v>12600000</v>
      </c>
      <c r="I11" s="692">
        <v>0</v>
      </c>
      <c r="J11" s="832">
        <f t="shared" si="0"/>
        <v>32841975</v>
      </c>
      <c r="K11" s="833">
        <f>17885000-17885000+17885547+455010+463455+458911+499534+479518+479523+479877+471706</f>
        <v>21673081</v>
      </c>
      <c r="L11" s="692">
        <v>12600000</v>
      </c>
      <c r="M11" s="692">
        <v>0</v>
      </c>
      <c r="N11" s="832">
        <f t="shared" si="1"/>
        <v>34273081</v>
      </c>
      <c r="O11" s="833">
        <f>17885000-17885000+17885547+455010+463455+458911+499534+479518+479523+479877+471706+471706+465619+465660+465660</f>
        <v>23541726</v>
      </c>
      <c r="P11" s="692">
        <v>12600000</v>
      </c>
      <c r="Q11" s="692">
        <v>0</v>
      </c>
      <c r="R11" s="832">
        <f t="shared" si="2"/>
        <v>36141726</v>
      </c>
      <c r="S11" s="833">
        <v>23541726</v>
      </c>
      <c r="T11" s="692">
        <v>12600000</v>
      </c>
      <c r="U11" s="692">
        <v>0</v>
      </c>
      <c r="V11" s="832">
        <f t="shared" si="3"/>
        <v>36141726</v>
      </c>
      <c r="W11" s="515">
        <f t="shared" si="6"/>
        <v>1868645</v>
      </c>
      <c r="Z11" s="515">
        <f t="shared" si="4"/>
        <v>1868645</v>
      </c>
    </row>
    <row r="12" spans="1:26" x14ac:dyDescent="0.25">
      <c r="A12" s="504"/>
      <c r="B12" s="816" t="s">
        <v>476</v>
      </c>
      <c r="C12" s="834"/>
      <c r="D12" s="693"/>
      <c r="E12" s="693">
        <v>0</v>
      </c>
      <c r="F12" s="835">
        <f t="shared" si="5"/>
        <v>0</v>
      </c>
      <c r="G12" s="834"/>
      <c r="H12" s="693"/>
      <c r="I12" s="693">
        <v>0</v>
      </c>
      <c r="J12" s="835">
        <f t="shared" si="0"/>
        <v>0</v>
      </c>
      <c r="K12" s="834"/>
      <c r="L12" s="693"/>
      <c r="M12" s="693">
        <v>0</v>
      </c>
      <c r="N12" s="835">
        <f t="shared" si="1"/>
        <v>0</v>
      </c>
      <c r="O12" s="834"/>
      <c r="P12" s="693"/>
      <c r="Q12" s="693">
        <v>0</v>
      </c>
      <c r="R12" s="835">
        <f t="shared" si="2"/>
        <v>0</v>
      </c>
      <c r="S12" s="834"/>
      <c r="T12" s="693"/>
      <c r="U12" s="693">
        <v>0</v>
      </c>
      <c r="V12" s="835">
        <f t="shared" si="3"/>
        <v>0</v>
      </c>
      <c r="W12" s="515">
        <f t="shared" si="6"/>
        <v>0</v>
      </c>
      <c r="Z12" s="515">
        <f t="shared" si="4"/>
        <v>0</v>
      </c>
    </row>
    <row r="13" spans="1:26" ht="15.75" customHeight="1" x14ac:dyDescent="0.25">
      <c r="A13" s="504"/>
      <c r="B13" s="816" t="s">
        <v>477</v>
      </c>
      <c r="C13" s="834"/>
      <c r="D13" s="693"/>
      <c r="E13" s="693">
        <v>0</v>
      </c>
      <c r="F13" s="835">
        <f t="shared" si="5"/>
        <v>0</v>
      </c>
      <c r="G13" s="834"/>
      <c r="H13" s="693"/>
      <c r="I13" s="693">
        <v>0</v>
      </c>
      <c r="J13" s="835">
        <f t="shared" si="0"/>
        <v>0</v>
      </c>
      <c r="K13" s="834">
        <v>313000</v>
      </c>
      <c r="L13" s="693"/>
      <c r="M13" s="693">
        <v>0</v>
      </c>
      <c r="N13" s="835">
        <f t="shared" si="1"/>
        <v>313000</v>
      </c>
      <c r="O13" s="834">
        <f>313000+439000</f>
        <v>752000</v>
      </c>
      <c r="P13" s="693"/>
      <c r="Q13" s="693">
        <v>0</v>
      </c>
      <c r="R13" s="835">
        <f t="shared" si="2"/>
        <v>752000</v>
      </c>
      <c r="S13" s="834">
        <v>752000</v>
      </c>
      <c r="T13" s="693"/>
      <c r="U13" s="693">
        <v>0</v>
      </c>
      <c r="V13" s="835">
        <f t="shared" si="3"/>
        <v>752000</v>
      </c>
      <c r="W13" s="515">
        <f t="shared" si="6"/>
        <v>439000</v>
      </c>
      <c r="Z13" s="515">
        <f t="shared" si="4"/>
        <v>439000</v>
      </c>
    </row>
    <row r="14" spans="1:26" x14ac:dyDescent="0.25">
      <c r="A14" s="504"/>
      <c r="B14" s="816" t="s">
        <v>478</v>
      </c>
      <c r="C14" s="834"/>
      <c r="D14" s="693"/>
      <c r="E14" s="693">
        <v>0</v>
      </c>
      <c r="F14" s="835">
        <f t="shared" si="5"/>
        <v>0</v>
      </c>
      <c r="G14" s="834"/>
      <c r="H14" s="693"/>
      <c r="I14" s="693">
        <v>0</v>
      </c>
      <c r="J14" s="835">
        <f t="shared" si="0"/>
        <v>0</v>
      </c>
      <c r="K14" s="834"/>
      <c r="L14" s="693"/>
      <c r="M14" s="693">
        <v>0</v>
      </c>
      <c r="N14" s="835">
        <f t="shared" si="1"/>
        <v>0</v>
      </c>
      <c r="O14" s="834"/>
      <c r="P14" s="693"/>
      <c r="Q14" s="693">
        <v>0</v>
      </c>
      <c r="R14" s="835">
        <f t="shared" si="2"/>
        <v>0</v>
      </c>
      <c r="S14" s="834"/>
      <c r="T14" s="693"/>
      <c r="U14" s="693">
        <v>0</v>
      </c>
      <c r="V14" s="835">
        <f t="shared" si="3"/>
        <v>0</v>
      </c>
      <c r="W14" s="515">
        <f t="shared" si="6"/>
        <v>0</v>
      </c>
      <c r="Z14" s="515">
        <f t="shared" si="4"/>
        <v>0</v>
      </c>
    </row>
    <row r="15" spans="1:26" x14ac:dyDescent="0.25">
      <c r="A15" s="504"/>
      <c r="B15" s="816" t="s">
        <v>1451</v>
      </c>
      <c r="C15" s="834"/>
      <c r="D15" s="693"/>
      <c r="E15" s="693"/>
      <c r="F15" s="835"/>
      <c r="G15" s="834"/>
      <c r="H15" s="693"/>
      <c r="I15" s="693"/>
      <c r="J15" s="835"/>
      <c r="K15" s="834">
        <v>14987395</v>
      </c>
      <c r="L15" s="693"/>
      <c r="M15" s="693"/>
      <c r="N15" s="835">
        <f t="shared" si="1"/>
        <v>14987395</v>
      </c>
      <c r="O15" s="834">
        <v>14987395</v>
      </c>
      <c r="P15" s="693"/>
      <c r="Q15" s="693"/>
      <c r="R15" s="835">
        <f t="shared" si="2"/>
        <v>14987395</v>
      </c>
      <c r="S15" s="834">
        <v>14987395</v>
      </c>
      <c r="T15" s="693"/>
      <c r="U15" s="693"/>
      <c r="V15" s="835">
        <f t="shared" si="3"/>
        <v>14987395</v>
      </c>
      <c r="W15" s="515">
        <f t="shared" si="6"/>
        <v>0</v>
      </c>
      <c r="Z15" s="515">
        <f t="shared" si="4"/>
        <v>0</v>
      </c>
    </row>
    <row r="16" spans="1:26" x14ac:dyDescent="0.25">
      <c r="A16" s="504"/>
      <c r="B16" s="779" t="s">
        <v>479</v>
      </c>
      <c r="C16" s="836">
        <v>0</v>
      </c>
      <c r="D16" s="507">
        <v>0</v>
      </c>
      <c r="E16" s="507">
        <v>0</v>
      </c>
      <c r="F16" s="837">
        <f t="shared" si="5"/>
        <v>0</v>
      </c>
      <c r="G16" s="836">
        <f>100810575+95200</f>
        <v>100905775</v>
      </c>
      <c r="H16" s="507">
        <v>0</v>
      </c>
      <c r="I16" s="507">
        <v>0</v>
      </c>
      <c r="J16" s="837">
        <f t="shared" ref="J16:J58" si="7">SUM(G16:I16)</f>
        <v>100905775</v>
      </c>
      <c r="K16" s="836">
        <f>100810575+95200-95200</f>
        <v>100810575</v>
      </c>
      <c r="L16" s="507">
        <v>0</v>
      </c>
      <c r="M16" s="507">
        <v>0</v>
      </c>
      <c r="N16" s="837">
        <f t="shared" ref="N16:N26" si="8">SUM(K16:M16)</f>
        <v>100810575</v>
      </c>
      <c r="O16" s="836">
        <f>100810575+95200-95200</f>
        <v>100810575</v>
      </c>
      <c r="P16" s="507">
        <v>0</v>
      </c>
      <c r="Q16" s="507">
        <v>0</v>
      </c>
      <c r="R16" s="837">
        <f t="shared" ref="R16:R26" si="9">SUM(O16:Q16)</f>
        <v>100810575</v>
      </c>
      <c r="S16" s="836">
        <f>100810575+95200-95200</f>
        <v>100810575</v>
      </c>
      <c r="T16" s="507">
        <v>0</v>
      </c>
      <c r="U16" s="507">
        <v>0</v>
      </c>
      <c r="V16" s="837">
        <f t="shared" ref="V16:V26" si="10">SUM(S16:U16)</f>
        <v>100810575</v>
      </c>
      <c r="W16" s="515">
        <f t="shared" si="6"/>
        <v>0</v>
      </c>
      <c r="Z16" s="515">
        <f t="shared" si="4"/>
        <v>0</v>
      </c>
    </row>
    <row r="17" spans="1:26" ht="30" x14ac:dyDescent="0.25">
      <c r="A17" s="504"/>
      <c r="B17" s="779" t="s">
        <v>480</v>
      </c>
      <c r="C17" s="836">
        <v>0</v>
      </c>
      <c r="D17" s="507">
        <v>0</v>
      </c>
      <c r="E17" s="507">
        <v>0</v>
      </c>
      <c r="F17" s="837">
        <f t="shared" si="5"/>
        <v>0</v>
      </c>
      <c r="G17" s="836">
        <v>0</v>
      </c>
      <c r="H17" s="507">
        <v>0</v>
      </c>
      <c r="I17" s="507">
        <v>0</v>
      </c>
      <c r="J17" s="837">
        <f t="shared" si="7"/>
        <v>0</v>
      </c>
      <c r="K17" s="836">
        <v>0</v>
      </c>
      <c r="L17" s="507">
        <v>0</v>
      </c>
      <c r="M17" s="507">
        <v>0</v>
      </c>
      <c r="N17" s="837">
        <f t="shared" si="8"/>
        <v>0</v>
      </c>
      <c r="O17" s="836">
        <v>0</v>
      </c>
      <c r="P17" s="507">
        <v>0</v>
      </c>
      <c r="Q17" s="507">
        <v>0</v>
      </c>
      <c r="R17" s="837">
        <f t="shared" si="9"/>
        <v>0</v>
      </c>
      <c r="S17" s="836">
        <v>0</v>
      </c>
      <c r="T17" s="507">
        <v>0</v>
      </c>
      <c r="U17" s="507">
        <v>0</v>
      </c>
      <c r="V17" s="837">
        <f t="shared" si="10"/>
        <v>0</v>
      </c>
      <c r="Z17" s="515">
        <f t="shared" si="4"/>
        <v>0</v>
      </c>
    </row>
    <row r="18" spans="1:26" ht="30" x14ac:dyDescent="0.25">
      <c r="A18" s="504"/>
      <c r="B18" s="779" t="s">
        <v>481</v>
      </c>
      <c r="C18" s="836">
        <f>C19+C20+C23+C25</f>
        <v>40000000</v>
      </c>
      <c r="D18" s="507">
        <f>D19+D20+D23+D25</f>
        <v>0</v>
      </c>
      <c r="E18" s="507">
        <f>E19+E20+E23+E25</f>
        <v>0</v>
      </c>
      <c r="F18" s="837">
        <f t="shared" si="5"/>
        <v>40000000</v>
      </c>
      <c r="G18" s="836">
        <f>G19+G20+G23+G25</f>
        <v>40000000</v>
      </c>
      <c r="H18" s="507">
        <f>H19+H20+H23+H25</f>
        <v>0</v>
      </c>
      <c r="I18" s="507">
        <f>I19+I20+I23+I25</f>
        <v>0</v>
      </c>
      <c r="J18" s="837">
        <f t="shared" si="7"/>
        <v>40000000</v>
      </c>
      <c r="K18" s="836">
        <f>K19+K20+K23+K25</f>
        <v>40000000</v>
      </c>
      <c r="L18" s="507">
        <f>L19+L20+L23+L25</f>
        <v>0</v>
      </c>
      <c r="M18" s="507">
        <f>M19+M20+M23+M25</f>
        <v>0</v>
      </c>
      <c r="N18" s="837">
        <f t="shared" si="8"/>
        <v>40000000</v>
      </c>
      <c r="O18" s="836">
        <f>O19+O20+O23+O25+O24</f>
        <v>61148500</v>
      </c>
      <c r="P18" s="836">
        <f>P19+P20+P23+P25+P24</f>
        <v>1000000</v>
      </c>
      <c r="Q18" s="507">
        <f>Q19+Q20+Q23+Q25</f>
        <v>0</v>
      </c>
      <c r="R18" s="837">
        <f t="shared" si="9"/>
        <v>62148500</v>
      </c>
      <c r="S18" s="836">
        <f>S19+S20+S23+S25</f>
        <v>65134845</v>
      </c>
      <c r="T18" s="507">
        <f>T19+T20+T23+T25+T24</f>
        <v>1000000</v>
      </c>
      <c r="U18" s="507">
        <f>U19+U20+U23+U25</f>
        <v>0</v>
      </c>
      <c r="V18" s="837">
        <f t="shared" si="10"/>
        <v>66134845</v>
      </c>
      <c r="Z18" s="515">
        <f t="shared" si="4"/>
        <v>22148500</v>
      </c>
    </row>
    <row r="19" spans="1:26" ht="30" x14ac:dyDescent="0.25">
      <c r="A19" s="504"/>
      <c r="B19" s="816" t="s">
        <v>1703</v>
      </c>
      <c r="C19" s="834">
        <v>40000000</v>
      </c>
      <c r="D19" s="693">
        <v>0</v>
      </c>
      <c r="E19" s="693">
        <v>0</v>
      </c>
      <c r="F19" s="835">
        <f t="shared" si="5"/>
        <v>40000000</v>
      </c>
      <c r="G19" s="834">
        <v>40000000</v>
      </c>
      <c r="H19" s="693">
        <v>0</v>
      </c>
      <c r="I19" s="693">
        <v>0</v>
      </c>
      <c r="J19" s="835">
        <f t="shared" si="7"/>
        <v>40000000</v>
      </c>
      <c r="K19" s="834">
        <v>40000000</v>
      </c>
      <c r="L19" s="693">
        <v>0</v>
      </c>
      <c r="M19" s="693">
        <v>0</v>
      </c>
      <c r="N19" s="835">
        <f t="shared" si="8"/>
        <v>40000000</v>
      </c>
      <c r="O19" s="834">
        <f>40000000+21148500</f>
        <v>61148500</v>
      </c>
      <c r="P19" s="693">
        <v>0</v>
      </c>
      <c r="Q19" s="693">
        <v>0</v>
      </c>
      <c r="R19" s="835">
        <f t="shared" si="9"/>
        <v>61148500</v>
      </c>
      <c r="S19" s="834">
        <v>61148500</v>
      </c>
      <c r="T19" s="693">
        <v>0</v>
      </c>
      <c r="U19" s="693">
        <v>0</v>
      </c>
      <c r="V19" s="835">
        <f t="shared" si="10"/>
        <v>61148500</v>
      </c>
      <c r="Z19" s="515">
        <f t="shared" si="4"/>
        <v>21148500</v>
      </c>
    </row>
    <row r="20" spans="1:26" x14ac:dyDescent="0.25">
      <c r="A20" s="504"/>
      <c r="B20" s="816" t="s">
        <v>482</v>
      </c>
      <c r="C20" s="834">
        <v>0</v>
      </c>
      <c r="D20" s="693"/>
      <c r="E20" s="693">
        <f>E21+E22</f>
        <v>0</v>
      </c>
      <c r="F20" s="835">
        <f t="shared" si="5"/>
        <v>0</v>
      </c>
      <c r="G20" s="834">
        <v>0</v>
      </c>
      <c r="H20" s="693"/>
      <c r="I20" s="693">
        <f>I21+I22</f>
        <v>0</v>
      </c>
      <c r="J20" s="835">
        <f t="shared" si="7"/>
        <v>0</v>
      </c>
      <c r="K20" s="834">
        <v>0</v>
      </c>
      <c r="L20" s="693"/>
      <c r="M20" s="693">
        <f>M21+M22</f>
        <v>0</v>
      </c>
      <c r="N20" s="835">
        <f t="shared" si="8"/>
        <v>0</v>
      </c>
      <c r="O20" s="834">
        <v>0</v>
      </c>
      <c r="P20" s="693"/>
      <c r="Q20" s="693">
        <f>Q21+Q22</f>
        <v>0</v>
      </c>
      <c r="R20" s="835">
        <f t="shared" si="9"/>
        <v>0</v>
      </c>
      <c r="S20" s="834">
        <v>2330000</v>
      </c>
      <c r="T20" s="693"/>
      <c r="U20" s="693">
        <f>U21+U22</f>
        <v>0</v>
      </c>
      <c r="V20" s="835">
        <f t="shared" si="10"/>
        <v>2330000</v>
      </c>
      <c r="Z20" s="515">
        <f t="shared" si="4"/>
        <v>0</v>
      </c>
    </row>
    <row r="21" spans="1:26" ht="15" hidden="1" customHeight="1" x14ac:dyDescent="0.25">
      <c r="A21" s="504"/>
      <c r="B21" s="817" t="s">
        <v>483</v>
      </c>
      <c r="C21" s="834"/>
      <c r="D21" s="693"/>
      <c r="E21" s="693">
        <v>0</v>
      </c>
      <c r="F21" s="835">
        <f t="shared" si="5"/>
        <v>0</v>
      </c>
      <c r="G21" s="834"/>
      <c r="H21" s="693"/>
      <c r="I21" s="693">
        <v>0</v>
      </c>
      <c r="J21" s="835">
        <f t="shared" si="7"/>
        <v>0</v>
      </c>
      <c r="K21" s="834"/>
      <c r="L21" s="693"/>
      <c r="M21" s="693">
        <v>0</v>
      </c>
      <c r="N21" s="835">
        <f t="shared" si="8"/>
        <v>0</v>
      </c>
      <c r="O21" s="834"/>
      <c r="P21" s="693"/>
      <c r="Q21" s="693">
        <v>0</v>
      </c>
      <c r="R21" s="835">
        <f t="shared" si="9"/>
        <v>0</v>
      </c>
      <c r="S21" s="834"/>
      <c r="T21" s="693"/>
      <c r="U21" s="693">
        <v>0</v>
      </c>
      <c r="V21" s="835">
        <f t="shared" si="10"/>
        <v>0</v>
      </c>
      <c r="Z21" s="515">
        <f t="shared" si="4"/>
        <v>0</v>
      </c>
    </row>
    <row r="22" spans="1:26" ht="15" hidden="1" customHeight="1" x14ac:dyDescent="0.25">
      <c r="A22" s="504"/>
      <c r="B22" s="817" t="s">
        <v>484</v>
      </c>
      <c r="C22" s="834"/>
      <c r="D22" s="693">
        <v>0</v>
      </c>
      <c r="E22" s="693">
        <v>0</v>
      </c>
      <c r="F22" s="835">
        <f t="shared" si="5"/>
        <v>0</v>
      </c>
      <c r="G22" s="834"/>
      <c r="H22" s="693">
        <v>0</v>
      </c>
      <c r="I22" s="693">
        <v>0</v>
      </c>
      <c r="J22" s="835">
        <f t="shared" si="7"/>
        <v>0</v>
      </c>
      <c r="K22" s="834"/>
      <c r="L22" s="693">
        <v>0</v>
      </c>
      <c r="M22" s="693">
        <v>0</v>
      </c>
      <c r="N22" s="835">
        <f t="shared" si="8"/>
        <v>0</v>
      </c>
      <c r="O22" s="834"/>
      <c r="P22" s="693">
        <v>0</v>
      </c>
      <c r="Q22" s="693">
        <v>0</v>
      </c>
      <c r="R22" s="835">
        <f t="shared" si="9"/>
        <v>0</v>
      </c>
      <c r="S22" s="834"/>
      <c r="T22" s="693">
        <v>0</v>
      </c>
      <c r="U22" s="693">
        <v>0</v>
      </c>
      <c r="V22" s="835">
        <f t="shared" si="10"/>
        <v>0</v>
      </c>
      <c r="Z22" s="515">
        <f t="shared" si="4"/>
        <v>0</v>
      </c>
    </row>
    <row r="23" spans="1:26" ht="30" x14ac:dyDescent="0.25">
      <c r="A23" s="504"/>
      <c r="B23" s="816" t="s">
        <v>1817</v>
      </c>
      <c r="C23" s="834">
        <v>0</v>
      </c>
      <c r="D23" s="693">
        <v>0</v>
      </c>
      <c r="E23" s="693">
        <v>0</v>
      </c>
      <c r="F23" s="835">
        <f t="shared" si="5"/>
        <v>0</v>
      </c>
      <c r="G23" s="834">
        <v>0</v>
      </c>
      <c r="H23" s="693">
        <v>0</v>
      </c>
      <c r="I23" s="693">
        <v>0</v>
      </c>
      <c r="J23" s="835">
        <f t="shared" si="7"/>
        <v>0</v>
      </c>
      <c r="K23" s="834">
        <v>0</v>
      </c>
      <c r="L23" s="693">
        <v>0</v>
      </c>
      <c r="M23" s="693">
        <v>0</v>
      </c>
      <c r="N23" s="835">
        <f t="shared" si="8"/>
        <v>0</v>
      </c>
      <c r="O23" s="834">
        <v>0</v>
      </c>
      <c r="P23" s="693">
        <v>0</v>
      </c>
      <c r="Q23" s="693">
        <v>0</v>
      </c>
      <c r="R23" s="835">
        <f t="shared" si="9"/>
        <v>0</v>
      </c>
      <c r="S23" s="834">
        <v>666888</v>
      </c>
      <c r="T23" s="693">
        <v>0</v>
      </c>
      <c r="U23" s="693">
        <v>0</v>
      </c>
      <c r="V23" s="835">
        <f t="shared" si="10"/>
        <v>666888</v>
      </c>
      <c r="Z23" s="515">
        <f t="shared" si="4"/>
        <v>0</v>
      </c>
    </row>
    <row r="24" spans="1:26" x14ac:dyDescent="0.25">
      <c r="A24" s="504"/>
      <c r="B24" s="816" t="s">
        <v>1827</v>
      </c>
      <c r="C24" s="834"/>
      <c r="D24" s="693"/>
      <c r="E24" s="693"/>
      <c r="F24" s="835"/>
      <c r="G24" s="834"/>
      <c r="H24" s="693"/>
      <c r="I24" s="693"/>
      <c r="J24" s="835"/>
      <c r="K24" s="834"/>
      <c r="L24" s="693"/>
      <c r="M24" s="693"/>
      <c r="N24" s="835"/>
      <c r="O24" s="834">
        <v>0</v>
      </c>
      <c r="P24" s="693">
        <v>1000000</v>
      </c>
      <c r="Q24" s="693"/>
      <c r="R24" s="835">
        <f t="shared" si="9"/>
        <v>1000000</v>
      </c>
      <c r="S24" s="834">
        <v>0</v>
      </c>
      <c r="T24" s="693">
        <v>1000000</v>
      </c>
      <c r="U24" s="693"/>
      <c r="V24" s="835">
        <f t="shared" si="10"/>
        <v>1000000</v>
      </c>
      <c r="Z24" s="515">
        <f t="shared" si="4"/>
        <v>1000000</v>
      </c>
    </row>
    <row r="25" spans="1:26" x14ac:dyDescent="0.25">
      <c r="A25" s="504"/>
      <c r="B25" s="816" t="s">
        <v>1816</v>
      </c>
      <c r="C25" s="834">
        <v>0</v>
      </c>
      <c r="D25" s="693">
        <v>0</v>
      </c>
      <c r="E25" s="693">
        <v>0</v>
      </c>
      <c r="F25" s="835">
        <f t="shared" si="5"/>
        <v>0</v>
      </c>
      <c r="G25" s="834">
        <v>0</v>
      </c>
      <c r="H25" s="693">
        <v>0</v>
      </c>
      <c r="I25" s="693">
        <v>0</v>
      </c>
      <c r="J25" s="835">
        <f t="shared" si="7"/>
        <v>0</v>
      </c>
      <c r="K25" s="834">
        <v>0</v>
      </c>
      <c r="L25" s="693">
        <v>0</v>
      </c>
      <c r="M25" s="693">
        <v>0</v>
      </c>
      <c r="N25" s="835">
        <f t="shared" si="8"/>
        <v>0</v>
      </c>
      <c r="O25" s="834">
        <v>0</v>
      </c>
      <c r="P25" s="693">
        <v>0</v>
      </c>
      <c r="Q25" s="693">
        <v>0</v>
      </c>
      <c r="R25" s="835">
        <f t="shared" si="9"/>
        <v>0</v>
      </c>
      <c r="S25" s="834">
        <v>989457</v>
      </c>
      <c r="T25" s="693">
        <v>0</v>
      </c>
      <c r="U25" s="693">
        <v>0</v>
      </c>
      <c r="V25" s="835">
        <f t="shared" si="10"/>
        <v>989457</v>
      </c>
      <c r="Z25" s="515">
        <f t="shared" si="4"/>
        <v>0</v>
      </c>
    </row>
    <row r="26" spans="1:26" x14ac:dyDescent="0.25">
      <c r="A26" s="502" t="s">
        <v>322</v>
      </c>
      <c r="B26" s="815" t="s">
        <v>485</v>
      </c>
      <c r="C26" s="827">
        <f>C28+C31+C34+C38</f>
        <v>3646000000</v>
      </c>
      <c r="D26" s="503">
        <f>D28+D31+D34+D38</f>
        <v>0</v>
      </c>
      <c r="E26" s="503">
        <f>E28+E31+E34+E38</f>
        <v>0</v>
      </c>
      <c r="F26" s="828">
        <f t="shared" si="5"/>
        <v>3646000000</v>
      </c>
      <c r="G26" s="827">
        <f>G28+G31+G34+G38</f>
        <v>3568450000</v>
      </c>
      <c r="H26" s="503">
        <f>H28+H31+H34+H38</f>
        <v>0</v>
      </c>
      <c r="I26" s="503">
        <f>I28+I31+I34+I38</f>
        <v>0</v>
      </c>
      <c r="J26" s="828">
        <f t="shared" si="7"/>
        <v>3568450000</v>
      </c>
      <c r="K26" s="827">
        <f>K28+K31+K34+K38</f>
        <v>3568450000</v>
      </c>
      <c r="L26" s="503">
        <f>L28+L31+L34+L38</f>
        <v>0</v>
      </c>
      <c r="M26" s="503">
        <f>M28+M31+M34+M38</f>
        <v>0</v>
      </c>
      <c r="N26" s="828">
        <f t="shared" si="8"/>
        <v>3568450000</v>
      </c>
      <c r="O26" s="827">
        <f>O28+O31+O34+O38</f>
        <v>3568450000</v>
      </c>
      <c r="P26" s="503">
        <f>P28+P31+P34+P38</f>
        <v>0</v>
      </c>
      <c r="Q26" s="503">
        <f>Q28+Q31+Q34+Q38</f>
        <v>0</v>
      </c>
      <c r="R26" s="828">
        <f t="shared" si="9"/>
        <v>3568450000</v>
      </c>
      <c r="S26" s="827">
        <f>S28+S31+S34+S38+S27</f>
        <v>3586125497</v>
      </c>
      <c r="T26" s="503">
        <f>T28+T31+T34+T38</f>
        <v>0</v>
      </c>
      <c r="U26" s="503">
        <f>U28+U31+U34+U38</f>
        <v>0</v>
      </c>
      <c r="V26" s="828">
        <f t="shared" si="10"/>
        <v>3586125497</v>
      </c>
      <c r="Z26" s="515">
        <f t="shared" si="4"/>
        <v>0</v>
      </c>
    </row>
    <row r="27" spans="1:26" x14ac:dyDescent="0.25">
      <c r="A27" s="584"/>
      <c r="B27" s="779" t="s">
        <v>1780</v>
      </c>
      <c r="C27" s="836"/>
      <c r="D27" s="507"/>
      <c r="E27" s="507"/>
      <c r="F27" s="837"/>
      <c r="G27" s="836"/>
      <c r="H27" s="507"/>
      <c r="I27" s="507"/>
      <c r="J27" s="837"/>
      <c r="K27" s="836"/>
      <c r="L27" s="507"/>
      <c r="M27" s="507"/>
      <c r="N27" s="837"/>
      <c r="O27" s="836"/>
      <c r="P27" s="507"/>
      <c r="Q27" s="507"/>
      <c r="R27" s="837"/>
      <c r="S27" s="836">
        <v>82368</v>
      </c>
      <c r="T27" s="507"/>
      <c r="U27" s="507"/>
      <c r="V27" s="837">
        <f t="shared" ref="V27:V58" si="11">SUM(S27:U27)</f>
        <v>82368</v>
      </c>
      <c r="Z27" s="515">
        <f t="shared" si="4"/>
        <v>0</v>
      </c>
    </row>
    <row r="28" spans="1:26" x14ac:dyDescent="0.25">
      <c r="A28" s="508"/>
      <c r="B28" s="779" t="s">
        <v>486</v>
      </c>
      <c r="C28" s="836">
        <f>SUM(C29:C30)</f>
        <v>1157000000</v>
      </c>
      <c r="D28" s="507">
        <f>SUM(D29:D30)</f>
        <v>0</v>
      </c>
      <c r="E28" s="507">
        <f>SUM(E29:E30)</f>
        <v>0</v>
      </c>
      <c r="F28" s="837">
        <f t="shared" si="5"/>
        <v>1157000000</v>
      </c>
      <c r="G28" s="836">
        <f>SUM(G29:G30)</f>
        <v>1157000000</v>
      </c>
      <c r="H28" s="507">
        <f>SUM(H29:H30)</f>
        <v>0</v>
      </c>
      <c r="I28" s="507">
        <f>SUM(I29:I30)</f>
        <v>0</v>
      </c>
      <c r="J28" s="837">
        <f t="shared" si="7"/>
        <v>1157000000</v>
      </c>
      <c r="K28" s="836">
        <f>SUM(K29:K30)</f>
        <v>1157000000</v>
      </c>
      <c r="L28" s="507">
        <f>SUM(L29:L30)</f>
        <v>0</v>
      </c>
      <c r="M28" s="507">
        <f>SUM(M29:M30)</f>
        <v>0</v>
      </c>
      <c r="N28" s="837">
        <f t="shared" ref="N28:N58" si="12">SUM(K28:M28)</f>
        <v>1157000000</v>
      </c>
      <c r="O28" s="836">
        <f>SUM(O29:O30)</f>
        <v>1157000000</v>
      </c>
      <c r="P28" s="507">
        <f>SUM(P29:P30)</f>
        <v>0</v>
      </c>
      <c r="Q28" s="507">
        <f>SUM(Q29:Q30)</f>
        <v>0</v>
      </c>
      <c r="R28" s="837">
        <f t="shared" ref="R28:R58" si="13">SUM(O28:Q28)</f>
        <v>1157000000</v>
      </c>
      <c r="S28" s="836">
        <f>SUM(S29:S30)</f>
        <v>1201312524</v>
      </c>
      <c r="T28" s="507">
        <f>SUM(T29:T30)</f>
        <v>0</v>
      </c>
      <c r="U28" s="507">
        <f>SUM(U29:U30)</f>
        <v>0</v>
      </c>
      <c r="V28" s="837">
        <f t="shared" si="11"/>
        <v>1201312524</v>
      </c>
      <c r="Z28" s="515">
        <f t="shared" si="4"/>
        <v>0</v>
      </c>
    </row>
    <row r="29" spans="1:26" x14ac:dyDescent="0.25">
      <c r="A29" s="504"/>
      <c r="B29" s="816" t="s">
        <v>487</v>
      </c>
      <c r="C29" s="834">
        <f>670000000+50000000</f>
        <v>720000000</v>
      </c>
      <c r="D29" s="693">
        <v>0</v>
      </c>
      <c r="E29" s="693">
        <v>0</v>
      </c>
      <c r="F29" s="835">
        <f t="shared" si="5"/>
        <v>720000000</v>
      </c>
      <c r="G29" s="834">
        <f>(670000000+50000000)</f>
        <v>720000000</v>
      </c>
      <c r="H29" s="693">
        <v>0</v>
      </c>
      <c r="I29" s="693">
        <v>0</v>
      </c>
      <c r="J29" s="835">
        <f t="shared" si="7"/>
        <v>720000000</v>
      </c>
      <c r="K29" s="834">
        <f>(670000000+50000000)</f>
        <v>720000000</v>
      </c>
      <c r="L29" s="693">
        <v>0</v>
      </c>
      <c r="M29" s="693">
        <v>0</v>
      </c>
      <c r="N29" s="835">
        <f t="shared" si="12"/>
        <v>720000000</v>
      </c>
      <c r="O29" s="834">
        <f>(670000000+50000000)</f>
        <v>720000000</v>
      </c>
      <c r="P29" s="693">
        <v>0</v>
      </c>
      <c r="Q29" s="693">
        <v>0</v>
      </c>
      <c r="R29" s="835">
        <f t="shared" si="13"/>
        <v>720000000</v>
      </c>
      <c r="S29" s="834">
        <v>768481294</v>
      </c>
      <c r="T29" s="693">
        <v>0</v>
      </c>
      <c r="U29" s="693">
        <v>0</v>
      </c>
      <c r="V29" s="835">
        <f t="shared" si="11"/>
        <v>768481294</v>
      </c>
      <c r="Z29" s="515">
        <f t="shared" si="4"/>
        <v>0</v>
      </c>
    </row>
    <row r="30" spans="1:26" x14ac:dyDescent="0.25">
      <c r="A30" s="504"/>
      <c r="B30" s="816" t="s">
        <v>488</v>
      </c>
      <c r="C30" s="834">
        <f>400000000+37000000</f>
        <v>437000000</v>
      </c>
      <c r="D30" s="693">
        <v>0</v>
      </c>
      <c r="E30" s="693">
        <v>0</v>
      </c>
      <c r="F30" s="835">
        <f t="shared" si="5"/>
        <v>437000000</v>
      </c>
      <c r="G30" s="834">
        <f>(400000000+37000000)</f>
        <v>437000000</v>
      </c>
      <c r="H30" s="693">
        <v>0</v>
      </c>
      <c r="I30" s="693">
        <v>0</v>
      </c>
      <c r="J30" s="835">
        <f t="shared" si="7"/>
        <v>437000000</v>
      </c>
      <c r="K30" s="834">
        <f>(400000000+37000000)</f>
        <v>437000000</v>
      </c>
      <c r="L30" s="693">
        <v>0</v>
      </c>
      <c r="M30" s="693">
        <v>0</v>
      </c>
      <c r="N30" s="835">
        <f t="shared" si="12"/>
        <v>437000000</v>
      </c>
      <c r="O30" s="834">
        <f>(400000000+37000000)</f>
        <v>437000000</v>
      </c>
      <c r="P30" s="693">
        <v>0</v>
      </c>
      <c r="Q30" s="693">
        <v>0</v>
      </c>
      <c r="R30" s="835">
        <f t="shared" si="13"/>
        <v>437000000</v>
      </c>
      <c r="S30" s="834">
        <v>432831230</v>
      </c>
      <c r="T30" s="693">
        <v>0</v>
      </c>
      <c r="U30" s="693">
        <v>0</v>
      </c>
      <c r="V30" s="835">
        <f t="shared" si="11"/>
        <v>432831230</v>
      </c>
      <c r="Z30" s="515">
        <f t="shared" si="4"/>
        <v>0</v>
      </c>
    </row>
    <row r="31" spans="1:26" x14ac:dyDescent="0.25">
      <c r="A31" s="504"/>
      <c r="B31" s="779" t="s">
        <v>489</v>
      </c>
      <c r="C31" s="836">
        <f>SUM(C32:C33)</f>
        <v>2480000000</v>
      </c>
      <c r="D31" s="507">
        <f>SUM(D32:D33)</f>
        <v>0</v>
      </c>
      <c r="E31" s="507">
        <f>SUM(E32:E33)</f>
        <v>0</v>
      </c>
      <c r="F31" s="837">
        <f t="shared" si="5"/>
        <v>2480000000</v>
      </c>
      <c r="G31" s="836">
        <f>SUM(G32:G33)</f>
        <v>2410000000</v>
      </c>
      <c r="H31" s="507">
        <f>SUM(H32:H33)</f>
        <v>0</v>
      </c>
      <c r="I31" s="507">
        <f>SUM(I32:I33)</f>
        <v>0</v>
      </c>
      <c r="J31" s="837">
        <f t="shared" si="7"/>
        <v>2410000000</v>
      </c>
      <c r="K31" s="836">
        <f>SUM(K32:K33)</f>
        <v>2410000000</v>
      </c>
      <c r="L31" s="507">
        <f>SUM(L32:L33)</f>
        <v>0</v>
      </c>
      <c r="M31" s="507">
        <f>SUM(M32:M33)</f>
        <v>0</v>
      </c>
      <c r="N31" s="837">
        <f t="shared" si="12"/>
        <v>2410000000</v>
      </c>
      <c r="O31" s="836">
        <f>SUM(O32:O33)</f>
        <v>2410000000</v>
      </c>
      <c r="P31" s="507">
        <f>SUM(P32:P33)</f>
        <v>0</v>
      </c>
      <c r="Q31" s="507">
        <f>SUM(Q32:Q33)</f>
        <v>0</v>
      </c>
      <c r="R31" s="837">
        <f t="shared" si="13"/>
        <v>2410000000</v>
      </c>
      <c r="S31" s="836">
        <f>SUM(S32:S33)</f>
        <v>2363057895</v>
      </c>
      <c r="T31" s="507">
        <f>SUM(T32:T33)</f>
        <v>0</v>
      </c>
      <c r="U31" s="507">
        <f>SUM(U32:U33)</f>
        <v>0</v>
      </c>
      <c r="V31" s="837">
        <f t="shared" si="11"/>
        <v>2363057895</v>
      </c>
      <c r="Z31" s="515">
        <f t="shared" si="4"/>
        <v>0</v>
      </c>
    </row>
    <row r="32" spans="1:26" x14ac:dyDescent="0.25">
      <c r="A32" s="504"/>
      <c r="B32" s="816" t="s">
        <v>490</v>
      </c>
      <c r="C32" s="834">
        <f>2250000000+160000000</f>
        <v>2410000000</v>
      </c>
      <c r="D32" s="693">
        <v>0</v>
      </c>
      <c r="E32" s="693">
        <v>0</v>
      </c>
      <c r="F32" s="835">
        <f t="shared" si="5"/>
        <v>2410000000</v>
      </c>
      <c r="G32" s="834">
        <f>(2250000000+160000000)</f>
        <v>2410000000</v>
      </c>
      <c r="H32" s="693">
        <v>0</v>
      </c>
      <c r="I32" s="693">
        <v>0</v>
      </c>
      <c r="J32" s="835">
        <f t="shared" si="7"/>
        <v>2410000000</v>
      </c>
      <c r="K32" s="834">
        <f>(2250000000+160000000)</f>
        <v>2410000000</v>
      </c>
      <c r="L32" s="693">
        <v>0</v>
      </c>
      <c r="M32" s="693">
        <v>0</v>
      </c>
      <c r="N32" s="835">
        <f t="shared" si="12"/>
        <v>2410000000</v>
      </c>
      <c r="O32" s="834">
        <f>(2250000000+160000000)</f>
        <v>2410000000</v>
      </c>
      <c r="P32" s="693">
        <v>0</v>
      </c>
      <c r="Q32" s="693">
        <v>0</v>
      </c>
      <c r="R32" s="835">
        <f t="shared" si="13"/>
        <v>2410000000</v>
      </c>
      <c r="S32" s="834">
        <v>2363057895</v>
      </c>
      <c r="T32" s="693">
        <v>0</v>
      </c>
      <c r="U32" s="693">
        <v>0</v>
      </c>
      <c r="V32" s="835">
        <f t="shared" si="11"/>
        <v>2363057895</v>
      </c>
      <c r="Z32" s="515">
        <f t="shared" si="4"/>
        <v>0</v>
      </c>
    </row>
    <row r="33" spans="1:26" x14ac:dyDescent="0.25">
      <c r="A33" s="504"/>
      <c r="B33" s="816" t="s">
        <v>491</v>
      </c>
      <c r="C33" s="834">
        <f>67000000+3000000</f>
        <v>70000000</v>
      </c>
      <c r="D33" s="693">
        <v>0</v>
      </c>
      <c r="E33" s="693">
        <v>0</v>
      </c>
      <c r="F33" s="835">
        <f t="shared" si="5"/>
        <v>70000000</v>
      </c>
      <c r="G33" s="834">
        <f>67000000+3000000-70000000</f>
        <v>0</v>
      </c>
      <c r="H33" s="693">
        <v>0</v>
      </c>
      <c r="I33" s="693">
        <v>0</v>
      </c>
      <c r="J33" s="835">
        <f t="shared" si="7"/>
        <v>0</v>
      </c>
      <c r="K33" s="834">
        <f>67000000+3000000-70000000</f>
        <v>0</v>
      </c>
      <c r="L33" s="693">
        <v>0</v>
      </c>
      <c r="M33" s="693">
        <v>0</v>
      </c>
      <c r="N33" s="835">
        <f t="shared" si="12"/>
        <v>0</v>
      </c>
      <c r="O33" s="834">
        <f>67000000+3000000-70000000</f>
        <v>0</v>
      </c>
      <c r="P33" s="693">
        <v>0</v>
      </c>
      <c r="Q33" s="693">
        <v>0</v>
      </c>
      <c r="R33" s="835">
        <f t="shared" si="13"/>
        <v>0</v>
      </c>
      <c r="S33" s="834">
        <f>67000000+3000000-70000000</f>
        <v>0</v>
      </c>
      <c r="T33" s="693">
        <v>0</v>
      </c>
      <c r="U33" s="693">
        <v>0</v>
      </c>
      <c r="V33" s="835">
        <f t="shared" si="11"/>
        <v>0</v>
      </c>
      <c r="Z33" s="515">
        <f t="shared" si="4"/>
        <v>0</v>
      </c>
    </row>
    <row r="34" spans="1:26" x14ac:dyDescent="0.25">
      <c r="A34" s="504"/>
      <c r="B34" s="779" t="s">
        <v>492</v>
      </c>
      <c r="C34" s="836">
        <f>SUM(C35:C37)</f>
        <v>9000000</v>
      </c>
      <c r="D34" s="507">
        <f>SUM(D35:D37)</f>
        <v>0</v>
      </c>
      <c r="E34" s="507">
        <f>SUM(E35:E37)</f>
        <v>0</v>
      </c>
      <c r="F34" s="837">
        <f t="shared" si="5"/>
        <v>9000000</v>
      </c>
      <c r="G34" s="836">
        <f>SUM(G35:G37)</f>
        <v>1450000</v>
      </c>
      <c r="H34" s="507">
        <f>SUM(H35:H37)</f>
        <v>0</v>
      </c>
      <c r="I34" s="507">
        <f>SUM(I35:I37)</f>
        <v>0</v>
      </c>
      <c r="J34" s="837">
        <f t="shared" si="7"/>
        <v>1450000</v>
      </c>
      <c r="K34" s="836">
        <f>SUM(K35:K37)</f>
        <v>1450000</v>
      </c>
      <c r="L34" s="507">
        <f>SUM(L35:L37)</f>
        <v>0</v>
      </c>
      <c r="M34" s="507">
        <f>SUM(M35:M37)</f>
        <v>0</v>
      </c>
      <c r="N34" s="837">
        <f t="shared" si="12"/>
        <v>1450000</v>
      </c>
      <c r="O34" s="836">
        <f>SUM(O35:O37)</f>
        <v>1450000</v>
      </c>
      <c r="P34" s="507">
        <f>SUM(P35:P37)</f>
        <v>0</v>
      </c>
      <c r="Q34" s="507">
        <f>SUM(Q35:Q37)</f>
        <v>0</v>
      </c>
      <c r="R34" s="837">
        <f t="shared" si="13"/>
        <v>1450000</v>
      </c>
      <c r="S34" s="836">
        <f>SUM(S35:S37)</f>
        <v>2432144</v>
      </c>
      <c r="T34" s="507">
        <f>SUM(T35:T37)</f>
        <v>0</v>
      </c>
      <c r="U34" s="507">
        <f>SUM(U35:U37)</f>
        <v>0</v>
      </c>
      <c r="V34" s="837">
        <f t="shared" si="11"/>
        <v>2432144</v>
      </c>
      <c r="Z34" s="515">
        <f t="shared" si="4"/>
        <v>0</v>
      </c>
    </row>
    <row r="35" spans="1:26" x14ac:dyDescent="0.25">
      <c r="A35" s="504"/>
      <c r="B35" s="816" t="s">
        <v>493</v>
      </c>
      <c r="C35" s="834">
        <v>0</v>
      </c>
      <c r="D35" s="693">
        <v>0</v>
      </c>
      <c r="E35" s="693">
        <v>0</v>
      </c>
      <c r="F35" s="835">
        <f t="shared" si="5"/>
        <v>0</v>
      </c>
      <c r="G35" s="834">
        <v>0</v>
      </c>
      <c r="H35" s="693">
        <v>0</v>
      </c>
      <c r="I35" s="693">
        <v>0</v>
      </c>
      <c r="J35" s="835">
        <f t="shared" si="7"/>
        <v>0</v>
      </c>
      <c r="K35" s="834">
        <v>0</v>
      </c>
      <c r="L35" s="693">
        <v>0</v>
      </c>
      <c r="M35" s="693">
        <v>0</v>
      </c>
      <c r="N35" s="835">
        <f t="shared" si="12"/>
        <v>0</v>
      </c>
      <c r="O35" s="834">
        <v>0</v>
      </c>
      <c r="P35" s="693">
        <v>0</v>
      </c>
      <c r="Q35" s="693">
        <v>0</v>
      </c>
      <c r="R35" s="835">
        <f t="shared" si="13"/>
        <v>0</v>
      </c>
      <c r="S35" s="834">
        <v>244744</v>
      </c>
      <c r="T35" s="693">
        <v>0</v>
      </c>
      <c r="U35" s="693">
        <v>0</v>
      </c>
      <c r="V35" s="835">
        <f t="shared" si="11"/>
        <v>244744</v>
      </c>
      <c r="Z35" s="515">
        <f t="shared" si="4"/>
        <v>0</v>
      </c>
    </row>
    <row r="36" spans="1:26" x14ac:dyDescent="0.25">
      <c r="A36" s="504"/>
      <c r="B36" s="816" t="s">
        <v>494</v>
      </c>
      <c r="C36" s="834">
        <v>9000000</v>
      </c>
      <c r="D36" s="693">
        <v>0</v>
      </c>
      <c r="E36" s="693">
        <v>0</v>
      </c>
      <c r="F36" s="835">
        <f t="shared" si="5"/>
        <v>9000000</v>
      </c>
      <c r="G36" s="834">
        <f>9000000-7550000</f>
        <v>1450000</v>
      </c>
      <c r="H36" s="693">
        <v>0</v>
      </c>
      <c r="I36" s="693">
        <v>0</v>
      </c>
      <c r="J36" s="835">
        <f t="shared" si="7"/>
        <v>1450000</v>
      </c>
      <c r="K36" s="834">
        <f>9000000-7550000</f>
        <v>1450000</v>
      </c>
      <c r="L36" s="693">
        <v>0</v>
      </c>
      <c r="M36" s="693">
        <v>0</v>
      </c>
      <c r="N36" s="835">
        <f t="shared" si="12"/>
        <v>1450000</v>
      </c>
      <c r="O36" s="834">
        <f>9000000-7550000</f>
        <v>1450000</v>
      </c>
      <c r="P36" s="693">
        <v>0</v>
      </c>
      <c r="Q36" s="693">
        <v>0</v>
      </c>
      <c r="R36" s="835">
        <f t="shared" si="13"/>
        <v>1450000</v>
      </c>
      <c r="S36" s="834">
        <v>2187400</v>
      </c>
      <c r="T36" s="693">
        <v>0</v>
      </c>
      <c r="U36" s="693">
        <v>0</v>
      </c>
      <c r="V36" s="835">
        <f t="shared" si="11"/>
        <v>2187400</v>
      </c>
      <c r="Z36" s="515">
        <f t="shared" si="4"/>
        <v>0</v>
      </c>
    </row>
    <row r="37" spans="1:26" x14ac:dyDescent="0.25">
      <c r="A37" s="504"/>
      <c r="B37" s="816" t="s">
        <v>495</v>
      </c>
      <c r="C37" s="834">
        <v>0</v>
      </c>
      <c r="D37" s="693">
        <v>0</v>
      </c>
      <c r="E37" s="693">
        <v>0</v>
      </c>
      <c r="F37" s="835">
        <f t="shared" si="5"/>
        <v>0</v>
      </c>
      <c r="G37" s="834">
        <v>0</v>
      </c>
      <c r="H37" s="693">
        <v>0</v>
      </c>
      <c r="I37" s="693">
        <v>0</v>
      </c>
      <c r="J37" s="835">
        <f t="shared" si="7"/>
        <v>0</v>
      </c>
      <c r="K37" s="834">
        <v>0</v>
      </c>
      <c r="L37" s="693">
        <v>0</v>
      </c>
      <c r="M37" s="693">
        <v>0</v>
      </c>
      <c r="N37" s="835">
        <f t="shared" si="12"/>
        <v>0</v>
      </c>
      <c r="O37" s="834">
        <v>0</v>
      </c>
      <c r="P37" s="693">
        <v>0</v>
      </c>
      <c r="Q37" s="693">
        <v>0</v>
      </c>
      <c r="R37" s="835">
        <f t="shared" si="13"/>
        <v>0</v>
      </c>
      <c r="S37" s="834">
        <v>0</v>
      </c>
      <c r="T37" s="693">
        <v>0</v>
      </c>
      <c r="U37" s="693">
        <v>0</v>
      </c>
      <c r="V37" s="835">
        <f t="shared" si="11"/>
        <v>0</v>
      </c>
      <c r="Z37" s="515">
        <f t="shared" si="4"/>
        <v>0</v>
      </c>
    </row>
    <row r="38" spans="1:26" x14ac:dyDescent="0.25">
      <c r="A38" s="504"/>
      <c r="B38" s="779" t="s">
        <v>496</v>
      </c>
      <c r="C38" s="836">
        <f>SUM(C39:C42)</f>
        <v>0</v>
      </c>
      <c r="D38" s="507">
        <f>SUM(D39:D42)</f>
        <v>0</v>
      </c>
      <c r="E38" s="507">
        <f>SUM(E39:E42)</f>
        <v>0</v>
      </c>
      <c r="F38" s="837">
        <f t="shared" si="5"/>
        <v>0</v>
      </c>
      <c r="G38" s="836">
        <f>SUM(G39:G42)</f>
        <v>0</v>
      </c>
      <c r="H38" s="507">
        <f>SUM(H39:H42)</f>
        <v>0</v>
      </c>
      <c r="I38" s="507">
        <f>SUM(I39:I42)</f>
        <v>0</v>
      </c>
      <c r="J38" s="837">
        <f t="shared" si="7"/>
        <v>0</v>
      </c>
      <c r="K38" s="836">
        <f>SUM(K39:K42)</f>
        <v>0</v>
      </c>
      <c r="L38" s="507">
        <f>SUM(L39:L42)</f>
        <v>0</v>
      </c>
      <c r="M38" s="507">
        <f>SUM(M39:M42)</f>
        <v>0</v>
      </c>
      <c r="N38" s="837">
        <f t="shared" si="12"/>
        <v>0</v>
      </c>
      <c r="O38" s="836">
        <f>SUM(O39:O42)</f>
        <v>0</v>
      </c>
      <c r="P38" s="507">
        <f>SUM(P39:P42)</f>
        <v>0</v>
      </c>
      <c r="Q38" s="507">
        <f>SUM(Q39:Q42)</f>
        <v>0</v>
      </c>
      <c r="R38" s="837">
        <f t="shared" si="13"/>
        <v>0</v>
      </c>
      <c r="S38" s="836">
        <f>SUM(S39:S42)</f>
        <v>19240566</v>
      </c>
      <c r="T38" s="507">
        <f>SUM(T39:T42)</f>
        <v>0</v>
      </c>
      <c r="U38" s="507">
        <f>SUM(U39:U42)</f>
        <v>0</v>
      </c>
      <c r="V38" s="837">
        <f t="shared" si="11"/>
        <v>19240566</v>
      </c>
      <c r="Z38" s="515">
        <f t="shared" si="4"/>
        <v>0</v>
      </c>
    </row>
    <row r="39" spans="1:26" x14ac:dyDescent="0.25">
      <c r="A39" s="504"/>
      <c r="B39" s="816" t="s">
        <v>497</v>
      </c>
      <c r="C39" s="834"/>
      <c r="D39" s="693">
        <v>0</v>
      </c>
      <c r="E39" s="693">
        <v>0</v>
      </c>
      <c r="F39" s="835">
        <f t="shared" si="5"/>
        <v>0</v>
      </c>
      <c r="G39" s="834">
        <v>0</v>
      </c>
      <c r="H39" s="693">
        <v>0</v>
      </c>
      <c r="I39" s="693">
        <v>0</v>
      </c>
      <c r="J39" s="835">
        <f t="shared" si="7"/>
        <v>0</v>
      </c>
      <c r="K39" s="834">
        <v>0</v>
      </c>
      <c r="L39" s="693">
        <v>0</v>
      </c>
      <c r="M39" s="693">
        <v>0</v>
      </c>
      <c r="N39" s="835">
        <f t="shared" si="12"/>
        <v>0</v>
      </c>
      <c r="O39" s="834">
        <v>0</v>
      </c>
      <c r="P39" s="693">
        <v>0</v>
      </c>
      <c r="Q39" s="693">
        <v>0</v>
      </c>
      <c r="R39" s="835">
        <f t="shared" si="13"/>
        <v>0</v>
      </c>
      <c r="S39" s="834">
        <v>7959400</v>
      </c>
      <c r="T39" s="693">
        <v>0</v>
      </c>
      <c r="U39" s="693">
        <v>0</v>
      </c>
      <c r="V39" s="835">
        <f t="shared" si="11"/>
        <v>7959400</v>
      </c>
      <c r="Z39" s="515">
        <f t="shared" si="4"/>
        <v>0</v>
      </c>
    </row>
    <row r="40" spans="1:26" x14ac:dyDescent="0.25">
      <c r="A40" s="504"/>
      <c r="B40" s="816" t="s">
        <v>498</v>
      </c>
      <c r="C40" s="834"/>
      <c r="D40" s="693">
        <v>0</v>
      </c>
      <c r="E40" s="693">
        <v>0</v>
      </c>
      <c r="F40" s="835">
        <f t="shared" si="5"/>
        <v>0</v>
      </c>
      <c r="G40" s="834"/>
      <c r="H40" s="693">
        <v>0</v>
      </c>
      <c r="I40" s="693">
        <v>0</v>
      </c>
      <c r="J40" s="835">
        <f t="shared" si="7"/>
        <v>0</v>
      </c>
      <c r="K40" s="834"/>
      <c r="L40" s="693">
        <v>0</v>
      </c>
      <c r="M40" s="693">
        <v>0</v>
      </c>
      <c r="N40" s="835">
        <f t="shared" si="12"/>
        <v>0</v>
      </c>
      <c r="O40" s="834"/>
      <c r="P40" s="693">
        <v>0</v>
      </c>
      <c r="Q40" s="693">
        <v>0</v>
      </c>
      <c r="R40" s="835">
        <f t="shared" si="13"/>
        <v>0</v>
      </c>
      <c r="S40" s="834">
        <f>250000+40000</f>
        <v>290000</v>
      </c>
      <c r="T40" s="693">
        <v>0</v>
      </c>
      <c r="U40" s="693">
        <v>0</v>
      </c>
      <c r="V40" s="835">
        <f t="shared" si="11"/>
        <v>290000</v>
      </c>
      <c r="Z40" s="515">
        <f t="shared" si="4"/>
        <v>0</v>
      </c>
    </row>
    <row r="41" spans="1:26" x14ac:dyDescent="0.25">
      <c r="A41" s="504"/>
      <c r="B41" s="816" t="s">
        <v>499</v>
      </c>
      <c r="C41" s="834"/>
      <c r="D41" s="693">
        <v>0</v>
      </c>
      <c r="E41" s="693">
        <v>0</v>
      </c>
      <c r="F41" s="835">
        <f t="shared" si="5"/>
        <v>0</v>
      </c>
      <c r="G41" s="834"/>
      <c r="H41" s="693">
        <v>0</v>
      </c>
      <c r="I41" s="693">
        <v>0</v>
      </c>
      <c r="J41" s="835">
        <f t="shared" si="7"/>
        <v>0</v>
      </c>
      <c r="K41" s="834"/>
      <c r="L41" s="693">
        <v>0</v>
      </c>
      <c r="M41" s="693">
        <v>0</v>
      </c>
      <c r="N41" s="835">
        <f t="shared" si="12"/>
        <v>0</v>
      </c>
      <c r="O41" s="834"/>
      <c r="P41" s="693">
        <v>0</v>
      </c>
      <c r="Q41" s="693">
        <v>0</v>
      </c>
      <c r="R41" s="835">
        <f t="shared" si="13"/>
        <v>0</v>
      </c>
      <c r="S41" s="834"/>
      <c r="T41" s="693">
        <v>0</v>
      </c>
      <c r="U41" s="693">
        <v>0</v>
      </c>
      <c r="V41" s="835">
        <f t="shared" si="11"/>
        <v>0</v>
      </c>
      <c r="Z41" s="515">
        <f t="shared" si="4"/>
        <v>0</v>
      </c>
    </row>
    <row r="42" spans="1:26" x14ac:dyDescent="0.25">
      <c r="A42" s="504"/>
      <c r="B42" s="816" t="s">
        <v>500</v>
      </c>
      <c r="C42" s="834"/>
      <c r="D42" s="693">
        <v>0</v>
      </c>
      <c r="E42" s="693">
        <v>0</v>
      </c>
      <c r="F42" s="835">
        <f t="shared" si="5"/>
        <v>0</v>
      </c>
      <c r="G42" s="834"/>
      <c r="H42" s="693">
        <v>0</v>
      </c>
      <c r="I42" s="693">
        <v>0</v>
      </c>
      <c r="J42" s="835">
        <f t="shared" si="7"/>
        <v>0</v>
      </c>
      <c r="K42" s="834"/>
      <c r="L42" s="693">
        <v>0</v>
      </c>
      <c r="M42" s="693">
        <v>0</v>
      </c>
      <c r="N42" s="835">
        <f t="shared" si="12"/>
        <v>0</v>
      </c>
      <c r="O42" s="834"/>
      <c r="P42" s="693">
        <v>0</v>
      </c>
      <c r="Q42" s="693">
        <v>0</v>
      </c>
      <c r="R42" s="835">
        <f t="shared" si="13"/>
        <v>0</v>
      </c>
      <c r="S42" s="834">
        <v>10991166</v>
      </c>
      <c r="T42" s="693">
        <v>0</v>
      </c>
      <c r="U42" s="693">
        <v>0</v>
      </c>
      <c r="V42" s="835">
        <f t="shared" si="11"/>
        <v>10991166</v>
      </c>
      <c r="Z42" s="515">
        <f t="shared" si="4"/>
        <v>0</v>
      </c>
    </row>
    <row r="43" spans="1:26" x14ac:dyDescent="0.25">
      <c r="A43" s="502" t="s">
        <v>315</v>
      </c>
      <c r="B43" s="815" t="s">
        <v>314</v>
      </c>
      <c r="C43" s="827">
        <f>C44+C45+C48+C52+C53+C54+C55+C56</f>
        <v>39887000</v>
      </c>
      <c r="D43" s="503">
        <f>D44+D45+D48+D52+D53+D54+D55+D56</f>
        <v>36636960</v>
      </c>
      <c r="E43" s="503">
        <f>E44+E45+E48+E52+E53+E54+E55+E56</f>
        <v>0</v>
      </c>
      <c r="F43" s="828">
        <f t="shared" si="5"/>
        <v>76523960</v>
      </c>
      <c r="G43" s="827">
        <f>G44+G45+G48+G52+G53+G54+G55+G56</f>
        <v>39887000</v>
      </c>
      <c r="H43" s="503">
        <f>H44+H45+H48+H52+H53+H54+H55+H56</f>
        <v>36636960</v>
      </c>
      <c r="I43" s="503">
        <f>I44+I45+I48+I52+I53+I54+I55+I56</f>
        <v>0</v>
      </c>
      <c r="J43" s="828">
        <f t="shared" si="7"/>
        <v>76523960</v>
      </c>
      <c r="K43" s="827">
        <f>K44+K45+K48+K52+K53+K54+K55+K56</f>
        <v>39887000</v>
      </c>
      <c r="L43" s="503">
        <f>L44+L45+L48+L52+L53+L54+L55+L56</f>
        <v>36636960</v>
      </c>
      <c r="M43" s="503">
        <f>M44+M45+M48+M52+M53+M54+M55+M56</f>
        <v>0</v>
      </c>
      <c r="N43" s="828">
        <f t="shared" si="12"/>
        <v>76523960</v>
      </c>
      <c r="O43" s="827">
        <f>O44+O45+O48+O52+O53+O54+O55+O56</f>
        <v>39887000</v>
      </c>
      <c r="P43" s="503">
        <f>P44+P45+P48+P52+P53+P54+P55+P56</f>
        <v>36636960</v>
      </c>
      <c r="Q43" s="503">
        <f>Q44+Q45+Q48+Q52+Q53+Q54+Q55+Q56</f>
        <v>0</v>
      </c>
      <c r="R43" s="828">
        <f t="shared" si="13"/>
        <v>76523960</v>
      </c>
      <c r="S43" s="827">
        <f>S44+S45+S48+S52+S53+S54+S55+S56</f>
        <v>45874950</v>
      </c>
      <c r="T43" s="503">
        <f>T44+T45+T48+T52+T53+T54+T55+T56</f>
        <v>33407114</v>
      </c>
      <c r="U43" s="503">
        <f>U44+U45+U48+U52+U53+U54+U55+U56</f>
        <v>0</v>
      </c>
      <c r="V43" s="828">
        <f t="shared" si="11"/>
        <v>79282064</v>
      </c>
      <c r="Z43" s="515">
        <f t="shared" si="4"/>
        <v>0</v>
      </c>
    </row>
    <row r="44" spans="1:26" x14ac:dyDescent="0.25">
      <c r="A44" s="504"/>
      <c r="B44" s="779" t="s">
        <v>501</v>
      </c>
      <c r="C44" s="836">
        <v>0</v>
      </c>
      <c r="D44" s="507">
        <v>0</v>
      </c>
      <c r="E44" s="507">
        <v>0</v>
      </c>
      <c r="F44" s="837">
        <f t="shared" si="5"/>
        <v>0</v>
      </c>
      <c r="G44" s="836">
        <v>0</v>
      </c>
      <c r="H44" s="507">
        <v>0</v>
      </c>
      <c r="I44" s="507">
        <v>0</v>
      </c>
      <c r="J44" s="837">
        <f t="shared" si="7"/>
        <v>0</v>
      </c>
      <c r="K44" s="836">
        <v>0</v>
      </c>
      <c r="L44" s="507">
        <v>0</v>
      </c>
      <c r="M44" s="507">
        <v>0</v>
      </c>
      <c r="N44" s="837">
        <f t="shared" si="12"/>
        <v>0</v>
      </c>
      <c r="O44" s="836">
        <v>0</v>
      </c>
      <c r="P44" s="507">
        <v>0</v>
      </c>
      <c r="Q44" s="507">
        <v>0</v>
      </c>
      <c r="R44" s="837">
        <f t="shared" si="13"/>
        <v>0</v>
      </c>
      <c r="S44" s="836">
        <v>0</v>
      </c>
      <c r="T44" s="507">
        <v>0</v>
      </c>
      <c r="U44" s="507">
        <v>0</v>
      </c>
      <c r="V44" s="837">
        <f t="shared" si="11"/>
        <v>0</v>
      </c>
      <c r="Z44" s="515">
        <f t="shared" si="4"/>
        <v>0</v>
      </c>
    </row>
    <row r="45" spans="1:26" x14ac:dyDescent="0.25">
      <c r="A45" s="504"/>
      <c r="B45" s="779" t="s">
        <v>502</v>
      </c>
      <c r="C45" s="836">
        <f>SUM(C46:C47)</f>
        <v>24490000</v>
      </c>
      <c r="D45" s="507">
        <f>SUM(D46:D47)</f>
        <v>0</v>
      </c>
      <c r="E45" s="507">
        <f>SUM(E46:E47)</f>
        <v>0</v>
      </c>
      <c r="F45" s="837">
        <f t="shared" si="5"/>
        <v>24490000</v>
      </c>
      <c r="G45" s="836">
        <f>SUM(G46:G47)</f>
        <v>24490000</v>
      </c>
      <c r="H45" s="507">
        <f>SUM(H46:H47)</f>
        <v>0</v>
      </c>
      <c r="I45" s="507">
        <f>SUM(I46:I47)</f>
        <v>0</v>
      </c>
      <c r="J45" s="837">
        <f t="shared" si="7"/>
        <v>24490000</v>
      </c>
      <c r="K45" s="836">
        <f>SUM(K46:K47)</f>
        <v>24490000</v>
      </c>
      <c r="L45" s="507">
        <f>SUM(L46:L47)</f>
        <v>0</v>
      </c>
      <c r="M45" s="507">
        <f>SUM(M46:M47)</f>
        <v>0</v>
      </c>
      <c r="N45" s="837">
        <f t="shared" si="12"/>
        <v>24490000</v>
      </c>
      <c r="O45" s="836">
        <f>SUM(O46:O47)</f>
        <v>24490000</v>
      </c>
      <c r="P45" s="507">
        <f>SUM(P46:P47)</f>
        <v>0</v>
      </c>
      <c r="Q45" s="507">
        <f>SUM(Q46:Q47)</f>
        <v>0</v>
      </c>
      <c r="R45" s="837">
        <f t="shared" si="13"/>
        <v>24490000</v>
      </c>
      <c r="S45" s="836">
        <f>SUM(S46:S47)</f>
        <v>25113912</v>
      </c>
      <c r="T45" s="507">
        <f>SUM(T46:T47)</f>
        <v>0</v>
      </c>
      <c r="U45" s="507">
        <f>SUM(U46:U47)</f>
        <v>0</v>
      </c>
      <c r="V45" s="837">
        <f t="shared" si="11"/>
        <v>25113912</v>
      </c>
      <c r="Z45" s="515">
        <f t="shared" si="4"/>
        <v>0</v>
      </c>
    </row>
    <row r="46" spans="1:26" x14ac:dyDescent="0.25">
      <c r="A46" s="504"/>
      <c r="B46" s="816" t="s">
        <v>503</v>
      </c>
      <c r="C46" s="834">
        <v>4490000</v>
      </c>
      <c r="D46" s="693">
        <v>0</v>
      </c>
      <c r="E46" s="693">
        <v>0</v>
      </c>
      <c r="F46" s="835">
        <f t="shared" si="5"/>
        <v>4490000</v>
      </c>
      <c r="G46" s="834">
        <v>4490000</v>
      </c>
      <c r="H46" s="693">
        <v>0</v>
      </c>
      <c r="I46" s="693">
        <v>0</v>
      </c>
      <c r="J46" s="835">
        <f t="shared" si="7"/>
        <v>4490000</v>
      </c>
      <c r="K46" s="834">
        <v>4490000</v>
      </c>
      <c r="L46" s="693">
        <v>0</v>
      </c>
      <c r="M46" s="693">
        <v>0</v>
      </c>
      <c r="N46" s="835">
        <f t="shared" si="12"/>
        <v>4490000</v>
      </c>
      <c r="O46" s="834">
        <v>4490000</v>
      </c>
      <c r="P46" s="693">
        <v>0</v>
      </c>
      <c r="Q46" s="693">
        <v>0</v>
      </c>
      <c r="R46" s="835">
        <f t="shared" si="13"/>
        <v>4490000</v>
      </c>
      <c r="S46" s="834">
        <f>3121223+5868181</f>
        <v>8989404</v>
      </c>
      <c r="T46" s="693">
        <v>0</v>
      </c>
      <c r="U46" s="693">
        <v>0</v>
      </c>
      <c r="V46" s="835">
        <f t="shared" si="11"/>
        <v>8989404</v>
      </c>
      <c r="Z46" s="515">
        <f t="shared" si="4"/>
        <v>0</v>
      </c>
    </row>
    <row r="47" spans="1:26" x14ac:dyDescent="0.25">
      <c r="A47" s="504"/>
      <c r="B47" s="816" t="s">
        <v>504</v>
      </c>
      <c r="C47" s="834">
        <f>20000000</f>
        <v>20000000</v>
      </c>
      <c r="D47" s="693">
        <v>0</v>
      </c>
      <c r="E47" s="693">
        <v>0</v>
      </c>
      <c r="F47" s="835">
        <f t="shared" si="5"/>
        <v>20000000</v>
      </c>
      <c r="G47" s="834">
        <f>20000000</f>
        <v>20000000</v>
      </c>
      <c r="H47" s="693">
        <v>0</v>
      </c>
      <c r="I47" s="693">
        <v>0</v>
      </c>
      <c r="J47" s="835">
        <f t="shared" si="7"/>
        <v>20000000</v>
      </c>
      <c r="K47" s="834">
        <f>20000000</f>
        <v>20000000</v>
      </c>
      <c r="L47" s="693">
        <v>0</v>
      </c>
      <c r="M47" s="693">
        <v>0</v>
      </c>
      <c r="N47" s="835">
        <f t="shared" si="12"/>
        <v>20000000</v>
      </c>
      <c r="O47" s="834">
        <f>20000000</f>
        <v>20000000</v>
      </c>
      <c r="P47" s="693">
        <v>0</v>
      </c>
      <c r="Q47" s="693">
        <v>0</v>
      </c>
      <c r="R47" s="835">
        <f t="shared" si="13"/>
        <v>20000000</v>
      </c>
      <c r="S47" s="834">
        <f>2794609+13329899</f>
        <v>16124508</v>
      </c>
      <c r="T47" s="693">
        <v>0</v>
      </c>
      <c r="U47" s="693">
        <v>0</v>
      </c>
      <c r="V47" s="835">
        <f t="shared" si="11"/>
        <v>16124508</v>
      </c>
      <c r="Z47" s="515">
        <f t="shared" si="4"/>
        <v>0</v>
      </c>
    </row>
    <row r="48" spans="1:26" x14ac:dyDescent="0.25">
      <c r="A48" s="504"/>
      <c r="B48" s="779" t="s">
        <v>505</v>
      </c>
      <c r="C48" s="836">
        <f>SUM(C49:C51)</f>
        <v>5397000</v>
      </c>
      <c r="D48" s="507">
        <f>SUM(D49:D51)</f>
        <v>28848000</v>
      </c>
      <c r="E48" s="507">
        <f>SUM(E49:E51)</f>
        <v>0</v>
      </c>
      <c r="F48" s="837">
        <f t="shared" si="5"/>
        <v>34245000</v>
      </c>
      <c r="G48" s="836">
        <f>SUM(G49:G51)</f>
        <v>5397000</v>
      </c>
      <c r="H48" s="507">
        <f>SUM(H49:H51)</f>
        <v>28848000</v>
      </c>
      <c r="I48" s="507">
        <f>SUM(I49:I51)</f>
        <v>0</v>
      </c>
      <c r="J48" s="837">
        <f t="shared" si="7"/>
        <v>34245000</v>
      </c>
      <c r="K48" s="836">
        <f>SUM(K49:K51)</f>
        <v>5397000</v>
      </c>
      <c r="L48" s="507">
        <f>SUM(L49:L51)</f>
        <v>28848000</v>
      </c>
      <c r="M48" s="507">
        <f>SUM(M49:M51)</f>
        <v>0</v>
      </c>
      <c r="N48" s="837">
        <f t="shared" si="12"/>
        <v>34245000</v>
      </c>
      <c r="O48" s="836">
        <f>SUM(O49:O51)</f>
        <v>5397000</v>
      </c>
      <c r="P48" s="507">
        <f>SUM(P49:P51)</f>
        <v>28848000</v>
      </c>
      <c r="Q48" s="507">
        <f>SUM(Q49:Q51)</f>
        <v>0</v>
      </c>
      <c r="R48" s="837">
        <f t="shared" si="13"/>
        <v>34245000</v>
      </c>
      <c r="S48" s="836">
        <f>SUM(S49:S51)</f>
        <v>267700</v>
      </c>
      <c r="T48" s="507">
        <f>SUM(T49:T51)</f>
        <v>21635661</v>
      </c>
      <c r="U48" s="507">
        <f>SUM(U49:U51)</f>
        <v>0</v>
      </c>
      <c r="V48" s="837">
        <f t="shared" si="11"/>
        <v>21903361</v>
      </c>
      <c r="Z48" s="515">
        <f t="shared" si="4"/>
        <v>0</v>
      </c>
    </row>
    <row r="49" spans="1:26" x14ac:dyDescent="0.25">
      <c r="A49" s="504"/>
      <c r="B49" s="816" t="s">
        <v>506</v>
      </c>
      <c r="C49" s="834"/>
      <c r="D49" s="693"/>
      <c r="E49" s="693">
        <v>0</v>
      </c>
      <c r="F49" s="835">
        <f t="shared" si="5"/>
        <v>0</v>
      </c>
      <c r="G49" s="834"/>
      <c r="H49" s="693"/>
      <c r="I49" s="693">
        <v>0</v>
      </c>
      <c r="J49" s="835">
        <f t="shared" si="7"/>
        <v>0</v>
      </c>
      <c r="K49" s="834"/>
      <c r="L49" s="693"/>
      <c r="M49" s="693">
        <v>0</v>
      </c>
      <c r="N49" s="835">
        <f t="shared" si="12"/>
        <v>0</v>
      </c>
      <c r="O49" s="834"/>
      <c r="P49" s="693"/>
      <c r="Q49" s="693">
        <v>0</v>
      </c>
      <c r="R49" s="835">
        <f t="shared" si="13"/>
        <v>0</v>
      </c>
      <c r="S49" s="834"/>
      <c r="T49" s="693"/>
      <c r="U49" s="693">
        <v>0</v>
      </c>
      <c r="V49" s="835">
        <f t="shared" si="11"/>
        <v>0</v>
      </c>
      <c r="Z49" s="515">
        <f t="shared" si="4"/>
        <v>0</v>
      </c>
    </row>
    <row r="50" spans="1:26" x14ac:dyDescent="0.25">
      <c r="A50" s="504"/>
      <c r="B50" s="816" t="s">
        <v>507</v>
      </c>
      <c r="C50" s="834">
        <v>0</v>
      </c>
      <c r="D50" s="693">
        <v>28848000</v>
      </c>
      <c r="E50" s="693">
        <v>0</v>
      </c>
      <c r="F50" s="835">
        <f t="shared" si="5"/>
        <v>28848000</v>
      </c>
      <c r="G50" s="834">
        <v>0</v>
      </c>
      <c r="H50" s="693">
        <v>28848000</v>
      </c>
      <c r="I50" s="693">
        <v>0</v>
      </c>
      <c r="J50" s="835">
        <f t="shared" si="7"/>
        <v>28848000</v>
      </c>
      <c r="K50" s="834">
        <v>0</v>
      </c>
      <c r="L50" s="693">
        <v>28848000</v>
      </c>
      <c r="M50" s="693">
        <v>0</v>
      </c>
      <c r="N50" s="835">
        <f t="shared" si="12"/>
        <v>28848000</v>
      </c>
      <c r="O50" s="834">
        <v>0</v>
      </c>
      <c r="P50" s="693">
        <v>28848000</v>
      </c>
      <c r="Q50" s="693">
        <v>0</v>
      </c>
      <c r="R50" s="835">
        <f t="shared" si="13"/>
        <v>28848000</v>
      </c>
      <c r="S50" s="834">
        <v>267700</v>
      </c>
      <c r="T50" s="693">
        <v>21635661</v>
      </c>
      <c r="U50" s="693">
        <v>0</v>
      </c>
      <c r="V50" s="835">
        <f t="shared" si="11"/>
        <v>21903361</v>
      </c>
      <c r="Z50" s="515">
        <f t="shared" si="4"/>
        <v>0</v>
      </c>
    </row>
    <row r="51" spans="1:26" x14ac:dyDescent="0.25">
      <c r="A51" s="504"/>
      <c r="B51" s="816" t="s">
        <v>409</v>
      </c>
      <c r="C51" s="834">
        <v>5397000</v>
      </c>
      <c r="D51" s="693">
        <v>0</v>
      </c>
      <c r="E51" s="693">
        <v>0</v>
      </c>
      <c r="F51" s="835">
        <f t="shared" si="5"/>
        <v>5397000</v>
      </c>
      <c r="G51" s="834">
        <v>5397000</v>
      </c>
      <c r="H51" s="693">
        <v>0</v>
      </c>
      <c r="I51" s="693">
        <v>0</v>
      </c>
      <c r="J51" s="835">
        <f t="shared" si="7"/>
        <v>5397000</v>
      </c>
      <c r="K51" s="834">
        <v>5397000</v>
      </c>
      <c r="L51" s="693">
        <v>0</v>
      </c>
      <c r="M51" s="693">
        <v>0</v>
      </c>
      <c r="N51" s="835">
        <f t="shared" si="12"/>
        <v>5397000</v>
      </c>
      <c r="O51" s="834">
        <v>5397000</v>
      </c>
      <c r="P51" s="693">
        <v>0</v>
      </c>
      <c r="Q51" s="693">
        <v>0</v>
      </c>
      <c r="R51" s="835">
        <f t="shared" si="13"/>
        <v>5397000</v>
      </c>
      <c r="S51" s="834"/>
      <c r="T51" s="693">
        <v>0</v>
      </c>
      <c r="U51" s="693">
        <v>0</v>
      </c>
      <c r="V51" s="835">
        <f t="shared" si="11"/>
        <v>0</v>
      </c>
      <c r="Z51" s="515">
        <f t="shared" si="4"/>
        <v>0</v>
      </c>
    </row>
    <row r="52" spans="1:26" x14ac:dyDescent="0.25">
      <c r="A52" s="504"/>
      <c r="B52" s="779" t="s">
        <v>508</v>
      </c>
      <c r="C52" s="836">
        <v>0</v>
      </c>
      <c r="D52" s="507">
        <v>0</v>
      </c>
      <c r="E52" s="507">
        <v>0</v>
      </c>
      <c r="F52" s="837">
        <f t="shared" si="5"/>
        <v>0</v>
      </c>
      <c r="G52" s="836">
        <v>0</v>
      </c>
      <c r="H52" s="507">
        <v>0</v>
      </c>
      <c r="I52" s="507">
        <v>0</v>
      </c>
      <c r="J52" s="837">
        <f t="shared" si="7"/>
        <v>0</v>
      </c>
      <c r="K52" s="836">
        <v>0</v>
      </c>
      <c r="L52" s="507">
        <v>0</v>
      </c>
      <c r="M52" s="507">
        <v>0</v>
      </c>
      <c r="N52" s="837">
        <f t="shared" si="12"/>
        <v>0</v>
      </c>
      <c r="O52" s="836">
        <v>0</v>
      </c>
      <c r="P52" s="507">
        <v>0</v>
      </c>
      <c r="Q52" s="507">
        <v>0</v>
      </c>
      <c r="R52" s="837">
        <f t="shared" si="13"/>
        <v>0</v>
      </c>
      <c r="S52" s="836">
        <v>525530</v>
      </c>
      <c r="T52" s="507">
        <v>0</v>
      </c>
      <c r="U52" s="507">
        <v>0</v>
      </c>
      <c r="V52" s="837">
        <f t="shared" si="11"/>
        <v>525530</v>
      </c>
      <c r="Z52" s="515">
        <f t="shared" si="4"/>
        <v>0</v>
      </c>
    </row>
    <row r="53" spans="1:26" x14ac:dyDescent="0.25">
      <c r="A53" s="504"/>
      <c r="B53" s="779" t="s">
        <v>509</v>
      </c>
      <c r="C53" s="836">
        <f>ROUND(C50*0.27,0)</f>
        <v>0</v>
      </c>
      <c r="D53" s="507">
        <f>ROUND(D50*0.27,0)</f>
        <v>7788960</v>
      </c>
      <c r="E53" s="507">
        <f>ROUND(E50*0.27,0)</f>
        <v>0</v>
      </c>
      <c r="F53" s="837">
        <f t="shared" si="5"/>
        <v>7788960</v>
      </c>
      <c r="G53" s="836">
        <f>ROUND(G50*0.27,0)</f>
        <v>0</v>
      </c>
      <c r="H53" s="507">
        <f>ROUND(H50*0.27,0)</f>
        <v>7788960</v>
      </c>
      <c r="I53" s="507">
        <f>ROUND(I50*0.27,0)</f>
        <v>0</v>
      </c>
      <c r="J53" s="837">
        <f t="shared" si="7"/>
        <v>7788960</v>
      </c>
      <c r="K53" s="836">
        <f>ROUND(K50*0.27,0)</f>
        <v>0</v>
      </c>
      <c r="L53" s="507">
        <f>ROUND(L50*0.27,0)</f>
        <v>7788960</v>
      </c>
      <c r="M53" s="507">
        <f>ROUND(M50*0.27,0)</f>
        <v>0</v>
      </c>
      <c r="N53" s="837">
        <f t="shared" si="12"/>
        <v>7788960</v>
      </c>
      <c r="O53" s="836">
        <f>ROUND(O50*0.27,0)</f>
        <v>0</v>
      </c>
      <c r="P53" s="507">
        <f>ROUND(P50*0.27,0)</f>
        <v>7788960</v>
      </c>
      <c r="Q53" s="507">
        <f>ROUND(Q50*0.27,0)</f>
        <v>0</v>
      </c>
      <c r="R53" s="837">
        <f t="shared" si="13"/>
        <v>7788960</v>
      </c>
      <c r="S53" s="836"/>
      <c r="T53" s="507">
        <v>11771453</v>
      </c>
      <c r="U53" s="507">
        <f>ROUND(U50*0.27,0)</f>
        <v>0</v>
      </c>
      <c r="V53" s="837">
        <f t="shared" si="11"/>
        <v>11771453</v>
      </c>
      <c r="Z53" s="515">
        <f t="shared" si="4"/>
        <v>0</v>
      </c>
    </row>
    <row r="54" spans="1:26" x14ac:dyDescent="0.25">
      <c r="A54" s="504"/>
      <c r="B54" s="779" t="s">
        <v>510</v>
      </c>
      <c r="C54" s="836">
        <v>0</v>
      </c>
      <c r="D54" s="507">
        <v>0</v>
      </c>
      <c r="E54" s="507">
        <v>0</v>
      </c>
      <c r="F54" s="837">
        <f t="shared" si="5"/>
        <v>0</v>
      </c>
      <c r="G54" s="836">
        <v>0</v>
      </c>
      <c r="H54" s="507">
        <v>0</v>
      </c>
      <c r="I54" s="507">
        <v>0</v>
      </c>
      <c r="J54" s="837">
        <f t="shared" si="7"/>
        <v>0</v>
      </c>
      <c r="K54" s="836">
        <v>0</v>
      </c>
      <c r="L54" s="507">
        <v>0</v>
      </c>
      <c r="M54" s="507">
        <v>0</v>
      </c>
      <c r="N54" s="837">
        <f t="shared" si="12"/>
        <v>0</v>
      </c>
      <c r="O54" s="836">
        <v>0</v>
      </c>
      <c r="P54" s="507">
        <v>0</v>
      </c>
      <c r="Q54" s="507">
        <v>0</v>
      </c>
      <c r="R54" s="837">
        <f t="shared" si="13"/>
        <v>0</v>
      </c>
      <c r="S54" s="836">
        <v>0</v>
      </c>
      <c r="T54" s="507">
        <v>0</v>
      </c>
      <c r="U54" s="507">
        <v>0</v>
      </c>
      <c r="V54" s="837">
        <f t="shared" si="11"/>
        <v>0</v>
      </c>
      <c r="Z54" s="515">
        <f t="shared" si="4"/>
        <v>0</v>
      </c>
    </row>
    <row r="55" spans="1:26" x14ac:dyDescent="0.25">
      <c r="A55" s="504"/>
      <c r="B55" s="779" t="s">
        <v>511</v>
      </c>
      <c r="C55" s="836"/>
      <c r="D55" s="507">
        <v>0</v>
      </c>
      <c r="E55" s="507">
        <v>0</v>
      </c>
      <c r="F55" s="837">
        <f t="shared" si="5"/>
        <v>0</v>
      </c>
      <c r="G55" s="836"/>
      <c r="H55" s="507">
        <v>0</v>
      </c>
      <c r="I55" s="507">
        <v>0</v>
      </c>
      <c r="J55" s="837">
        <f t="shared" si="7"/>
        <v>0</v>
      </c>
      <c r="K55" s="836"/>
      <c r="L55" s="507">
        <v>0</v>
      </c>
      <c r="M55" s="507">
        <v>0</v>
      </c>
      <c r="N55" s="837">
        <f t="shared" si="12"/>
        <v>0</v>
      </c>
      <c r="O55" s="836"/>
      <c r="P55" s="507">
        <v>0</v>
      </c>
      <c r="Q55" s="507">
        <v>0</v>
      </c>
      <c r="R55" s="837">
        <f t="shared" si="13"/>
        <v>0</v>
      </c>
      <c r="S55" s="836">
        <v>46097</v>
      </c>
      <c r="T55" s="507">
        <v>0</v>
      </c>
      <c r="U55" s="507">
        <v>0</v>
      </c>
      <c r="V55" s="837">
        <f t="shared" si="11"/>
        <v>46097</v>
      </c>
      <c r="Z55" s="515">
        <f t="shared" si="4"/>
        <v>0</v>
      </c>
    </row>
    <row r="56" spans="1:26" x14ac:dyDescent="0.25">
      <c r="A56" s="504"/>
      <c r="B56" s="779" t="s">
        <v>512</v>
      </c>
      <c r="C56" s="836">
        <v>10000000</v>
      </c>
      <c r="D56" s="507">
        <v>0</v>
      </c>
      <c r="E56" s="507">
        <v>0</v>
      </c>
      <c r="F56" s="837">
        <f t="shared" si="5"/>
        <v>10000000</v>
      </c>
      <c r="G56" s="836">
        <v>10000000</v>
      </c>
      <c r="H56" s="507">
        <v>0</v>
      </c>
      <c r="I56" s="507">
        <v>0</v>
      </c>
      <c r="J56" s="837">
        <f t="shared" si="7"/>
        <v>10000000</v>
      </c>
      <c r="K56" s="836">
        <v>10000000</v>
      </c>
      <c r="L56" s="507">
        <v>0</v>
      </c>
      <c r="M56" s="507">
        <v>0</v>
      </c>
      <c r="N56" s="837">
        <f t="shared" si="12"/>
        <v>10000000</v>
      </c>
      <c r="O56" s="836">
        <v>10000000</v>
      </c>
      <c r="P56" s="507">
        <v>0</v>
      </c>
      <c r="Q56" s="507">
        <v>0</v>
      </c>
      <c r="R56" s="837">
        <f t="shared" si="13"/>
        <v>10000000</v>
      </c>
      <c r="S56" s="836">
        <f>4120422+11823537+3977752</f>
        <v>19921711</v>
      </c>
      <c r="T56" s="507">
        <v>0</v>
      </c>
      <c r="U56" s="507">
        <v>0</v>
      </c>
      <c r="V56" s="837">
        <f t="shared" si="11"/>
        <v>19921711</v>
      </c>
      <c r="Z56" s="515">
        <f t="shared" si="4"/>
        <v>0</v>
      </c>
    </row>
    <row r="57" spans="1:26" x14ac:dyDescent="0.25">
      <c r="A57" s="502" t="s">
        <v>336</v>
      </c>
      <c r="B57" s="815" t="s">
        <v>316</v>
      </c>
      <c r="C57" s="827">
        <f>C58+C59</f>
        <v>0</v>
      </c>
      <c r="D57" s="503">
        <f>D58+D59</f>
        <v>0</v>
      </c>
      <c r="E57" s="503">
        <f>E58+E59</f>
        <v>0</v>
      </c>
      <c r="F57" s="828">
        <f t="shared" si="5"/>
        <v>0</v>
      </c>
      <c r="G57" s="827">
        <f>G58+G59</f>
        <v>0</v>
      </c>
      <c r="H57" s="503">
        <f>H58+H59</f>
        <v>0</v>
      </c>
      <c r="I57" s="503">
        <f>I58+I59</f>
        <v>0</v>
      </c>
      <c r="J57" s="828">
        <f t="shared" si="7"/>
        <v>0</v>
      </c>
      <c r="K57" s="827">
        <f>K58+K59</f>
        <v>0</v>
      </c>
      <c r="L57" s="503">
        <f>L58+L59</f>
        <v>0</v>
      </c>
      <c r="M57" s="503">
        <f>M58+M59</f>
        <v>0</v>
      </c>
      <c r="N57" s="828">
        <f t="shared" si="12"/>
        <v>0</v>
      </c>
      <c r="O57" s="827">
        <f>O58+O59</f>
        <v>0</v>
      </c>
      <c r="P57" s="503">
        <f>P58+P59</f>
        <v>0</v>
      </c>
      <c r="Q57" s="503">
        <f>Q58+Q59</f>
        <v>0</v>
      </c>
      <c r="R57" s="828">
        <f t="shared" si="13"/>
        <v>0</v>
      </c>
      <c r="S57" s="827">
        <f>S58+S59</f>
        <v>3793036</v>
      </c>
      <c r="T57" s="503">
        <f>T58+T59</f>
        <v>0</v>
      </c>
      <c r="U57" s="503">
        <f>U58+U59</f>
        <v>0</v>
      </c>
      <c r="V57" s="828">
        <f t="shared" si="11"/>
        <v>3793036</v>
      </c>
      <c r="Z57" s="515">
        <f t="shared" si="4"/>
        <v>0</v>
      </c>
    </row>
    <row r="58" spans="1:26" ht="30" x14ac:dyDescent="0.25">
      <c r="A58" s="504"/>
      <c r="B58" s="779" t="s">
        <v>513</v>
      </c>
      <c r="C58" s="836">
        <v>0</v>
      </c>
      <c r="D58" s="507">
        <v>0</v>
      </c>
      <c r="E58" s="507">
        <v>0</v>
      </c>
      <c r="F58" s="837">
        <f t="shared" si="5"/>
        <v>0</v>
      </c>
      <c r="G58" s="836">
        <v>0</v>
      </c>
      <c r="H58" s="507">
        <v>0</v>
      </c>
      <c r="I58" s="507">
        <v>0</v>
      </c>
      <c r="J58" s="837">
        <f t="shared" si="7"/>
        <v>0</v>
      </c>
      <c r="K58" s="836">
        <v>0</v>
      </c>
      <c r="L58" s="507">
        <v>0</v>
      </c>
      <c r="M58" s="507">
        <v>0</v>
      </c>
      <c r="N58" s="837">
        <f t="shared" si="12"/>
        <v>0</v>
      </c>
      <c r="O58" s="836">
        <v>0</v>
      </c>
      <c r="P58" s="507">
        <v>0</v>
      </c>
      <c r="Q58" s="507">
        <v>0</v>
      </c>
      <c r="R58" s="837">
        <f t="shared" si="13"/>
        <v>0</v>
      </c>
      <c r="S58" s="836">
        <v>0</v>
      </c>
      <c r="T58" s="507">
        <v>0</v>
      </c>
      <c r="U58" s="507">
        <v>0</v>
      </c>
      <c r="V58" s="837">
        <f t="shared" si="11"/>
        <v>0</v>
      </c>
      <c r="Z58" s="515">
        <f t="shared" si="4"/>
        <v>0</v>
      </c>
    </row>
    <row r="59" spans="1:26" x14ac:dyDescent="0.25">
      <c r="A59" s="504"/>
      <c r="B59" s="779" t="s">
        <v>514</v>
      </c>
      <c r="C59" s="836"/>
      <c r="D59" s="507">
        <f>SUM(D60:D62)</f>
        <v>0</v>
      </c>
      <c r="E59" s="507">
        <v>0</v>
      </c>
      <c r="F59" s="837">
        <f>SUM(F60:F62)</f>
        <v>0</v>
      </c>
      <c r="G59" s="836"/>
      <c r="H59" s="507">
        <f>SUM(H60:H62)</f>
        <v>0</v>
      </c>
      <c r="I59" s="507">
        <v>0</v>
      </c>
      <c r="J59" s="837">
        <f>SUM(J60:J62)</f>
        <v>0</v>
      </c>
      <c r="K59" s="836"/>
      <c r="L59" s="507">
        <f>SUM(L60:L62)</f>
        <v>0</v>
      </c>
      <c r="M59" s="507">
        <v>0</v>
      </c>
      <c r="N59" s="837">
        <f>SUM(N60:N62)</f>
        <v>0</v>
      </c>
      <c r="O59" s="836"/>
      <c r="P59" s="507">
        <f>SUM(P60:P62)</f>
        <v>0</v>
      </c>
      <c r="Q59" s="507">
        <v>0</v>
      </c>
      <c r="R59" s="837">
        <f>SUM(R60:R62)</f>
        <v>0</v>
      </c>
      <c r="S59" s="836">
        <v>3793036</v>
      </c>
      <c r="T59" s="507">
        <f>SUM(T60:T62)</f>
        <v>0</v>
      </c>
      <c r="U59" s="507">
        <v>0</v>
      </c>
      <c r="V59" s="837">
        <f>+S59</f>
        <v>3793036</v>
      </c>
      <c r="Z59" s="515">
        <f t="shared" si="4"/>
        <v>0</v>
      </c>
    </row>
    <row r="60" spans="1:26" ht="15" hidden="1" customHeight="1" x14ac:dyDescent="0.25">
      <c r="A60" s="504"/>
      <c r="B60" s="816" t="s">
        <v>1324</v>
      </c>
      <c r="C60" s="834"/>
      <c r="D60" s="693"/>
      <c r="E60" s="693"/>
      <c r="F60" s="835">
        <f>SUM(C60:E60)</f>
        <v>0</v>
      </c>
      <c r="G60" s="834"/>
      <c r="H60" s="693"/>
      <c r="I60" s="693"/>
      <c r="J60" s="835">
        <f t="shared" ref="J60:J62" si="14">SUM(G60:I60)</f>
        <v>0</v>
      </c>
      <c r="K60" s="834"/>
      <c r="L60" s="693"/>
      <c r="M60" s="693"/>
      <c r="N60" s="835">
        <f t="shared" ref="N60:N62" si="15">SUM(K60:M60)</f>
        <v>0</v>
      </c>
      <c r="O60" s="834"/>
      <c r="P60" s="693"/>
      <c r="Q60" s="693"/>
      <c r="R60" s="835">
        <f t="shared" ref="R60:R62" si="16">SUM(O60:Q60)</f>
        <v>0</v>
      </c>
      <c r="S60" s="834"/>
      <c r="T60" s="693"/>
      <c r="U60" s="693"/>
      <c r="V60" s="835">
        <f t="shared" ref="V60:V62" si="17">SUM(S60:U60)</f>
        <v>0</v>
      </c>
      <c r="Z60" s="515">
        <f t="shared" si="4"/>
        <v>0</v>
      </c>
    </row>
    <row r="61" spans="1:26" ht="15" hidden="1" customHeight="1" x14ac:dyDescent="0.25">
      <c r="A61" s="504"/>
      <c r="B61" s="816"/>
      <c r="C61" s="834"/>
      <c r="D61" s="693">
        <v>0</v>
      </c>
      <c r="E61" s="693"/>
      <c r="F61" s="835">
        <f>SUM(C61:E61)</f>
        <v>0</v>
      </c>
      <c r="G61" s="834"/>
      <c r="H61" s="693">
        <v>0</v>
      </c>
      <c r="I61" s="693"/>
      <c r="J61" s="835">
        <f t="shared" si="14"/>
        <v>0</v>
      </c>
      <c r="K61" s="834"/>
      <c r="L61" s="693">
        <v>0</v>
      </c>
      <c r="M61" s="693"/>
      <c r="N61" s="835">
        <f t="shared" si="15"/>
        <v>0</v>
      </c>
      <c r="O61" s="834"/>
      <c r="P61" s="693">
        <v>0</v>
      </c>
      <c r="Q61" s="693"/>
      <c r="R61" s="835">
        <f t="shared" si="16"/>
        <v>0</v>
      </c>
      <c r="S61" s="834"/>
      <c r="T61" s="693">
        <v>0</v>
      </c>
      <c r="U61" s="693"/>
      <c r="V61" s="835">
        <f t="shared" si="17"/>
        <v>0</v>
      </c>
      <c r="Z61" s="515">
        <f t="shared" si="4"/>
        <v>0</v>
      </c>
    </row>
    <row r="62" spans="1:26" ht="15" hidden="1" customHeight="1" x14ac:dyDescent="0.25">
      <c r="A62" s="504"/>
      <c r="B62" s="816"/>
      <c r="C62" s="834"/>
      <c r="D62" s="693">
        <v>0</v>
      </c>
      <c r="E62" s="693"/>
      <c r="F62" s="835">
        <f>SUM(C62:E62)</f>
        <v>0</v>
      </c>
      <c r="G62" s="834"/>
      <c r="H62" s="693">
        <v>0</v>
      </c>
      <c r="I62" s="693"/>
      <c r="J62" s="835">
        <f t="shared" si="14"/>
        <v>0</v>
      </c>
      <c r="K62" s="834"/>
      <c r="L62" s="693">
        <v>0</v>
      </c>
      <c r="M62" s="693"/>
      <c r="N62" s="835">
        <f t="shared" si="15"/>
        <v>0</v>
      </c>
      <c r="O62" s="834"/>
      <c r="P62" s="693">
        <v>0</v>
      </c>
      <c r="Q62" s="693"/>
      <c r="R62" s="835">
        <f t="shared" si="16"/>
        <v>0</v>
      </c>
      <c r="S62" s="834"/>
      <c r="T62" s="693">
        <v>0</v>
      </c>
      <c r="U62" s="693"/>
      <c r="V62" s="835">
        <f t="shared" si="17"/>
        <v>0</v>
      </c>
      <c r="Z62" s="515">
        <f t="shared" si="4"/>
        <v>0</v>
      </c>
    </row>
    <row r="63" spans="1:26" ht="15" hidden="1" customHeight="1" x14ac:dyDescent="0.25">
      <c r="A63" s="504"/>
      <c r="B63" s="816"/>
      <c r="C63" s="834"/>
      <c r="D63" s="693"/>
      <c r="E63" s="693"/>
      <c r="F63" s="835"/>
      <c r="G63" s="834"/>
      <c r="H63" s="693"/>
      <c r="I63" s="693"/>
      <c r="J63" s="835"/>
      <c r="K63" s="834"/>
      <c r="L63" s="693"/>
      <c r="M63" s="693"/>
      <c r="N63" s="835"/>
      <c r="O63" s="834"/>
      <c r="P63" s="693"/>
      <c r="Q63" s="693"/>
      <c r="R63" s="835"/>
      <c r="S63" s="834"/>
      <c r="T63" s="693"/>
      <c r="U63" s="693"/>
      <c r="V63" s="835"/>
      <c r="Z63" s="515">
        <f t="shared" si="4"/>
        <v>0</v>
      </c>
    </row>
    <row r="64" spans="1:26" x14ac:dyDescent="0.25">
      <c r="A64" s="500" t="s">
        <v>318</v>
      </c>
      <c r="B64" s="814" t="s">
        <v>319</v>
      </c>
      <c r="C64" s="825">
        <f>C65+C69+C77</f>
        <v>549116000</v>
      </c>
      <c r="D64" s="501">
        <f>D65+D69+D77</f>
        <v>901655</v>
      </c>
      <c r="E64" s="501">
        <f>E65+E69+E77</f>
        <v>0</v>
      </c>
      <c r="F64" s="826">
        <f t="shared" ref="F64:F76" si="18">SUM(C64:E64)</f>
        <v>550017655</v>
      </c>
      <c r="G64" s="825">
        <f>G65+G69+G77</f>
        <v>557524022</v>
      </c>
      <c r="H64" s="501">
        <f>H65+H69+H77</f>
        <v>901655</v>
      </c>
      <c r="I64" s="501">
        <f>I65+I69+I77</f>
        <v>0</v>
      </c>
      <c r="J64" s="826">
        <f t="shared" ref="J64:J76" si="19">SUM(G64:I64)</f>
        <v>558425677</v>
      </c>
      <c r="K64" s="825">
        <f>K65+K69+K77</f>
        <v>557524022</v>
      </c>
      <c r="L64" s="501">
        <f>L65+L69+L77</f>
        <v>901655</v>
      </c>
      <c r="M64" s="501">
        <f>M65+M69+M77</f>
        <v>0</v>
      </c>
      <c r="N64" s="826">
        <f t="shared" ref="N64:N76" si="20">SUM(K64:M64)</f>
        <v>558425677</v>
      </c>
      <c r="O64" s="825">
        <f>O65+O69+O77</f>
        <v>557524022</v>
      </c>
      <c r="P64" s="501">
        <f>P65+P69+P77</f>
        <v>901655</v>
      </c>
      <c r="Q64" s="501">
        <f>Q65+Q69+Q77</f>
        <v>0</v>
      </c>
      <c r="R64" s="826">
        <f t="shared" ref="R64:R76" si="21">SUM(O64:Q64)</f>
        <v>558425677</v>
      </c>
      <c r="S64" s="825">
        <f>S65+S69+S77</f>
        <v>414722020</v>
      </c>
      <c r="T64" s="501">
        <f>T65+T69+T77</f>
        <v>8109369</v>
      </c>
      <c r="U64" s="501">
        <f>U65+U69+U77</f>
        <v>0</v>
      </c>
      <c r="V64" s="826">
        <f t="shared" ref="V64:V76" si="22">SUM(S64:U64)</f>
        <v>422831389</v>
      </c>
      <c r="Z64" s="515">
        <f t="shared" si="4"/>
        <v>0</v>
      </c>
    </row>
    <row r="65" spans="1:26" x14ac:dyDescent="0.25">
      <c r="A65" s="502" t="s">
        <v>311</v>
      </c>
      <c r="B65" s="815" t="s">
        <v>320</v>
      </c>
      <c r="C65" s="827">
        <f>C66+C67+C68</f>
        <v>439116000</v>
      </c>
      <c r="D65" s="623">
        <f>D66+D67+D68</f>
        <v>0</v>
      </c>
      <c r="E65" s="503">
        <f>E66+E67+E68</f>
        <v>0</v>
      </c>
      <c r="F65" s="838">
        <f t="shared" si="18"/>
        <v>439116000</v>
      </c>
      <c r="G65" s="827">
        <f>G66+G67+G68</f>
        <v>447524022</v>
      </c>
      <c r="H65" s="623">
        <f>H66+H67+H68</f>
        <v>0</v>
      </c>
      <c r="I65" s="503">
        <f>I66+I67+I68</f>
        <v>0</v>
      </c>
      <c r="J65" s="838">
        <f t="shared" si="19"/>
        <v>447524022</v>
      </c>
      <c r="K65" s="827">
        <f>K66+K67+K68</f>
        <v>447524022</v>
      </c>
      <c r="L65" s="623">
        <f>L66+L67+L68</f>
        <v>0</v>
      </c>
      <c r="M65" s="503">
        <f>M66+M67+M68</f>
        <v>0</v>
      </c>
      <c r="N65" s="838">
        <f t="shared" si="20"/>
        <v>447524022</v>
      </c>
      <c r="O65" s="827">
        <f>O66+O67+O68</f>
        <v>447524022</v>
      </c>
      <c r="P65" s="623">
        <f>P66+P67+P68</f>
        <v>0</v>
      </c>
      <c r="Q65" s="503">
        <f>Q66+Q67+Q68</f>
        <v>0</v>
      </c>
      <c r="R65" s="838">
        <f t="shared" si="21"/>
        <v>447524022</v>
      </c>
      <c r="S65" s="827">
        <f>S66+S67+S68</f>
        <v>408408022</v>
      </c>
      <c r="T65" s="623">
        <f>T66+T67+T68</f>
        <v>0</v>
      </c>
      <c r="U65" s="503">
        <f>U66+U67+U68</f>
        <v>0</v>
      </c>
      <c r="V65" s="838">
        <f t="shared" si="22"/>
        <v>408408022</v>
      </c>
      <c r="Z65" s="515">
        <f t="shared" si="4"/>
        <v>0</v>
      </c>
    </row>
    <row r="66" spans="1:26" x14ac:dyDescent="0.25">
      <c r="A66" s="504"/>
      <c r="B66" s="818" t="s">
        <v>515</v>
      </c>
      <c r="C66" s="836">
        <v>400000000</v>
      </c>
      <c r="D66" s="509">
        <v>0</v>
      </c>
      <c r="E66" s="507">
        <v>0</v>
      </c>
      <c r="F66" s="839">
        <f t="shared" si="18"/>
        <v>400000000</v>
      </c>
      <c r="G66" s="836">
        <v>400000000</v>
      </c>
      <c r="H66" s="509">
        <v>0</v>
      </c>
      <c r="I66" s="507">
        <v>0</v>
      </c>
      <c r="J66" s="839">
        <f t="shared" si="19"/>
        <v>400000000</v>
      </c>
      <c r="K66" s="836">
        <v>400000000</v>
      </c>
      <c r="L66" s="509">
        <v>0</v>
      </c>
      <c r="M66" s="507">
        <v>0</v>
      </c>
      <c r="N66" s="839">
        <f t="shared" si="20"/>
        <v>400000000</v>
      </c>
      <c r="O66" s="836">
        <v>400000000</v>
      </c>
      <c r="P66" s="509">
        <v>0</v>
      </c>
      <c r="Q66" s="507">
        <v>0</v>
      </c>
      <c r="R66" s="839">
        <f t="shared" si="21"/>
        <v>400000000</v>
      </c>
      <c r="S66" s="836">
        <v>400000000</v>
      </c>
      <c r="T66" s="509">
        <v>0</v>
      </c>
      <c r="U66" s="507">
        <v>0</v>
      </c>
      <c r="V66" s="839">
        <f t="shared" si="22"/>
        <v>400000000</v>
      </c>
      <c r="Z66" s="515">
        <f t="shared" si="4"/>
        <v>0</v>
      </c>
    </row>
    <row r="67" spans="1:26" x14ac:dyDescent="0.25">
      <c r="A67" s="504"/>
      <c r="B67" s="818" t="s">
        <v>516</v>
      </c>
      <c r="C67" s="836">
        <v>0</v>
      </c>
      <c r="D67" s="509">
        <v>0</v>
      </c>
      <c r="E67" s="507">
        <v>0</v>
      </c>
      <c r="F67" s="839">
        <f t="shared" si="18"/>
        <v>0</v>
      </c>
      <c r="G67" s="836">
        <v>0</v>
      </c>
      <c r="H67" s="509">
        <v>0</v>
      </c>
      <c r="I67" s="507">
        <v>0</v>
      </c>
      <c r="J67" s="839">
        <f t="shared" si="19"/>
        <v>0</v>
      </c>
      <c r="K67" s="836">
        <v>0</v>
      </c>
      <c r="L67" s="509">
        <v>0</v>
      </c>
      <c r="M67" s="507">
        <v>0</v>
      </c>
      <c r="N67" s="839">
        <f t="shared" si="20"/>
        <v>0</v>
      </c>
      <c r="O67" s="836">
        <v>0</v>
      </c>
      <c r="P67" s="509">
        <v>0</v>
      </c>
      <c r="Q67" s="507">
        <v>0</v>
      </c>
      <c r="R67" s="839">
        <f t="shared" si="21"/>
        <v>0</v>
      </c>
      <c r="S67" s="836">
        <v>0</v>
      </c>
      <c r="T67" s="509">
        <v>0</v>
      </c>
      <c r="U67" s="507">
        <v>0</v>
      </c>
      <c r="V67" s="839">
        <f t="shared" si="22"/>
        <v>0</v>
      </c>
      <c r="Z67" s="515">
        <f t="shared" si="4"/>
        <v>0</v>
      </c>
    </row>
    <row r="68" spans="1:26" x14ac:dyDescent="0.25">
      <c r="A68" s="504"/>
      <c r="B68" s="818" t="s">
        <v>517</v>
      </c>
      <c r="C68" s="836">
        <v>39116000</v>
      </c>
      <c r="D68" s="509">
        <v>0</v>
      </c>
      <c r="E68" s="507">
        <v>0</v>
      </c>
      <c r="F68" s="839">
        <f t="shared" si="18"/>
        <v>39116000</v>
      </c>
      <c r="G68" s="843">
        <f>39116000+8408022</f>
        <v>47524022</v>
      </c>
      <c r="H68" s="509">
        <v>0</v>
      </c>
      <c r="I68" s="507">
        <v>0</v>
      </c>
      <c r="J68" s="839">
        <f t="shared" si="19"/>
        <v>47524022</v>
      </c>
      <c r="K68" s="843">
        <f>39116000+8408022</f>
        <v>47524022</v>
      </c>
      <c r="L68" s="509">
        <v>0</v>
      </c>
      <c r="M68" s="507">
        <v>0</v>
      </c>
      <c r="N68" s="839">
        <f t="shared" si="20"/>
        <v>47524022</v>
      </c>
      <c r="O68" s="843">
        <f>39116000+8408022</f>
        <v>47524022</v>
      </c>
      <c r="P68" s="509">
        <v>0</v>
      </c>
      <c r="Q68" s="507">
        <v>0</v>
      </c>
      <c r="R68" s="839">
        <f t="shared" si="21"/>
        <v>47524022</v>
      </c>
      <c r="S68" s="843">
        <f>8408022</f>
        <v>8408022</v>
      </c>
      <c r="T68" s="509">
        <v>0</v>
      </c>
      <c r="U68" s="507">
        <v>0</v>
      </c>
      <c r="V68" s="839">
        <f t="shared" si="22"/>
        <v>8408022</v>
      </c>
      <c r="Z68" s="515">
        <f t="shared" si="4"/>
        <v>0</v>
      </c>
    </row>
    <row r="69" spans="1:26" x14ac:dyDescent="0.25">
      <c r="A69" s="502" t="s">
        <v>322</v>
      </c>
      <c r="B69" s="815" t="s">
        <v>257</v>
      </c>
      <c r="C69" s="827">
        <f>C70+C71+C75+C76</f>
        <v>110000000</v>
      </c>
      <c r="D69" s="503">
        <f>D70+D71+D75+D76</f>
        <v>0</v>
      </c>
      <c r="E69" s="503">
        <f>E70+E71+E75+E76</f>
        <v>0</v>
      </c>
      <c r="F69" s="828">
        <f t="shared" si="18"/>
        <v>110000000</v>
      </c>
      <c r="G69" s="827">
        <f>G70+G71+G75+G76</f>
        <v>110000000</v>
      </c>
      <c r="H69" s="503">
        <f>H70+H71+H75+H76</f>
        <v>0</v>
      </c>
      <c r="I69" s="503">
        <f>I70+I71+I75+I76</f>
        <v>0</v>
      </c>
      <c r="J69" s="828">
        <f t="shared" si="19"/>
        <v>110000000</v>
      </c>
      <c r="K69" s="827">
        <f>K70+K71+K75+K76</f>
        <v>110000000</v>
      </c>
      <c r="L69" s="503">
        <f>L70+L71+L75+L76</f>
        <v>0</v>
      </c>
      <c r="M69" s="503">
        <f>M70+M71+M75+M76</f>
        <v>0</v>
      </c>
      <c r="N69" s="828">
        <f t="shared" si="20"/>
        <v>110000000</v>
      </c>
      <c r="O69" s="827">
        <f>O70+O71+O75+O76</f>
        <v>110000000</v>
      </c>
      <c r="P69" s="503">
        <f>P70+P71+P75+P76</f>
        <v>0</v>
      </c>
      <c r="Q69" s="503">
        <f>Q70+Q71+Q75+Q76</f>
        <v>0</v>
      </c>
      <c r="R69" s="828">
        <f t="shared" si="21"/>
        <v>110000000</v>
      </c>
      <c r="S69" s="827">
        <f>S70+S71+S75+S76</f>
        <v>6313998</v>
      </c>
      <c r="T69" s="503">
        <f>T70+T71+T75+T76</f>
        <v>0</v>
      </c>
      <c r="U69" s="503">
        <f>U70+U71+U75+U76</f>
        <v>0</v>
      </c>
      <c r="V69" s="828">
        <f t="shared" si="22"/>
        <v>6313998</v>
      </c>
      <c r="Z69" s="515">
        <f t="shared" ref="Z69:Z107" si="23">+R69-N69</f>
        <v>0</v>
      </c>
    </row>
    <row r="70" spans="1:26" x14ac:dyDescent="0.25">
      <c r="A70" s="504"/>
      <c r="B70" s="818" t="s">
        <v>323</v>
      </c>
      <c r="C70" s="836">
        <v>0</v>
      </c>
      <c r="D70" s="507">
        <v>0</v>
      </c>
      <c r="E70" s="507">
        <v>0</v>
      </c>
      <c r="F70" s="837">
        <f t="shared" si="18"/>
        <v>0</v>
      </c>
      <c r="G70" s="836">
        <v>0</v>
      </c>
      <c r="H70" s="507">
        <v>0</v>
      </c>
      <c r="I70" s="507">
        <v>0</v>
      </c>
      <c r="J70" s="837">
        <f t="shared" si="19"/>
        <v>0</v>
      </c>
      <c r="K70" s="836">
        <v>0</v>
      </c>
      <c r="L70" s="507">
        <v>0</v>
      </c>
      <c r="M70" s="507">
        <v>0</v>
      </c>
      <c r="N70" s="837">
        <f t="shared" si="20"/>
        <v>0</v>
      </c>
      <c r="O70" s="836">
        <v>0</v>
      </c>
      <c r="P70" s="507">
        <v>0</v>
      </c>
      <c r="Q70" s="507">
        <v>0</v>
      </c>
      <c r="R70" s="837">
        <f t="shared" si="21"/>
        <v>0</v>
      </c>
      <c r="S70" s="836">
        <v>0</v>
      </c>
      <c r="T70" s="507">
        <v>0</v>
      </c>
      <c r="U70" s="507">
        <v>0</v>
      </c>
      <c r="V70" s="837">
        <f t="shared" si="22"/>
        <v>0</v>
      </c>
      <c r="Z70" s="515">
        <f t="shared" si="23"/>
        <v>0</v>
      </c>
    </row>
    <row r="71" spans="1:26" x14ac:dyDescent="0.25">
      <c r="A71" s="504"/>
      <c r="B71" s="818" t="s">
        <v>518</v>
      </c>
      <c r="C71" s="836">
        <f>SUM(C72:C74)</f>
        <v>110000000</v>
      </c>
      <c r="D71" s="507">
        <f>SUM(D72:D74)</f>
        <v>0</v>
      </c>
      <c r="E71" s="507">
        <f>SUM(E72:E74)</f>
        <v>0</v>
      </c>
      <c r="F71" s="837">
        <f t="shared" si="18"/>
        <v>110000000</v>
      </c>
      <c r="G71" s="836">
        <f>SUM(G72:G74)</f>
        <v>110000000</v>
      </c>
      <c r="H71" s="507">
        <f>SUM(H72:H74)</f>
        <v>0</v>
      </c>
      <c r="I71" s="507">
        <f>SUM(I72:I74)</f>
        <v>0</v>
      </c>
      <c r="J71" s="837">
        <f t="shared" si="19"/>
        <v>110000000</v>
      </c>
      <c r="K71" s="836">
        <f>SUM(K72:K74)</f>
        <v>110000000</v>
      </c>
      <c r="L71" s="507">
        <f>SUM(L72:L74)</f>
        <v>0</v>
      </c>
      <c r="M71" s="507">
        <f>SUM(M72:M74)</f>
        <v>0</v>
      </c>
      <c r="N71" s="837">
        <f t="shared" si="20"/>
        <v>110000000</v>
      </c>
      <c r="O71" s="836">
        <f>SUM(O72:O74)</f>
        <v>110000000</v>
      </c>
      <c r="P71" s="507">
        <f>SUM(P72:P74)</f>
        <v>0</v>
      </c>
      <c r="Q71" s="507">
        <f>SUM(Q72:Q74)</f>
        <v>0</v>
      </c>
      <c r="R71" s="837">
        <f t="shared" si="21"/>
        <v>110000000</v>
      </c>
      <c r="S71" s="836">
        <f>SUM(S72:S74)</f>
        <v>4434574</v>
      </c>
      <c r="T71" s="507">
        <f>SUM(T72:T74)</f>
        <v>0</v>
      </c>
      <c r="U71" s="507">
        <f>SUM(U72:U74)</f>
        <v>0</v>
      </c>
      <c r="V71" s="837">
        <f t="shared" si="22"/>
        <v>4434574</v>
      </c>
      <c r="Z71" s="515">
        <f t="shared" si="23"/>
        <v>0</v>
      </c>
    </row>
    <row r="72" spans="1:26" x14ac:dyDescent="0.25">
      <c r="A72" s="504"/>
      <c r="B72" s="816" t="s">
        <v>519</v>
      </c>
      <c r="C72" s="834">
        <v>0</v>
      </c>
      <c r="D72" s="693"/>
      <c r="E72" s="693">
        <v>0</v>
      </c>
      <c r="F72" s="835">
        <f t="shared" si="18"/>
        <v>0</v>
      </c>
      <c r="G72" s="834">
        <v>0</v>
      </c>
      <c r="H72" s="693"/>
      <c r="I72" s="693">
        <v>0</v>
      </c>
      <c r="J72" s="835">
        <f t="shared" si="19"/>
        <v>0</v>
      </c>
      <c r="K72" s="834">
        <v>0</v>
      </c>
      <c r="L72" s="693"/>
      <c r="M72" s="693">
        <v>0</v>
      </c>
      <c r="N72" s="835">
        <f t="shared" si="20"/>
        <v>0</v>
      </c>
      <c r="O72" s="834">
        <v>0</v>
      </c>
      <c r="P72" s="693"/>
      <c r="Q72" s="693">
        <v>0</v>
      </c>
      <c r="R72" s="835">
        <f t="shared" si="21"/>
        <v>0</v>
      </c>
      <c r="S72" s="834">
        <v>0</v>
      </c>
      <c r="T72" s="693"/>
      <c r="U72" s="693">
        <v>0</v>
      </c>
      <c r="V72" s="835">
        <f t="shared" si="22"/>
        <v>0</v>
      </c>
      <c r="Z72" s="515">
        <f t="shared" si="23"/>
        <v>0</v>
      </c>
    </row>
    <row r="73" spans="1:26" x14ac:dyDescent="0.25">
      <c r="A73" s="504"/>
      <c r="B73" s="816" t="s">
        <v>520</v>
      </c>
      <c r="C73" s="834">
        <v>0</v>
      </c>
      <c r="D73" s="693">
        <v>0</v>
      </c>
      <c r="E73" s="693">
        <v>0</v>
      </c>
      <c r="F73" s="835">
        <f t="shared" si="18"/>
        <v>0</v>
      </c>
      <c r="G73" s="834">
        <v>0</v>
      </c>
      <c r="H73" s="693">
        <v>0</v>
      </c>
      <c r="I73" s="693">
        <v>0</v>
      </c>
      <c r="J73" s="835">
        <f t="shared" si="19"/>
        <v>0</v>
      </c>
      <c r="K73" s="834">
        <v>0</v>
      </c>
      <c r="L73" s="693">
        <v>0</v>
      </c>
      <c r="M73" s="693">
        <v>0</v>
      </c>
      <c r="N73" s="835">
        <f t="shared" si="20"/>
        <v>0</v>
      </c>
      <c r="O73" s="834">
        <v>0</v>
      </c>
      <c r="P73" s="693">
        <v>0</v>
      </c>
      <c r="Q73" s="693">
        <v>0</v>
      </c>
      <c r="R73" s="835">
        <f t="shared" si="21"/>
        <v>0</v>
      </c>
      <c r="S73" s="834">
        <v>0</v>
      </c>
      <c r="T73" s="693">
        <v>0</v>
      </c>
      <c r="U73" s="693">
        <v>0</v>
      </c>
      <c r="V73" s="835">
        <f t="shared" si="22"/>
        <v>0</v>
      </c>
      <c r="Z73" s="515">
        <f t="shared" si="23"/>
        <v>0</v>
      </c>
    </row>
    <row r="74" spans="1:26" x14ac:dyDescent="0.25">
      <c r="A74" s="540"/>
      <c r="B74" s="819" t="s">
        <v>521</v>
      </c>
      <c r="C74" s="840">
        <v>110000000</v>
      </c>
      <c r="D74" s="627"/>
      <c r="E74" s="627">
        <v>0</v>
      </c>
      <c r="F74" s="841">
        <f t="shared" si="18"/>
        <v>110000000</v>
      </c>
      <c r="G74" s="840">
        <v>110000000</v>
      </c>
      <c r="H74" s="627"/>
      <c r="I74" s="627">
        <v>0</v>
      </c>
      <c r="J74" s="841">
        <f t="shared" si="19"/>
        <v>110000000</v>
      </c>
      <c r="K74" s="840">
        <v>110000000</v>
      </c>
      <c r="L74" s="627"/>
      <c r="M74" s="627">
        <v>0</v>
      </c>
      <c r="N74" s="841">
        <f t="shared" si="20"/>
        <v>110000000</v>
      </c>
      <c r="O74" s="840">
        <v>110000000</v>
      </c>
      <c r="P74" s="627"/>
      <c r="Q74" s="627">
        <v>0</v>
      </c>
      <c r="R74" s="841">
        <f t="shared" si="21"/>
        <v>110000000</v>
      </c>
      <c r="S74" s="840">
        <v>4434574</v>
      </c>
      <c r="T74" s="627"/>
      <c r="U74" s="627">
        <v>0</v>
      </c>
      <c r="V74" s="841">
        <f t="shared" si="22"/>
        <v>4434574</v>
      </c>
      <c r="Z74" s="515">
        <f t="shared" si="23"/>
        <v>0</v>
      </c>
    </row>
    <row r="75" spans="1:26" x14ac:dyDescent="0.25">
      <c r="A75" s="504"/>
      <c r="B75" s="818" t="s">
        <v>522</v>
      </c>
      <c r="C75" s="836">
        <v>0</v>
      </c>
      <c r="D75" s="507">
        <v>0</v>
      </c>
      <c r="E75" s="507">
        <v>0</v>
      </c>
      <c r="F75" s="837">
        <f t="shared" si="18"/>
        <v>0</v>
      </c>
      <c r="G75" s="836">
        <v>0</v>
      </c>
      <c r="H75" s="507">
        <v>0</v>
      </c>
      <c r="I75" s="507">
        <v>0</v>
      </c>
      <c r="J75" s="837">
        <f t="shared" si="19"/>
        <v>0</v>
      </c>
      <c r="K75" s="836">
        <v>0</v>
      </c>
      <c r="L75" s="507">
        <v>0</v>
      </c>
      <c r="M75" s="507">
        <v>0</v>
      </c>
      <c r="N75" s="837">
        <f t="shared" si="20"/>
        <v>0</v>
      </c>
      <c r="O75" s="836">
        <v>0</v>
      </c>
      <c r="P75" s="507">
        <v>0</v>
      </c>
      <c r="Q75" s="507">
        <v>0</v>
      </c>
      <c r="R75" s="837">
        <f t="shared" si="21"/>
        <v>0</v>
      </c>
      <c r="S75" s="836">
        <v>366070</v>
      </c>
      <c r="T75" s="507">
        <v>0</v>
      </c>
      <c r="U75" s="507">
        <v>0</v>
      </c>
      <c r="V75" s="837">
        <f t="shared" si="22"/>
        <v>366070</v>
      </c>
      <c r="Z75" s="515">
        <f t="shared" si="23"/>
        <v>0</v>
      </c>
    </row>
    <row r="76" spans="1:26" x14ac:dyDescent="0.25">
      <c r="A76" s="504"/>
      <c r="B76" s="818" t="s">
        <v>523</v>
      </c>
      <c r="C76" s="836">
        <v>0</v>
      </c>
      <c r="D76" s="507">
        <v>0</v>
      </c>
      <c r="E76" s="507">
        <v>0</v>
      </c>
      <c r="F76" s="837">
        <f t="shared" si="18"/>
        <v>0</v>
      </c>
      <c r="G76" s="836">
        <v>0</v>
      </c>
      <c r="H76" s="507">
        <v>0</v>
      </c>
      <c r="I76" s="507">
        <v>0</v>
      </c>
      <c r="J76" s="837">
        <f t="shared" si="19"/>
        <v>0</v>
      </c>
      <c r="K76" s="836">
        <v>0</v>
      </c>
      <c r="L76" s="507">
        <v>0</v>
      </c>
      <c r="M76" s="507">
        <v>0</v>
      </c>
      <c r="N76" s="837">
        <f t="shared" si="20"/>
        <v>0</v>
      </c>
      <c r="O76" s="836">
        <v>0</v>
      </c>
      <c r="P76" s="507">
        <v>0</v>
      </c>
      <c r="Q76" s="507">
        <v>0</v>
      </c>
      <c r="R76" s="837">
        <f t="shared" si="21"/>
        <v>0</v>
      </c>
      <c r="S76" s="836">
        <v>1513354</v>
      </c>
      <c r="T76" s="507">
        <v>0</v>
      </c>
      <c r="U76" s="507">
        <v>0</v>
      </c>
      <c r="V76" s="837">
        <f t="shared" si="22"/>
        <v>1513354</v>
      </c>
      <c r="Z76" s="515">
        <f t="shared" si="23"/>
        <v>0</v>
      </c>
    </row>
    <row r="77" spans="1:26" x14ac:dyDescent="0.25">
      <c r="A77" s="502" t="s">
        <v>315</v>
      </c>
      <c r="B77" s="815" t="s">
        <v>325</v>
      </c>
      <c r="C77" s="827">
        <f>C80+C84+C78+C79+C91</f>
        <v>0</v>
      </c>
      <c r="D77" s="503">
        <f>D80+D84+D78+D79</f>
        <v>901655</v>
      </c>
      <c r="E77" s="503">
        <f>E80+E84+E78+E79</f>
        <v>0</v>
      </c>
      <c r="F77" s="828">
        <f t="shared" ref="F77:F95" si="24">SUM(C77:E77)</f>
        <v>901655</v>
      </c>
      <c r="G77" s="827">
        <f>G80+G84+G78+G79+G91</f>
        <v>0</v>
      </c>
      <c r="H77" s="503">
        <f>H80+H84+H78+H79</f>
        <v>901655</v>
      </c>
      <c r="I77" s="503">
        <f>I80+I84+I78+I79</f>
        <v>0</v>
      </c>
      <c r="J77" s="828">
        <f t="shared" ref="J77:J90" si="25">SUM(G77:I77)</f>
        <v>901655</v>
      </c>
      <c r="K77" s="827">
        <f>K80+K84+K78+K79+K91</f>
        <v>0</v>
      </c>
      <c r="L77" s="503">
        <f>L80+L84+L78+L79</f>
        <v>901655</v>
      </c>
      <c r="M77" s="503">
        <f>M80+M84+M78+M79</f>
        <v>0</v>
      </c>
      <c r="N77" s="828">
        <f t="shared" ref="N77:N90" si="26">SUM(K77:M77)</f>
        <v>901655</v>
      </c>
      <c r="O77" s="827">
        <f>O80+O84+O78+O79+O91</f>
        <v>0</v>
      </c>
      <c r="P77" s="503">
        <f>P80+P84+P78+P79</f>
        <v>901655</v>
      </c>
      <c r="Q77" s="503">
        <f>Q80+Q84+Q78+Q79</f>
        <v>0</v>
      </c>
      <c r="R77" s="828">
        <f t="shared" ref="R77:R90" si="27">SUM(O77:Q77)</f>
        <v>901655</v>
      </c>
      <c r="S77" s="827">
        <f>S80+S84+S78+S79+S91</f>
        <v>0</v>
      </c>
      <c r="T77" s="503">
        <f>T80+T84+T78+T79</f>
        <v>8109369</v>
      </c>
      <c r="U77" s="503">
        <f>U80+U84+U78+U79</f>
        <v>0</v>
      </c>
      <c r="V77" s="828">
        <f t="shared" ref="V77:V90" si="28">SUM(S77:U77)</f>
        <v>8109369</v>
      </c>
      <c r="Z77" s="515">
        <f t="shared" si="23"/>
        <v>0</v>
      </c>
    </row>
    <row r="78" spans="1:26" x14ac:dyDescent="0.25">
      <c r="A78" s="504"/>
      <c r="B78" s="818" t="s">
        <v>524</v>
      </c>
      <c r="C78" s="836">
        <v>0</v>
      </c>
      <c r="D78" s="507">
        <v>0</v>
      </c>
      <c r="E78" s="507">
        <v>0</v>
      </c>
      <c r="F78" s="837">
        <f t="shared" si="24"/>
        <v>0</v>
      </c>
      <c r="G78" s="836">
        <v>0</v>
      </c>
      <c r="H78" s="507">
        <v>0</v>
      </c>
      <c r="I78" s="507">
        <v>0</v>
      </c>
      <c r="J78" s="837">
        <f t="shared" si="25"/>
        <v>0</v>
      </c>
      <c r="K78" s="836">
        <v>0</v>
      </c>
      <c r="L78" s="507">
        <v>0</v>
      </c>
      <c r="M78" s="507">
        <v>0</v>
      </c>
      <c r="N78" s="837">
        <f t="shared" si="26"/>
        <v>0</v>
      </c>
      <c r="O78" s="836">
        <v>0</v>
      </c>
      <c r="P78" s="507">
        <v>0</v>
      </c>
      <c r="Q78" s="507">
        <v>0</v>
      </c>
      <c r="R78" s="837">
        <f t="shared" si="27"/>
        <v>0</v>
      </c>
      <c r="S78" s="836">
        <v>0</v>
      </c>
      <c r="T78" s="507">
        <v>0</v>
      </c>
      <c r="U78" s="507">
        <v>0</v>
      </c>
      <c r="V78" s="837">
        <f t="shared" si="28"/>
        <v>0</v>
      </c>
      <c r="Z78" s="515">
        <f t="shared" si="23"/>
        <v>0</v>
      </c>
    </row>
    <row r="79" spans="1:26" s="506" customFormat="1" ht="45" x14ac:dyDescent="0.25">
      <c r="A79" s="504"/>
      <c r="B79" s="782" t="s">
        <v>525</v>
      </c>
      <c r="C79" s="829">
        <v>0</v>
      </c>
      <c r="D79" s="505">
        <v>0</v>
      </c>
      <c r="E79" s="505">
        <v>0</v>
      </c>
      <c r="F79" s="830">
        <f t="shared" si="24"/>
        <v>0</v>
      </c>
      <c r="G79" s="829">
        <v>0</v>
      </c>
      <c r="H79" s="505">
        <v>0</v>
      </c>
      <c r="I79" s="505">
        <v>0</v>
      </c>
      <c r="J79" s="830">
        <f t="shared" si="25"/>
        <v>0</v>
      </c>
      <c r="K79" s="829">
        <v>0</v>
      </c>
      <c r="L79" s="505">
        <v>0</v>
      </c>
      <c r="M79" s="505">
        <v>0</v>
      </c>
      <c r="N79" s="830">
        <f t="shared" si="26"/>
        <v>0</v>
      </c>
      <c r="O79" s="829">
        <v>0</v>
      </c>
      <c r="P79" s="505">
        <v>0</v>
      </c>
      <c r="Q79" s="505">
        <v>0</v>
      </c>
      <c r="R79" s="830">
        <f t="shared" si="27"/>
        <v>0</v>
      </c>
      <c r="S79" s="829">
        <v>0</v>
      </c>
      <c r="T79" s="505">
        <v>0</v>
      </c>
      <c r="U79" s="505">
        <v>0</v>
      </c>
      <c r="V79" s="830">
        <f t="shared" si="28"/>
        <v>0</v>
      </c>
      <c r="Z79" s="515">
        <f t="shared" si="23"/>
        <v>0</v>
      </c>
    </row>
    <row r="80" spans="1:26" x14ac:dyDescent="0.25">
      <c r="A80" s="504"/>
      <c r="B80" s="818" t="s">
        <v>526</v>
      </c>
      <c r="C80" s="836">
        <f>SUM(C81:C83)</f>
        <v>0</v>
      </c>
      <c r="D80" s="507">
        <f>+D83</f>
        <v>901655</v>
      </c>
      <c r="E80" s="507">
        <f>SUM(E81:E83)</f>
        <v>0</v>
      </c>
      <c r="F80" s="837">
        <f t="shared" si="24"/>
        <v>901655</v>
      </c>
      <c r="G80" s="836">
        <f>SUM(G81:G83)</f>
        <v>0</v>
      </c>
      <c r="H80" s="507">
        <f>+H83</f>
        <v>901655</v>
      </c>
      <c r="I80" s="507">
        <f>SUM(I81:I83)</f>
        <v>0</v>
      </c>
      <c r="J80" s="837">
        <f t="shared" si="25"/>
        <v>901655</v>
      </c>
      <c r="K80" s="836">
        <f>SUM(K81:K83)</f>
        <v>0</v>
      </c>
      <c r="L80" s="507">
        <f>+L83</f>
        <v>901655</v>
      </c>
      <c r="M80" s="507">
        <f>SUM(M81:M83)</f>
        <v>0</v>
      </c>
      <c r="N80" s="837">
        <f t="shared" si="26"/>
        <v>901655</v>
      </c>
      <c r="O80" s="836">
        <f>SUM(O81:O83)</f>
        <v>0</v>
      </c>
      <c r="P80" s="507">
        <f>+P83</f>
        <v>901655</v>
      </c>
      <c r="Q80" s="507">
        <f>SUM(Q81:Q83)</f>
        <v>0</v>
      </c>
      <c r="R80" s="837">
        <f t="shared" si="27"/>
        <v>901655</v>
      </c>
      <c r="S80" s="836">
        <f>SUM(S81:S83)</f>
        <v>0</v>
      </c>
      <c r="T80" s="507">
        <v>8109369</v>
      </c>
      <c r="U80" s="507">
        <f>SUM(U81:U83)</f>
        <v>0</v>
      </c>
      <c r="V80" s="837">
        <f t="shared" si="28"/>
        <v>8109369</v>
      </c>
      <c r="Z80" s="515">
        <f t="shared" si="23"/>
        <v>0</v>
      </c>
    </row>
    <row r="81" spans="1:26" ht="15" hidden="1" customHeight="1" x14ac:dyDescent="0.25">
      <c r="A81" s="504"/>
      <c r="B81" s="816" t="s">
        <v>527</v>
      </c>
      <c r="C81" s="834">
        <v>0</v>
      </c>
      <c r="D81" s="693"/>
      <c r="E81" s="693">
        <v>0</v>
      </c>
      <c r="F81" s="835">
        <f t="shared" si="24"/>
        <v>0</v>
      </c>
      <c r="G81" s="834">
        <v>0</v>
      </c>
      <c r="H81" s="693"/>
      <c r="I81" s="693">
        <v>0</v>
      </c>
      <c r="J81" s="835">
        <f t="shared" si="25"/>
        <v>0</v>
      </c>
      <c r="K81" s="834">
        <v>0</v>
      </c>
      <c r="L81" s="693"/>
      <c r="M81" s="693">
        <v>0</v>
      </c>
      <c r="N81" s="835">
        <f t="shared" si="26"/>
        <v>0</v>
      </c>
      <c r="O81" s="834">
        <v>0</v>
      </c>
      <c r="P81" s="693"/>
      <c r="Q81" s="693">
        <v>0</v>
      </c>
      <c r="R81" s="835">
        <f t="shared" si="27"/>
        <v>0</v>
      </c>
      <c r="S81" s="834">
        <v>0</v>
      </c>
      <c r="T81" s="693"/>
      <c r="U81" s="693">
        <v>0</v>
      </c>
      <c r="V81" s="835">
        <f t="shared" si="28"/>
        <v>0</v>
      </c>
      <c r="Z81" s="515">
        <f t="shared" si="23"/>
        <v>0</v>
      </c>
    </row>
    <row r="82" spans="1:26" ht="15" hidden="1" customHeight="1" x14ac:dyDescent="0.25">
      <c r="A82" s="504"/>
      <c r="B82" s="816" t="s">
        <v>528</v>
      </c>
      <c r="C82" s="834">
        <v>0</v>
      </c>
      <c r="D82" s="693"/>
      <c r="E82" s="693">
        <v>0</v>
      </c>
      <c r="F82" s="835">
        <f t="shared" si="24"/>
        <v>0</v>
      </c>
      <c r="G82" s="834">
        <v>0</v>
      </c>
      <c r="H82" s="693"/>
      <c r="I82" s="693">
        <v>0</v>
      </c>
      <c r="J82" s="835">
        <f t="shared" si="25"/>
        <v>0</v>
      </c>
      <c r="K82" s="834">
        <v>0</v>
      </c>
      <c r="L82" s="693"/>
      <c r="M82" s="693">
        <v>0</v>
      </c>
      <c r="N82" s="835">
        <f t="shared" si="26"/>
        <v>0</v>
      </c>
      <c r="O82" s="834">
        <v>0</v>
      </c>
      <c r="P82" s="693"/>
      <c r="Q82" s="693">
        <v>0</v>
      </c>
      <c r="R82" s="835">
        <f t="shared" si="27"/>
        <v>0</v>
      </c>
      <c r="S82" s="834">
        <v>0</v>
      </c>
      <c r="T82" s="693"/>
      <c r="U82" s="693">
        <v>0</v>
      </c>
      <c r="V82" s="835">
        <f t="shared" si="28"/>
        <v>0</v>
      </c>
      <c r="Z82" s="515">
        <f t="shared" si="23"/>
        <v>0</v>
      </c>
    </row>
    <row r="83" spans="1:26" ht="30" hidden="1" customHeight="1" x14ac:dyDescent="0.25">
      <c r="A83" s="504"/>
      <c r="B83" s="816" t="s">
        <v>529</v>
      </c>
      <c r="C83" s="834">
        <v>0</v>
      </c>
      <c r="D83" s="693">
        <v>901655</v>
      </c>
      <c r="E83" s="693">
        <v>0</v>
      </c>
      <c r="F83" s="835">
        <f t="shared" si="24"/>
        <v>901655</v>
      </c>
      <c r="G83" s="834">
        <v>0</v>
      </c>
      <c r="H83" s="693">
        <v>901655</v>
      </c>
      <c r="I83" s="693">
        <v>0</v>
      </c>
      <c r="J83" s="835">
        <f t="shared" si="25"/>
        <v>901655</v>
      </c>
      <c r="K83" s="834">
        <v>0</v>
      </c>
      <c r="L83" s="693">
        <v>901655</v>
      </c>
      <c r="M83" s="693">
        <v>0</v>
      </c>
      <c r="N83" s="835">
        <f t="shared" si="26"/>
        <v>901655</v>
      </c>
      <c r="O83" s="834">
        <v>0</v>
      </c>
      <c r="P83" s="693">
        <v>901655</v>
      </c>
      <c r="Q83" s="693">
        <v>0</v>
      </c>
      <c r="R83" s="835">
        <f t="shared" si="27"/>
        <v>901655</v>
      </c>
      <c r="S83" s="834">
        <v>0</v>
      </c>
      <c r="T83" s="693">
        <v>901655</v>
      </c>
      <c r="U83" s="693">
        <v>0</v>
      </c>
      <c r="V83" s="835">
        <f t="shared" si="28"/>
        <v>901655</v>
      </c>
      <c r="Z83" s="515">
        <f t="shared" si="23"/>
        <v>0</v>
      </c>
    </row>
    <row r="84" spans="1:26" x14ac:dyDescent="0.25">
      <c r="A84" s="504"/>
      <c r="B84" s="818" t="s">
        <v>530</v>
      </c>
      <c r="C84" s="836">
        <f>SUM(C85:C90)</f>
        <v>0</v>
      </c>
      <c r="D84" s="507">
        <f>SUM(D85:D90)</f>
        <v>0</v>
      </c>
      <c r="E84" s="507">
        <f>SUM(E85:E90)</f>
        <v>0</v>
      </c>
      <c r="F84" s="837">
        <f t="shared" si="24"/>
        <v>0</v>
      </c>
      <c r="G84" s="836">
        <f>SUM(G85:G90)</f>
        <v>0</v>
      </c>
      <c r="H84" s="507">
        <v>0</v>
      </c>
      <c r="I84" s="507">
        <f>SUM(I85:I90)</f>
        <v>0</v>
      </c>
      <c r="J84" s="837">
        <f t="shared" si="25"/>
        <v>0</v>
      </c>
      <c r="K84" s="836">
        <f>SUM(K85:K90)</f>
        <v>0</v>
      </c>
      <c r="L84" s="507">
        <v>0</v>
      </c>
      <c r="M84" s="507">
        <f>SUM(M85:M90)</f>
        <v>0</v>
      </c>
      <c r="N84" s="837">
        <f t="shared" si="26"/>
        <v>0</v>
      </c>
      <c r="O84" s="836">
        <f>SUM(O85:O90)</f>
        <v>0</v>
      </c>
      <c r="P84" s="507">
        <v>0</v>
      </c>
      <c r="Q84" s="507">
        <f>SUM(Q85:Q90)</f>
        <v>0</v>
      </c>
      <c r="R84" s="837">
        <f t="shared" si="27"/>
        <v>0</v>
      </c>
      <c r="S84" s="836">
        <f>SUM(S85:S90)</f>
        <v>0</v>
      </c>
      <c r="T84" s="507">
        <v>0</v>
      </c>
      <c r="U84" s="507">
        <f>SUM(U85:U90)</f>
        <v>0</v>
      </c>
      <c r="V84" s="837">
        <f t="shared" si="28"/>
        <v>0</v>
      </c>
      <c r="Z84" s="515">
        <f t="shared" si="23"/>
        <v>0</v>
      </c>
    </row>
    <row r="85" spans="1:26" ht="15" hidden="1" customHeight="1" x14ac:dyDescent="0.25">
      <c r="A85" s="504"/>
      <c r="B85" s="816" t="s">
        <v>531</v>
      </c>
      <c r="C85" s="834"/>
      <c r="D85" s="693">
        <v>0</v>
      </c>
      <c r="E85" s="693">
        <v>0</v>
      </c>
      <c r="F85" s="835">
        <f t="shared" si="24"/>
        <v>0</v>
      </c>
      <c r="G85" s="834"/>
      <c r="H85" s="693">
        <v>0</v>
      </c>
      <c r="I85" s="693">
        <v>0</v>
      </c>
      <c r="J85" s="835">
        <f t="shared" si="25"/>
        <v>0</v>
      </c>
      <c r="K85" s="834"/>
      <c r="L85" s="693">
        <v>0</v>
      </c>
      <c r="M85" s="693">
        <v>0</v>
      </c>
      <c r="N85" s="835">
        <f t="shared" si="26"/>
        <v>0</v>
      </c>
      <c r="O85" s="834"/>
      <c r="P85" s="693">
        <v>0</v>
      </c>
      <c r="Q85" s="693">
        <v>0</v>
      </c>
      <c r="R85" s="835">
        <f t="shared" si="27"/>
        <v>0</v>
      </c>
      <c r="S85" s="834"/>
      <c r="T85" s="693">
        <v>0</v>
      </c>
      <c r="U85" s="693">
        <v>0</v>
      </c>
      <c r="V85" s="835">
        <f t="shared" si="28"/>
        <v>0</v>
      </c>
      <c r="Z85" s="515">
        <f t="shared" si="23"/>
        <v>0</v>
      </c>
    </row>
    <row r="86" spans="1:26" ht="15" hidden="1" customHeight="1" x14ac:dyDescent="0.25">
      <c r="A86" s="504"/>
      <c r="B86" s="816" t="s">
        <v>532</v>
      </c>
      <c r="C86" s="834"/>
      <c r="D86" s="693">
        <v>0</v>
      </c>
      <c r="E86" s="693">
        <v>0</v>
      </c>
      <c r="F86" s="835">
        <f t="shared" si="24"/>
        <v>0</v>
      </c>
      <c r="G86" s="834"/>
      <c r="H86" s="693">
        <v>0</v>
      </c>
      <c r="I86" s="693">
        <v>0</v>
      </c>
      <c r="J86" s="835">
        <f t="shared" si="25"/>
        <v>0</v>
      </c>
      <c r="K86" s="834"/>
      <c r="L86" s="693">
        <v>0</v>
      </c>
      <c r="M86" s="693">
        <v>0</v>
      </c>
      <c r="N86" s="835">
        <f t="shared" si="26"/>
        <v>0</v>
      </c>
      <c r="O86" s="834"/>
      <c r="P86" s="693">
        <v>0</v>
      </c>
      <c r="Q86" s="693">
        <v>0</v>
      </c>
      <c r="R86" s="835">
        <f t="shared" si="27"/>
        <v>0</v>
      </c>
      <c r="S86" s="834"/>
      <c r="T86" s="693">
        <v>0</v>
      </c>
      <c r="U86" s="693">
        <v>0</v>
      </c>
      <c r="V86" s="835">
        <f t="shared" si="28"/>
        <v>0</v>
      </c>
      <c r="Z86" s="515">
        <f t="shared" si="23"/>
        <v>0</v>
      </c>
    </row>
    <row r="87" spans="1:26" ht="15" hidden="1" customHeight="1" x14ac:dyDescent="0.25">
      <c r="A87" s="504"/>
      <c r="B87" s="816" t="s">
        <v>533</v>
      </c>
      <c r="C87" s="834"/>
      <c r="D87" s="693">
        <v>0</v>
      </c>
      <c r="E87" s="693">
        <v>0</v>
      </c>
      <c r="F87" s="835">
        <f t="shared" si="24"/>
        <v>0</v>
      </c>
      <c r="G87" s="834"/>
      <c r="H87" s="693">
        <v>0</v>
      </c>
      <c r="I87" s="693">
        <v>0</v>
      </c>
      <c r="J87" s="835">
        <f t="shared" si="25"/>
        <v>0</v>
      </c>
      <c r="K87" s="834"/>
      <c r="L87" s="693">
        <v>0</v>
      </c>
      <c r="M87" s="693">
        <v>0</v>
      </c>
      <c r="N87" s="835">
        <f t="shared" si="26"/>
        <v>0</v>
      </c>
      <c r="O87" s="834"/>
      <c r="P87" s="693">
        <v>0</v>
      </c>
      <c r="Q87" s="693">
        <v>0</v>
      </c>
      <c r="R87" s="835">
        <f t="shared" si="27"/>
        <v>0</v>
      </c>
      <c r="S87" s="834"/>
      <c r="T87" s="693">
        <v>0</v>
      </c>
      <c r="U87" s="693">
        <v>0</v>
      </c>
      <c r="V87" s="835">
        <f t="shared" si="28"/>
        <v>0</v>
      </c>
      <c r="Z87" s="515">
        <f t="shared" si="23"/>
        <v>0</v>
      </c>
    </row>
    <row r="88" spans="1:26" ht="15" hidden="1" customHeight="1" x14ac:dyDescent="0.25">
      <c r="A88" s="504"/>
      <c r="B88" s="816" t="s">
        <v>534</v>
      </c>
      <c r="C88" s="834"/>
      <c r="D88" s="693">
        <v>0</v>
      </c>
      <c r="E88" s="693">
        <v>0</v>
      </c>
      <c r="F88" s="835">
        <f t="shared" si="24"/>
        <v>0</v>
      </c>
      <c r="G88" s="834"/>
      <c r="H88" s="693">
        <v>0</v>
      </c>
      <c r="I88" s="693">
        <v>0</v>
      </c>
      <c r="J88" s="835">
        <f t="shared" si="25"/>
        <v>0</v>
      </c>
      <c r="K88" s="834"/>
      <c r="L88" s="693">
        <v>0</v>
      </c>
      <c r="M88" s="693">
        <v>0</v>
      </c>
      <c r="N88" s="835">
        <f t="shared" si="26"/>
        <v>0</v>
      </c>
      <c r="O88" s="834"/>
      <c r="P88" s="693">
        <v>0</v>
      </c>
      <c r="Q88" s="693">
        <v>0</v>
      </c>
      <c r="R88" s="835">
        <f t="shared" si="27"/>
        <v>0</v>
      </c>
      <c r="S88" s="834"/>
      <c r="T88" s="693">
        <v>0</v>
      </c>
      <c r="U88" s="693">
        <v>0</v>
      </c>
      <c r="V88" s="835">
        <f t="shared" si="28"/>
        <v>0</v>
      </c>
      <c r="Z88" s="515">
        <f t="shared" si="23"/>
        <v>0</v>
      </c>
    </row>
    <row r="89" spans="1:26" ht="15" hidden="1" customHeight="1" x14ac:dyDescent="0.25">
      <c r="A89" s="504"/>
      <c r="B89" s="816"/>
      <c r="C89" s="834"/>
      <c r="D89" s="693">
        <v>0</v>
      </c>
      <c r="E89" s="693">
        <v>0</v>
      </c>
      <c r="F89" s="835">
        <f t="shared" si="24"/>
        <v>0</v>
      </c>
      <c r="G89" s="834"/>
      <c r="H89" s="693">
        <v>0</v>
      </c>
      <c r="I89" s="693">
        <v>0</v>
      </c>
      <c r="J89" s="835">
        <f t="shared" si="25"/>
        <v>0</v>
      </c>
      <c r="K89" s="834"/>
      <c r="L89" s="693">
        <v>0</v>
      </c>
      <c r="M89" s="693">
        <v>0</v>
      </c>
      <c r="N89" s="835">
        <f t="shared" si="26"/>
        <v>0</v>
      </c>
      <c r="O89" s="834"/>
      <c r="P89" s="693">
        <v>0</v>
      </c>
      <c r="Q89" s="693">
        <v>0</v>
      </c>
      <c r="R89" s="835">
        <f t="shared" si="27"/>
        <v>0</v>
      </c>
      <c r="S89" s="834"/>
      <c r="T89" s="693">
        <v>0</v>
      </c>
      <c r="U89" s="693">
        <v>0</v>
      </c>
      <c r="V89" s="835">
        <f t="shared" si="28"/>
        <v>0</v>
      </c>
      <c r="Z89" s="515">
        <f t="shared" si="23"/>
        <v>0</v>
      </c>
    </row>
    <row r="90" spans="1:26" ht="15" hidden="1" customHeight="1" x14ac:dyDescent="0.25">
      <c r="A90" s="504"/>
      <c r="B90" s="816" t="s">
        <v>1664</v>
      </c>
      <c r="C90" s="834"/>
      <c r="D90" s="693">
        <v>0</v>
      </c>
      <c r="E90" s="693">
        <v>0</v>
      </c>
      <c r="F90" s="835">
        <f t="shared" si="24"/>
        <v>0</v>
      </c>
      <c r="G90" s="834"/>
      <c r="H90" s="693">
        <v>0</v>
      </c>
      <c r="I90" s="693">
        <v>0</v>
      </c>
      <c r="J90" s="835">
        <f t="shared" si="25"/>
        <v>0</v>
      </c>
      <c r="K90" s="834"/>
      <c r="L90" s="693">
        <v>0</v>
      </c>
      <c r="M90" s="693">
        <v>0</v>
      </c>
      <c r="N90" s="835">
        <f t="shared" si="26"/>
        <v>0</v>
      </c>
      <c r="O90" s="834"/>
      <c r="P90" s="693">
        <v>0</v>
      </c>
      <c r="Q90" s="693">
        <v>0</v>
      </c>
      <c r="R90" s="835">
        <f t="shared" si="27"/>
        <v>0</v>
      </c>
      <c r="S90" s="834"/>
      <c r="T90" s="693">
        <v>0</v>
      </c>
      <c r="U90" s="693">
        <v>0</v>
      </c>
      <c r="V90" s="835">
        <f t="shared" si="28"/>
        <v>0</v>
      </c>
      <c r="Z90" s="515">
        <f t="shared" si="23"/>
        <v>0</v>
      </c>
    </row>
    <row r="91" spans="1:26" s="46" customFormat="1" ht="30" x14ac:dyDescent="0.25">
      <c r="A91" s="584"/>
      <c r="B91" s="820" t="s">
        <v>1440</v>
      </c>
      <c r="C91" s="836"/>
      <c r="D91" s="507"/>
      <c r="E91" s="507"/>
      <c r="F91" s="837"/>
      <c r="G91" s="836"/>
      <c r="H91" s="507"/>
      <c r="I91" s="507"/>
      <c r="J91" s="837"/>
      <c r="K91" s="836"/>
      <c r="L91" s="507"/>
      <c r="M91" s="507"/>
      <c r="N91" s="837"/>
      <c r="O91" s="836"/>
      <c r="P91" s="507"/>
      <c r="Q91" s="507"/>
      <c r="R91" s="837"/>
      <c r="S91" s="836"/>
      <c r="T91" s="507"/>
      <c r="U91" s="507"/>
      <c r="V91" s="837"/>
      <c r="Z91" s="515">
        <f t="shared" si="23"/>
        <v>0</v>
      </c>
    </row>
    <row r="92" spans="1:26" ht="15" hidden="1" customHeight="1" x14ac:dyDescent="0.25">
      <c r="A92" s="504"/>
      <c r="B92" s="816" t="s">
        <v>1441</v>
      </c>
      <c r="C92" s="834"/>
      <c r="D92" s="693"/>
      <c r="E92" s="693"/>
      <c r="F92" s="835"/>
      <c r="G92" s="834"/>
      <c r="H92" s="693"/>
      <c r="I92" s="693"/>
      <c r="J92" s="835"/>
      <c r="K92" s="834"/>
      <c r="L92" s="693"/>
      <c r="M92" s="693"/>
      <c r="N92" s="835"/>
      <c r="O92" s="834"/>
      <c r="P92" s="693"/>
      <c r="Q92" s="693"/>
      <c r="R92" s="835"/>
      <c r="S92" s="834"/>
      <c r="T92" s="693"/>
      <c r="U92" s="693"/>
      <c r="V92" s="835"/>
      <c r="Z92" s="515">
        <f t="shared" si="23"/>
        <v>0</v>
      </c>
    </row>
    <row r="93" spans="1:26" x14ac:dyDescent="0.25">
      <c r="A93" s="510"/>
      <c r="B93" s="821" t="s">
        <v>327</v>
      </c>
      <c r="C93" s="803">
        <f>C5+C64</f>
        <v>4897172291</v>
      </c>
      <c r="D93" s="511">
        <f>D5+D64</f>
        <v>50138615</v>
      </c>
      <c r="E93" s="511">
        <f>E5+E64</f>
        <v>0</v>
      </c>
      <c r="F93" s="842">
        <f t="shared" si="24"/>
        <v>4947310906</v>
      </c>
      <c r="G93" s="803">
        <f>G5+G64</f>
        <v>4940661086</v>
      </c>
      <c r="H93" s="511">
        <f>H5+H64</f>
        <v>50138615</v>
      </c>
      <c r="I93" s="511">
        <f>I5+I64</f>
        <v>0</v>
      </c>
      <c r="J93" s="842">
        <f>SUM(G93:I93)</f>
        <v>4990799701</v>
      </c>
      <c r="K93" s="803">
        <f>K5+K64</f>
        <v>4924077700</v>
      </c>
      <c r="L93" s="511">
        <f>L5+L64</f>
        <v>50138615</v>
      </c>
      <c r="M93" s="511">
        <f>M5+M64</f>
        <v>0</v>
      </c>
      <c r="N93" s="842">
        <f>SUM(K93:M93)</f>
        <v>4974216315</v>
      </c>
      <c r="O93" s="803">
        <f>O5+O64</f>
        <v>4978658459</v>
      </c>
      <c r="P93" s="511">
        <f>P5+P64</f>
        <v>51138615</v>
      </c>
      <c r="Q93" s="511">
        <f>Q5+Q64</f>
        <v>0</v>
      </c>
      <c r="R93" s="842">
        <f>SUM(O93:Q93)</f>
        <v>5029797074</v>
      </c>
      <c r="S93" s="803">
        <f>S5+S64</f>
        <v>4867299285</v>
      </c>
      <c r="T93" s="511">
        <f>T5+T64</f>
        <v>55116483</v>
      </c>
      <c r="U93" s="511">
        <f>U5+U64</f>
        <v>0</v>
      </c>
      <c r="V93" s="842">
        <f>SUM(S93:U93)</f>
        <v>4922415768</v>
      </c>
      <c r="Z93" s="515">
        <f t="shared" si="23"/>
        <v>55580759</v>
      </c>
    </row>
    <row r="94" spans="1:26" x14ac:dyDescent="0.25">
      <c r="A94" s="500" t="s">
        <v>328</v>
      </c>
      <c r="B94" s="814" t="s">
        <v>329</v>
      </c>
      <c r="C94" s="825">
        <f>C95+C107</f>
        <v>1000000000</v>
      </c>
      <c r="D94" s="501">
        <f>D95+D107</f>
        <v>0</v>
      </c>
      <c r="E94" s="501">
        <f>E95+E107</f>
        <v>0</v>
      </c>
      <c r="F94" s="826">
        <f t="shared" si="24"/>
        <v>1000000000</v>
      </c>
      <c r="G94" s="825">
        <f>G95+G107</f>
        <v>1566169657</v>
      </c>
      <c r="H94" s="501">
        <f>H95+H107</f>
        <v>0</v>
      </c>
      <c r="I94" s="501">
        <f>I95+I107</f>
        <v>0</v>
      </c>
      <c r="J94" s="826">
        <f>SUM(G94:I94)</f>
        <v>1566169657</v>
      </c>
      <c r="K94" s="825">
        <f>K95+K107</f>
        <v>1716229498</v>
      </c>
      <c r="L94" s="501">
        <f>L95+L107</f>
        <v>0</v>
      </c>
      <c r="M94" s="501">
        <f>M95+M107</f>
        <v>0</v>
      </c>
      <c r="N94" s="826">
        <f>SUM(K94:M94)</f>
        <v>1716229498</v>
      </c>
      <c r="O94" s="825">
        <f>O95+O107</f>
        <v>1963458470</v>
      </c>
      <c r="P94" s="501">
        <f>P95+P107</f>
        <v>0</v>
      </c>
      <c r="Q94" s="501">
        <f>Q95+Q107</f>
        <v>0</v>
      </c>
      <c r="R94" s="826">
        <f>SUM(O94:Q94)</f>
        <v>1963458470</v>
      </c>
      <c r="S94" s="825">
        <f>S95+S107</f>
        <v>1973902121</v>
      </c>
      <c r="T94" s="501">
        <f>T95+T107</f>
        <v>0</v>
      </c>
      <c r="U94" s="501">
        <f>U95+U107</f>
        <v>0</v>
      </c>
      <c r="V94" s="826">
        <f>SUM(S94:U94)</f>
        <v>1973902121</v>
      </c>
      <c r="Z94" s="515">
        <f t="shared" si="23"/>
        <v>247228972</v>
      </c>
    </row>
    <row r="95" spans="1:26" x14ac:dyDescent="0.25">
      <c r="A95" s="502" t="s">
        <v>311</v>
      </c>
      <c r="B95" s="815" t="s">
        <v>330</v>
      </c>
      <c r="C95" s="827">
        <f>C96+C101+C102+C105+C106</f>
        <v>1000000000</v>
      </c>
      <c r="D95" s="503">
        <f>D96+D101+D102+D105+D106</f>
        <v>0</v>
      </c>
      <c r="E95" s="503">
        <f>E96+E101+E102+E105+E106</f>
        <v>0</v>
      </c>
      <c r="F95" s="828">
        <f t="shared" si="24"/>
        <v>1000000000</v>
      </c>
      <c r="G95" s="827">
        <f>G96+G101+G102+G105+G106</f>
        <v>1566169657</v>
      </c>
      <c r="H95" s="503">
        <f>H96+H101+H102+H105+H106</f>
        <v>0</v>
      </c>
      <c r="I95" s="503">
        <f>I96+I101+I102+I105+I106</f>
        <v>0</v>
      </c>
      <c r="J95" s="828">
        <f>SUM(G95:I95)</f>
        <v>1566169657</v>
      </c>
      <c r="K95" s="827">
        <f>K96+K101+K102+K105+K106</f>
        <v>1716229498</v>
      </c>
      <c r="L95" s="503">
        <f>L96+L101+L102+L105+L106</f>
        <v>0</v>
      </c>
      <c r="M95" s="503">
        <f>M96+M101+M102+M105+M106</f>
        <v>0</v>
      </c>
      <c r="N95" s="828">
        <f>SUM(K95:M95)</f>
        <v>1716229498</v>
      </c>
      <c r="O95" s="827">
        <f>O96+O101+O102+O105+O106</f>
        <v>1963458470</v>
      </c>
      <c r="P95" s="503">
        <f>P96+P101+P102+P105+P106</f>
        <v>0</v>
      </c>
      <c r="Q95" s="503">
        <f>Q96+Q101+Q102+Q105+Q106</f>
        <v>0</v>
      </c>
      <c r="R95" s="828">
        <f>SUM(O95:Q95)</f>
        <v>1963458470</v>
      </c>
      <c r="S95" s="827">
        <f>S96+S101+S102+S105+S106</f>
        <v>1973902121</v>
      </c>
      <c r="T95" s="503">
        <f>T96+T101+T102+T105+T106</f>
        <v>0</v>
      </c>
      <c r="U95" s="503">
        <f>U96+U101+U102+U105+U106</f>
        <v>0</v>
      </c>
      <c r="V95" s="828">
        <f>SUM(S95:U95)</f>
        <v>1973902121</v>
      </c>
      <c r="W95" s="515">
        <f>+R95-N95</f>
        <v>247228972</v>
      </c>
      <c r="Z95" s="515">
        <f t="shared" si="23"/>
        <v>247228972</v>
      </c>
    </row>
    <row r="96" spans="1:26" x14ac:dyDescent="0.25">
      <c r="A96" s="504"/>
      <c r="B96" s="818" t="s">
        <v>535</v>
      </c>
      <c r="C96" s="836">
        <f t="shared" ref="C96:J96" si="29">SUM(C97:C100)</f>
        <v>0</v>
      </c>
      <c r="D96" s="507">
        <f t="shared" si="29"/>
        <v>0</v>
      </c>
      <c r="E96" s="507">
        <f t="shared" si="29"/>
        <v>0</v>
      </c>
      <c r="F96" s="837">
        <f t="shared" si="29"/>
        <v>0</v>
      </c>
      <c r="G96" s="836">
        <f t="shared" si="29"/>
        <v>0</v>
      </c>
      <c r="H96" s="507">
        <f t="shared" si="29"/>
        <v>0</v>
      </c>
      <c r="I96" s="507">
        <f t="shared" si="29"/>
        <v>0</v>
      </c>
      <c r="J96" s="837">
        <f t="shared" si="29"/>
        <v>0</v>
      </c>
      <c r="K96" s="836">
        <f t="shared" ref="K96:N96" si="30">SUM(K97:K100)</f>
        <v>0</v>
      </c>
      <c r="L96" s="507">
        <f t="shared" si="30"/>
        <v>0</v>
      </c>
      <c r="M96" s="507">
        <f t="shared" si="30"/>
        <v>0</v>
      </c>
      <c r="N96" s="837">
        <f t="shared" si="30"/>
        <v>0</v>
      </c>
      <c r="O96" s="836">
        <f t="shared" ref="O96:V96" si="31">SUM(O97:O100)</f>
        <v>0</v>
      </c>
      <c r="P96" s="507">
        <f t="shared" si="31"/>
        <v>0</v>
      </c>
      <c r="Q96" s="507">
        <f t="shared" si="31"/>
        <v>0</v>
      </c>
      <c r="R96" s="837">
        <f t="shared" si="31"/>
        <v>0</v>
      </c>
      <c r="S96" s="836">
        <f t="shared" si="31"/>
        <v>0</v>
      </c>
      <c r="T96" s="507">
        <f t="shared" si="31"/>
        <v>0</v>
      </c>
      <c r="U96" s="507">
        <f t="shared" si="31"/>
        <v>0</v>
      </c>
      <c r="V96" s="837">
        <f t="shared" si="31"/>
        <v>0</v>
      </c>
      <c r="Z96" s="515">
        <f t="shared" si="23"/>
        <v>0</v>
      </c>
    </row>
    <row r="97" spans="1:26" x14ac:dyDescent="0.25">
      <c r="A97" s="504"/>
      <c r="B97" s="816" t="s">
        <v>536</v>
      </c>
      <c r="C97" s="834">
        <v>0</v>
      </c>
      <c r="D97" s="693"/>
      <c r="E97" s="693">
        <v>0</v>
      </c>
      <c r="F97" s="835">
        <f>SUM(C97:E97)</f>
        <v>0</v>
      </c>
      <c r="G97" s="834">
        <v>0</v>
      </c>
      <c r="H97" s="693"/>
      <c r="I97" s="693">
        <v>0</v>
      </c>
      <c r="J97" s="835">
        <f>SUM(G97:I97)</f>
        <v>0</v>
      </c>
      <c r="K97" s="834">
        <v>0</v>
      </c>
      <c r="L97" s="693"/>
      <c r="M97" s="693">
        <v>0</v>
      </c>
      <c r="N97" s="835">
        <f>SUM(K97:M97)</f>
        <v>0</v>
      </c>
      <c r="O97" s="834">
        <v>0</v>
      </c>
      <c r="P97" s="693"/>
      <c r="Q97" s="693">
        <v>0</v>
      </c>
      <c r="R97" s="835">
        <f>SUM(O97:Q97)</f>
        <v>0</v>
      </c>
      <c r="S97" s="834">
        <v>0</v>
      </c>
      <c r="T97" s="693"/>
      <c r="U97" s="693">
        <v>0</v>
      </c>
      <c r="V97" s="835">
        <f>SUM(S97:U97)</f>
        <v>0</v>
      </c>
      <c r="Z97" s="515">
        <f t="shared" si="23"/>
        <v>0</v>
      </c>
    </row>
    <row r="98" spans="1:26" ht="15" hidden="1" customHeight="1" x14ac:dyDescent="0.25">
      <c r="A98" s="504"/>
      <c r="B98" s="816"/>
      <c r="C98" s="834"/>
      <c r="D98" s="693"/>
      <c r="E98" s="693"/>
      <c r="F98" s="835">
        <f>SUM(C98:E98)</f>
        <v>0</v>
      </c>
      <c r="G98" s="834"/>
      <c r="H98" s="693"/>
      <c r="I98" s="693"/>
      <c r="J98" s="835">
        <f>SUM(G98:I98)</f>
        <v>0</v>
      </c>
      <c r="K98" s="834"/>
      <c r="L98" s="693"/>
      <c r="M98" s="693"/>
      <c r="N98" s="835">
        <f>SUM(K98:M98)</f>
        <v>0</v>
      </c>
      <c r="O98" s="834"/>
      <c r="P98" s="693"/>
      <c r="Q98" s="693"/>
      <c r="R98" s="835">
        <f>SUM(O98:Q98)</f>
        <v>0</v>
      </c>
      <c r="S98" s="834"/>
      <c r="T98" s="693"/>
      <c r="U98" s="693"/>
      <c r="V98" s="835">
        <f>SUM(S98:U98)</f>
        <v>0</v>
      </c>
      <c r="Z98" s="515">
        <f t="shared" si="23"/>
        <v>0</v>
      </c>
    </row>
    <row r="99" spans="1:26" x14ac:dyDescent="0.25">
      <c r="A99" s="504"/>
      <c r="B99" s="816" t="s">
        <v>537</v>
      </c>
      <c r="C99" s="834">
        <v>0</v>
      </c>
      <c r="D99" s="693">
        <v>0</v>
      </c>
      <c r="E99" s="693">
        <v>0</v>
      </c>
      <c r="F99" s="835">
        <f>SUM(C99:E99)</f>
        <v>0</v>
      </c>
      <c r="G99" s="834">
        <v>0</v>
      </c>
      <c r="H99" s="693">
        <v>0</v>
      </c>
      <c r="I99" s="693">
        <v>0</v>
      </c>
      <c r="J99" s="835">
        <f>SUM(G99:I99)</f>
        <v>0</v>
      </c>
      <c r="K99" s="834">
        <v>0</v>
      </c>
      <c r="L99" s="693">
        <v>0</v>
      </c>
      <c r="M99" s="693">
        <v>0</v>
      </c>
      <c r="N99" s="835">
        <f>SUM(K99:M99)</f>
        <v>0</v>
      </c>
      <c r="O99" s="834">
        <v>0</v>
      </c>
      <c r="P99" s="693">
        <v>0</v>
      </c>
      <c r="Q99" s="693">
        <v>0</v>
      </c>
      <c r="R99" s="835">
        <f>SUM(O99:Q99)</f>
        <v>0</v>
      </c>
      <c r="S99" s="834">
        <v>0</v>
      </c>
      <c r="T99" s="693">
        <v>0</v>
      </c>
      <c r="U99" s="693">
        <v>0</v>
      </c>
      <c r="V99" s="835">
        <f>SUM(S99:U99)</f>
        <v>0</v>
      </c>
      <c r="Z99" s="515">
        <f t="shared" si="23"/>
        <v>0</v>
      </c>
    </row>
    <row r="100" spans="1:26" x14ac:dyDescent="0.25">
      <c r="A100" s="504"/>
      <c r="B100" s="816" t="s">
        <v>538</v>
      </c>
      <c r="C100" s="834">
        <v>0</v>
      </c>
      <c r="D100" s="693">
        <v>0</v>
      </c>
      <c r="E100" s="693">
        <v>0</v>
      </c>
      <c r="F100" s="835">
        <f t="shared" ref="F100:F105" si="32">SUM(C100:E100)</f>
        <v>0</v>
      </c>
      <c r="G100" s="834">
        <v>0</v>
      </c>
      <c r="H100" s="693">
        <v>0</v>
      </c>
      <c r="I100" s="693">
        <v>0</v>
      </c>
      <c r="J100" s="835">
        <f t="shared" ref="J100:J105" si="33">SUM(G100:I100)</f>
        <v>0</v>
      </c>
      <c r="K100" s="834">
        <v>0</v>
      </c>
      <c r="L100" s="693">
        <v>0</v>
      </c>
      <c r="M100" s="693">
        <v>0</v>
      </c>
      <c r="N100" s="835">
        <f t="shared" ref="N100:N105" si="34">SUM(K100:M100)</f>
        <v>0</v>
      </c>
      <c r="O100" s="834">
        <v>0</v>
      </c>
      <c r="P100" s="693">
        <v>0</v>
      </c>
      <c r="Q100" s="693">
        <v>0</v>
      </c>
      <c r="R100" s="835">
        <f t="shared" ref="R100:R105" si="35">SUM(O100:Q100)</f>
        <v>0</v>
      </c>
      <c r="S100" s="834">
        <v>0</v>
      </c>
      <c r="T100" s="693">
        <v>0</v>
      </c>
      <c r="U100" s="693">
        <v>0</v>
      </c>
      <c r="V100" s="835">
        <f t="shared" ref="V100:V105" si="36">SUM(S100:U100)</f>
        <v>0</v>
      </c>
      <c r="Z100" s="515">
        <f t="shared" si="23"/>
        <v>0</v>
      </c>
    </row>
    <row r="101" spans="1:26" x14ac:dyDescent="0.25">
      <c r="A101" s="504"/>
      <c r="B101" s="818" t="s">
        <v>539</v>
      </c>
      <c r="C101" s="836">
        <v>0</v>
      </c>
      <c r="D101" s="507">
        <v>0</v>
      </c>
      <c r="E101" s="507">
        <v>0</v>
      </c>
      <c r="F101" s="837">
        <f t="shared" si="32"/>
        <v>0</v>
      </c>
      <c r="G101" s="836">
        <v>0</v>
      </c>
      <c r="H101" s="507">
        <v>0</v>
      </c>
      <c r="I101" s="507">
        <v>0</v>
      </c>
      <c r="J101" s="837">
        <f t="shared" si="33"/>
        <v>0</v>
      </c>
      <c r="K101" s="836">
        <v>0</v>
      </c>
      <c r="L101" s="507">
        <v>0</v>
      </c>
      <c r="M101" s="507">
        <v>0</v>
      </c>
      <c r="N101" s="837">
        <f t="shared" si="34"/>
        <v>0</v>
      </c>
      <c r="O101" s="836">
        <v>0</v>
      </c>
      <c r="P101" s="507">
        <v>0</v>
      </c>
      <c r="Q101" s="507">
        <v>0</v>
      </c>
      <c r="R101" s="837">
        <f t="shared" si="35"/>
        <v>0</v>
      </c>
      <c r="S101" s="836">
        <v>0</v>
      </c>
      <c r="T101" s="507">
        <v>0</v>
      </c>
      <c r="U101" s="507">
        <v>0</v>
      </c>
      <c r="V101" s="837">
        <f t="shared" si="36"/>
        <v>0</v>
      </c>
      <c r="Z101" s="515">
        <f t="shared" si="23"/>
        <v>0</v>
      </c>
    </row>
    <row r="102" spans="1:26" x14ac:dyDescent="0.25">
      <c r="A102" s="504"/>
      <c r="B102" s="818" t="s">
        <v>540</v>
      </c>
      <c r="C102" s="843">
        <f>C103+C104</f>
        <v>1000000000</v>
      </c>
      <c r="D102" s="509">
        <f>D103+D104</f>
        <v>0</v>
      </c>
      <c r="E102" s="509">
        <f>E103+E104</f>
        <v>0</v>
      </c>
      <c r="F102" s="839">
        <f t="shared" si="32"/>
        <v>1000000000</v>
      </c>
      <c r="G102" s="843">
        <f>G103+G104</f>
        <v>1379715282</v>
      </c>
      <c r="H102" s="509">
        <f>H103+H104</f>
        <v>0</v>
      </c>
      <c r="I102" s="509">
        <f>I103+I104</f>
        <v>0</v>
      </c>
      <c r="J102" s="839">
        <f t="shared" si="33"/>
        <v>1379715282</v>
      </c>
      <c r="K102" s="843">
        <f>K103+K104</f>
        <v>1379715282</v>
      </c>
      <c r="L102" s="509">
        <f>L103+L104</f>
        <v>0</v>
      </c>
      <c r="M102" s="509">
        <f>M103+M104</f>
        <v>0</v>
      </c>
      <c r="N102" s="839">
        <f t="shared" si="34"/>
        <v>1379715282</v>
      </c>
      <c r="O102" s="843">
        <f>O103+O104</f>
        <v>1369271631</v>
      </c>
      <c r="P102" s="509">
        <f>P103+P104</f>
        <v>0</v>
      </c>
      <c r="Q102" s="509">
        <f>Q103+Q104</f>
        <v>0</v>
      </c>
      <c r="R102" s="839">
        <f t="shared" si="35"/>
        <v>1369271631</v>
      </c>
      <c r="S102" s="843">
        <f>S103+S104</f>
        <v>1379715282</v>
      </c>
      <c r="T102" s="509">
        <f>T103+T104</f>
        <v>0</v>
      </c>
      <c r="U102" s="509">
        <f>U103+U104</f>
        <v>0</v>
      </c>
      <c r="V102" s="839">
        <f t="shared" si="36"/>
        <v>1379715282</v>
      </c>
      <c r="Z102" s="515">
        <f t="shared" si="23"/>
        <v>-10443651</v>
      </c>
    </row>
    <row r="103" spans="1:26" x14ac:dyDescent="0.25">
      <c r="A103" s="504"/>
      <c r="B103" s="816" t="s">
        <v>541</v>
      </c>
      <c r="C103" s="844">
        <v>0</v>
      </c>
      <c r="D103" s="512">
        <v>0</v>
      </c>
      <c r="E103" s="512">
        <v>0</v>
      </c>
      <c r="F103" s="845">
        <f t="shared" si="32"/>
        <v>0</v>
      </c>
      <c r="G103" s="844">
        <v>379715282</v>
      </c>
      <c r="H103" s="512">
        <v>0</v>
      </c>
      <c r="I103" s="512">
        <v>0</v>
      </c>
      <c r="J103" s="845">
        <f t="shared" si="33"/>
        <v>379715282</v>
      </c>
      <c r="K103" s="844">
        <v>379715282</v>
      </c>
      <c r="L103" s="512">
        <v>0</v>
      </c>
      <c r="M103" s="512">
        <v>0</v>
      </c>
      <c r="N103" s="845">
        <f t="shared" si="34"/>
        <v>379715282</v>
      </c>
      <c r="O103" s="844">
        <f>379715282-10443651</f>
        <v>369271631</v>
      </c>
      <c r="P103" s="512">
        <v>0</v>
      </c>
      <c r="Q103" s="512">
        <v>0</v>
      </c>
      <c r="R103" s="845">
        <f t="shared" si="35"/>
        <v>369271631</v>
      </c>
      <c r="S103" s="844">
        <v>379715282</v>
      </c>
      <c r="T103" s="512">
        <v>0</v>
      </c>
      <c r="U103" s="512">
        <v>0</v>
      </c>
      <c r="V103" s="845">
        <f t="shared" si="36"/>
        <v>379715282</v>
      </c>
      <c r="W103" s="515">
        <f t="shared" ref="W103:W105" si="37">+R103-N103</f>
        <v>-10443651</v>
      </c>
      <c r="Z103" s="515">
        <f t="shared" si="23"/>
        <v>-10443651</v>
      </c>
    </row>
    <row r="104" spans="1:26" x14ac:dyDescent="0.25">
      <c r="A104" s="504"/>
      <c r="B104" s="816" t="s">
        <v>542</v>
      </c>
      <c r="C104" s="834">
        <f>800000000+200000000</f>
        <v>1000000000</v>
      </c>
      <c r="D104" s="693"/>
      <c r="E104" s="693">
        <v>0</v>
      </c>
      <c r="F104" s="835">
        <f t="shared" si="32"/>
        <v>1000000000</v>
      </c>
      <c r="G104" s="834">
        <f>800000000+200000000</f>
        <v>1000000000</v>
      </c>
      <c r="H104" s="693"/>
      <c r="I104" s="693">
        <v>0</v>
      </c>
      <c r="J104" s="835">
        <f t="shared" si="33"/>
        <v>1000000000</v>
      </c>
      <c r="K104" s="834">
        <f>800000000+200000000</f>
        <v>1000000000</v>
      </c>
      <c r="L104" s="693"/>
      <c r="M104" s="693">
        <v>0</v>
      </c>
      <c r="N104" s="835">
        <f t="shared" si="34"/>
        <v>1000000000</v>
      </c>
      <c r="O104" s="834">
        <f>800000000+200000000</f>
        <v>1000000000</v>
      </c>
      <c r="P104" s="693"/>
      <c r="Q104" s="693">
        <v>0</v>
      </c>
      <c r="R104" s="835">
        <f t="shared" si="35"/>
        <v>1000000000</v>
      </c>
      <c r="S104" s="834">
        <f>800000000+200000000</f>
        <v>1000000000</v>
      </c>
      <c r="T104" s="693"/>
      <c r="U104" s="693">
        <v>0</v>
      </c>
      <c r="V104" s="835">
        <f t="shared" si="36"/>
        <v>1000000000</v>
      </c>
      <c r="W104" s="515">
        <f t="shared" si="37"/>
        <v>0</v>
      </c>
      <c r="Z104" s="515">
        <f t="shared" si="23"/>
        <v>0</v>
      </c>
    </row>
    <row r="105" spans="1:26" x14ac:dyDescent="0.25">
      <c r="A105" s="504"/>
      <c r="B105" s="818" t="s">
        <v>1449</v>
      </c>
      <c r="C105" s="836">
        <v>0</v>
      </c>
      <c r="D105" s="507">
        <v>0</v>
      </c>
      <c r="E105" s="507">
        <v>0</v>
      </c>
      <c r="F105" s="837">
        <f t="shared" si="32"/>
        <v>0</v>
      </c>
      <c r="G105" s="836">
        <f>50993528+32192282+23227093+38950756+41090716</f>
        <v>186454375</v>
      </c>
      <c r="H105" s="507">
        <v>0</v>
      </c>
      <c r="I105" s="507">
        <v>0</v>
      </c>
      <c r="J105" s="837">
        <f t="shared" si="33"/>
        <v>186454375</v>
      </c>
      <c r="K105" s="836">
        <f>50993528+32192282+23227093+38950756+41090716+41888146+48994213+59177482</f>
        <v>336514216</v>
      </c>
      <c r="L105" s="507">
        <v>0</v>
      </c>
      <c r="M105" s="507">
        <v>0</v>
      </c>
      <c r="N105" s="837">
        <f t="shared" si="34"/>
        <v>336514216</v>
      </c>
      <c r="O105" s="836">
        <f>50993528+32192282+23227093+38950756+41090716+41888146+48994213+59177482+46292920+46645943+45728172+78507646+40497942</f>
        <v>594186839</v>
      </c>
      <c r="P105" s="507">
        <v>0</v>
      </c>
      <c r="Q105" s="507">
        <v>0</v>
      </c>
      <c r="R105" s="837">
        <f t="shared" si="35"/>
        <v>594186839</v>
      </c>
      <c r="S105" s="836">
        <f>50993528+32192282+23227093+38950756+41090716+41888146+48994213+59177482+46292920+46645943+45728172+78507646+40497942</f>
        <v>594186839</v>
      </c>
      <c r="T105" s="507">
        <v>0</v>
      </c>
      <c r="U105" s="507">
        <v>0</v>
      </c>
      <c r="V105" s="837">
        <f t="shared" si="36"/>
        <v>594186839</v>
      </c>
      <c r="W105" s="515">
        <f t="shared" si="37"/>
        <v>257672623</v>
      </c>
      <c r="Z105" s="515">
        <f t="shared" si="23"/>
        <v>257672623</v>
      </c>
    </row>
    <row r="106" spans="1:26" ht="15" hidden="1" customHeight="1" x14ac:dyDescent="0.25">
      <c r="A106" s="504"/>
      <c r="B106" s="818" t="s">
        <v>544</v>
      </c>
      <c r="C106" s="836">
        <v>0</v>
      </c>
      <c r="D106" s="507"/>
      <c r="E106" s="507">
        <v>0</v>
      </c>
      <c r="F106" s="837"/>
      <c r="G106" s="836">
        <v>0</v>
      </c>
      <c r="H106" s="507"/>
      <c r="I106" s="507">
        <v>0</v>
      </c>
      <c r="J106" s="837"/>
      <c r="K106" s="836">
        <v>0</v>
      </c>
      <c r="L106" s="507"/>
      <c r="M106" s="507">
        <v>0</v>
      </c>
      <c r="N106" s="837"/>
      <c r="O106" s="836">
        <v>0</v>
      </c>
      <c r="P106" s="507"/>
      <c r="Q106" s="507">
        <v>0</v>
      </c>
      <c r="R106" s="837"/>
      <c r="S106" s="836">
        <v>0</v>
      </c>
      <c r="T106" s="507"/>
      <c r="U106" s="507">
        <v>0</v>
      </c>
      <c r="V106" s="837"/>
      <c r="Z106" s="515">
        <f t="shared" si="23"/>
        <v>0</v>
      </c>
    </row>
    <row r="107" spans="1:26" x14ac:dyDescent="0.25">
      <c r="A107" s="502" t="s">
        <v>322</v>
      </c>
      <c r="B107" s="815" t="s">
        <v>545</v>
      </c>
      <c r="C107" s="827">
        <f>C108+C109</f>
        <v>0</v>
      </c>
      <c r="D107" s="503">
        <f>D108+D109</f>
        <v>0</v>
      </c>
      <c r="E107" s="503">
        <f>E108+E109</f>
        <v>0</v>
      </c>
      <c r="F107" s="828">
        <f>SUM(C107:E107)</f>
        <v>0</v>
      </c>
      <c r="G107" s="827">
        <f>G108+G109</f>
        <v>0</v>
      </c>
      <c r="H107" s="503">
        <f>H108+H109</f>
        <v>0</v>
      </c>
      <c r="I107" s="503">
        <f>I108+I109</f>
        <v>0</v>
      </c>
      <c r="J107" s="828">
        <f t="shared" ref="J107:J109" si="38">SUM(G107:I107)</f>
        <v>0</v>
      </c>
      <c r="K107" s="827">
        <f>K108+K109</f>
        <v>0</v>
      </c>
      <c r="L107" s="503">
        <f>L108+L109</f>
        <v>0</v>
      </c>
      <c r="M107" s="503">
        <f>M108+M109</f>
        <v>0</v>
      </c>
      <c r="N107" s="828">
        <f t="shared" ref="N107:N109" si="39">SUM(K107:M107)</f>
        <v>0</v>
      </c>
      <c r="O107" s="827">
        <f>O108+O109</f>
        <v>0</v>
      </c>
      <c r="P107" s="503">
        <f>P108+P109</f>
        <v>0</v>
      </c>
      <c r="Q107" s="503">
        <f>Q108+Q109</f>
        <v>0</v>
      </c>
      <c r="R107" s="828">
        <f t="shared" ref="R107:R109" si="40">SUM(O107:Q107)</f>
        <v>0</v>
      </c>
      <c r="S107" s="827">
        <f>S108+S109</f>
        <v>0</v>
      </c>
      <c r="T107" s="503">
        <f>T108+T109</f>
        <v>0</v>
      </c>
      <c r="U107" s="503">
        <f>U108+U109</f>
        <v>0</v>
      </c>
      <c r="V107" s="828">
        <f t="shared" ref="V107:V109" si="41">SUM(S107:U107)</f>
        <v>0</v>
      </c>
      <c r="Z107" s="515">
        <f t="shared" si="23"/>
        <v>0</v>
      </c>
    </row>
    <row r="108" spans="1:26" ht="15" hidden="1" customHeight="1" x14ac:dyDescent="0.25">
      <c r="A108" s="504"/>
      <c r="B108" s="818" t="s">
        <v>546</v>
      </c>
      <c r="C108" s="836">
        <v>0</v>
      </c>
      <c r="D108" s="507">
        <v>0</v>
      </c>
      <c r="E108" s="507">
        <v>0</v>
      </c>
      <c r="F108" s="837">
        <f>SUM(C108:E108)</f>
        <v>0</v>
      </c>
      <c r="G108" s="836">
        <v>0</v>
      </c>
      <c r="H108" s="507">
        <v>0</v>
      </c>
      <c r="I108" s="507">
        <v>0</v>
      </c>
      <c r="J108" s="837">
        <f t="shared" si="38"/>
        <v>0</v>
      </c>
      <c r="K108" s="836">
        <v>0</v>
      </c>
      <c r="L108" s="507">
        <v>0</v>
      </c>
      <c r="M108" s="507">
        <v>0</v>
      </c>
      <c r="N108" s="837">
        <f t="shared" si="39"/>
        <v>0</v>
      </c>
      <c r="O108" s="836">
        <v>0</v>
      </c>
      <c r="P108" s="507">
        <v>0</v>
      </c>
      <c r="Q108" s="507">
        <v>0</v>
      </c>
      <c r="R108" s="837">
        <f t="shared" si="40"/>
        <v>0</v>
      </c>
      <c r="S108" s="836">
        <v>0</v>
      </c>
      <c r="T108" s="507">
        <v>0</v>
      </c>
      <c r="U108" s="507">
        <v>0</v>
      </c>
      <c r="V108" s="837">
        <f t="shared" si="41"/>
        <v>0</v>
      </c>
    </row>
    <row r="109" spans="1:26" ht="15" hidden="1" customHeight="1" x14ac:dyDescent="0.25">
      <c r="A109" s="504"/>
      <c r="B109" s="818" t="s">
        <v>547</v>
      </c>
      <c r="C109" s="836">
        <v>0</v>
      </c>
      <c r="D109" s="507">
        <v>0</v>
      </c>
      <c r="E109" s="507">
        <v>0</v>
      </c>
      <c r="F109" s="837">
        <f>SUM(C109:E109)</f>
        <v>0</v>
      </c>
      <c r="G109" s="836">
        <v>0</v>
      </c>
      <c r="H109" s="507">
        <v>0</v>
      </c>
      <c r="I109" s="507">
        <v>0</v>
      </c>
      <c r="J109" s="837">
        <f t="shared" si="38"/>
        <v>0</v>
      </c>
      <c r="K109" s="836">
        <v>0</v>
      </c>
      <c r="L109" s="507">
        <v>0</v>
      </c>
      <c r="M109" s="507">
        <v>0</v>
      </c>
      <c r="N109" s="837">
        <f t="shared" si="39"/>
        <v>0</v>
      </c>
      <c r="O109" s="836">
        <v>0</v>
      </c>
      <c r="P109" s="507">
        <v>0</v>
      </c>
      <c r="Q109" s="507">
        <v>0</v>
      </c>
      <c r="R109" s="837">
        <f t="shared" si="40"/>
        <v>0</v>
      </c>
      <c r="S109" s="836">
        <v>0</v>
      </c>
      <c r="T109" s="507">
        <v>0</v>
      </c>
      <c r="U109" s="507">
        <v>0</v>
      </c>
      <c r="V109" s="837">
        <f t="shared" si="41"/>
        <v>0</v>
      </c>
    </row>
    <row r="110" spans="1:26" x14ac:dyDescent="0.25">
      <c r="A110" s="513"/>
      <c r="B110" s="822" t="s">
        <v>333</v>
      </c>
      <c r="C110" s="811">
        <f>C94+C64+C5</f>
        <v>5897172291</v>
      </c>
      <c r="D110" s="812">
        <f>D94+D64+D5</f>
        <v>50138615</v>
      </c>
      <c r="E110" s="812">
        <f>E94+E64+E5</f>
        <v>0</v>
      </c>
      <c r="F110" s="813">
        <f>SUM(C110:E110)</f>
        <v>5947310906</v>
      </c>
      <c r="G110" s="811">
        <f>G94+G64+G5</f>
        <v>6506830743</v>
      </c>
      <c r="H110" s="812">
        <f>H94+H64+H5</f>
        <v>50138615</v>
      </c>
      <c r="I110" s="812">
        <f>I94+I64+I5</f>
        <v>0</v>
      </c>
      <c r="J110" s="813">
        <f>SUM(G110:I110)</f>
        <v>6556969358</v>
      </c>
      <c r="K110" s="811">
        <f>K94+K64+K5</f>
        <v>6640307198</v>
      </c>
      <c r="L110" s="812">
        <f>L94+L64+L5</f>
        <v>50138615</v>
      </c>
      <c r="M110" s="812">
        <f>M94+M64+M5</f>
        <v>0</v>
      </c>
      <c r="N110" s="813">
        <f>SUM(K110:M110)</f>
        <v>6690445813</v>
      </c>
      <c r="O110" s="811">
        <f>O94+O64+O5</f>
        <v>6942116929</v>
      </c>
      <c r="P110" s="812">
        <f>P94+P64+P5</f>
        <v>51138615</v>
      </c>
      <c r="Q110" s="812">
        <f>Q94+Q64+Q5</f>
        <v>0</v>
      </c>
      <c r="R110" s="813">
        <f>SUM(O110:Q110)</f>
        <v>6993255544</v>
      </c>
      <c r="S110" s="811">
        <f>S94+S64+S5</f>
        <v>6841201406</v>
      </c>
      <c r="T110" s="812">
        <f>T94+T64+T5</f>
        <v>55116483</v>
      </c>
      <c r="U110" s="812">
        <f>U94+U64+U5</f>
        <v>0</v>
      </c>
      <c r="V110" s="813">
        <f>SUM(S110:U110)</f>
        <v>6896317889</v>
      </c>
      <c r="W110" s="515">
        <f>+R110-N110</f>
        <v>302809731</v>
      </c>
      <c r="Z110" s="515">
        <f>+R110-N110</f>
        <v>302809731</v>
      </c>
    </row>
    <row r="111" spans="1:26" x14ac:dyDescent="0.25">
      <c r="J111" s="515">
        <f>+J110-F110</f>
        <v>609658452</v>
      </c>
      <c r="N111" s="515">
        <f>+N110-J110</f>
        <v>133476455</v>
      </c>
      <c r="R111" s="515">
        <f>+R110-N110</f>
        <v>302809731</v>
      </c>
      <c r="V111" s="515">
        <f>+V110-R110</f>
        <v>-96937655</v>
      </c>
    </row>
    <row r="112" spans="1:26" x14ac:dyDescent="0.25">
      <c r="J112" s="515">
        <f>+J110-'2B Önk kiad'!J44</f>
        <v>-48932000</v>
      </c>
      <c r="N112" s="515">
        <f>+N110-'2B Önk kiad'!N44</f>
        <v>0</v>
      </c>
      <c r="R112" s="515">
        <f>+R110-'2B Önk kiad'!R44</f>
        <v>0</v>
      </c>
      <c r="V112" s="515">
        <f>+V110-'2B Önk kiad'!V44</f>
        <v>1901091229</v>
      </c>
    </row>
    <row r="113" spans="6:22" x14ac:dyDescent="0.25">
      <c r="F113" s="515"/>
      <c r="J113" s="515"/>
      <c r="N113" s="515"/>
      <c r="R113" s="515"/>
      <c r="V113" s="515"/>
    </row>
    <row r="114" spans="6:22" x14ac:dyDescent="0.25">
      <c r="J114" s="515"/>
      <c r="N114" s="515"/>
      <c r="R114" s="515"/>
      <c r="V114" s="515"/>
    </row>
    <row r="115" spans="6:22" x14ac:dyDescent="0.25">
      <c r="F115" s="515"/>
      <c r="J115" s="515"/>
      <c r="N115" s="515"/>
      <c r="R115" s="515"/>
      <c r="V115" s="515"/>
    </row>
  </sheetData>
  <mergeCells count="7">
    <mergeCell ref="S3:V3"/>
    <mergeCell ref="C3:F3"/>
    <mergeCell ref="A3:A4"/>
    <mergeCell ref="B3:B4"/>
    <mergeCell ref="G3:J3"/>
    <mergeCell ref="K3:N3"/>
    <mergeCell ref="O3:R3"/>
  </mergeCells>
  <printOptions horizontalCentered="1"/>
  <pageMargins left="0.19685039370078741" right="0.19685039370078741" top="0.63" bottom="0.36" header="0.22" footer="0.17"/>
  <pageSetup paperSize="9" scale="75" fitToHeight="2" orientation="landscape" r:id="rId1"/>
  <headerFooter>
    <oddHeader>&amp;L2/A.  melléklet a ......./2021. (.................) önkormányzati rendelethez&amp;C&amp;"-,Félkövér"&amp;16
Az Önkormányzat 2020. évi bevételei forrásonként és feladatonként</oddHeader>
    <oddFooter>&amp;C&amp;P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50"/>
  <sheetViews>
    <sheetView view="pageBreakPreview" zoomScaleNormal="100" zoomScaleSheetLayoutView="100" workbookViewId="0">
      <selection activeCell="B1" sqref="B1"/>
    </sheetView>
  </sheetViews>
  <sheetFormatPr defaultColWidth="9.140625" defaultRowHeight="15" x14ac:dyDescent="0.25"/>
  <cols>
    <col min="1" max="1" width="4.140625" style="211" customWidth="1"/>
    <col min="2" max="2" width="48.7109375" style="94" customWidth="1"/>
    <col min="3" max="3" width="13.7109375" style="245" hidden="1" customWidth="1"/>
    <col min="4" max="4" width="15" style="245" hidden="1" customWidth="1"/>
    <col min="5" max="5" width="14.85546875" style="245" hidden="1" customWidth="1"/>
    <col min="6" max="6" width="15.7109375" style="448" hidden="1" customWidth="1"/>
    <col min="7" max="7" width="13.7109375" style="245" hidden="1" customWidth="1"/>
    <col min="8" max="8" width="15" style="245" hidden="1" customWidth="1"/>
    <col min="9" max="9" width="14.85546875" style="245" hidden="1" customWidth="1"/>
    <col min="10" max="10" width="15.7109375" style="448" hidden="1" customWidth="1"/>
    <col min="11" max="11" width="13.7109375" style="245" customWidth="1"/>
    <col min="12" max="12" width="14" style="245" customWidth="1"/>
    <col min="13" max="13" width="14.28515625" style="245" customWidth="1"/>
    <col min="14" max="14" width="15.7109375" style="448" customWidth="1"/>
    <col min="15" max="15" width="13.7109375" style="245" customWidth="1"/>
    <col min="16" max="17" width="13.5703125" style="245" customWidth="1"/>
    <col min="18" max="18" width="15.7109375" style="448" customWidth="1"/>
    <col min="19" max="19" width="14.42578125" style="245" hidden="1" customWidth="1"/>
    <col min="20" max="20" width="14" style="245" hidden="1" customWidth="1"/>
    <col min="21" max="21" width="14.85546875" style="245" hidden="1" customWidth="1"/>
    <col min="22" max="22" width="14.28515625" style="448" hidden="1" customWidth="1"/>
    <col min="23" max="24" width="0" style="245" hidden="1" customWidth="1"/>
    <col min="25" max="25" width="14.5703125" style="245" customWidth="1"/>
    <col min="26" max="26" width="10.5703125" style="245" customWidth="1"/>
    <col min="27" max="16384" width="9.140625" style="245"/>
  </cols>
  <sheetData>
    <row r="1" spans="1:27" x14ac:dyDescent="0.25">
      <c r="F1" s="727"/>
      <c r="J1" s="245"/>
      <c r="N1" s="245"/>
      <c r="R1" s="245" t="s">
        <v>1769</v>
      </c>
    </row>
    <row r="2" spans="1:27" ht="30" x14ac:dyDescent="0.25">
      <c r="A2" s="304" t="s">
        <v>468</v>
      </c>
      <c r="B2" s="775" t="s">
        <v>469</v>
      </c>
      <c r="C2" s="784"/>
      <c r="D2" s="785"/>
      <c r="E2" s="785"/>
      <c r="F2" s="786"/>
      <c r="G2" s="784"/>
      <c r="H2" s="785"/>
      <c r="I2" s="785"/>
      <c r="J2" s="786"/>
      <c r="K2" s="784"/>
      <c r="L2" s="785"/>
      <c r="M2" s="785"/>
      <c r="N2" s="786"/>
      <c r="O2" s="784"/>
      <c r="P2" s="785"/>
      <c r="Q2" s="785"/>
      <c r="R2" s="786"/>
      <c r="S2" s="784"/>
      <c r="T2" s="785"/>
      <c r="U2" s="785"/>
      <c r="V2" s="786"/>
    </row>
    <row r="3" spans="1:27" ht="48.75" customHeight="1" x14ac:dyDescent="0.25">
      <c r="A3" s="938" t="s">
        <v>305</v>
      </c>
      <c r="B3" s="952" t="s">
        <v>583</v>
      </c>
      <c r="C3" s="935" t="s">
        <v>1654</v>
      </c>
      <c r="D3" s="936"/>
      <c r="E3" s="936"/>
      <c r="F3" s="937"/>
      <c r="G3" s="935" t="s">
        <v>1760</v>
      </c>
      <c r="H3" s="936"/>
      <c r="I3" s="936"/>
      <c r="J3" s="937"/>
      <c r="K3" s="935" t="s">
        <v>1795</v>
      </c>
      <c r="L3" s="936"/>
      <c r="M3" s="936"/>
      <c r="N3" s="937"/>
      <c r="O3" s="935" t="s">
        <v>1803</v>
      </c>
      <c r="P3" s="936"/>
      <c r="Q3" s="936"/>
      <c r="R3" s="937"/>
      <c r="S3" s="935" t="s">
        <v>1808</v>
      </c>
      <c r="T3" s="936"/>
      <c r="U3" s="936"/>
      <c r="V3" s="937"/>
    </row>
    <row r="4" spans="1:27" ht="45" x14ac:dyDescent="0.25">
      <c r="A4" s="938"/>
      <c r="B4" s="952"/>
      <c r="C4" s="787" t="s">
        <v>1300</v>
      </c>
      <c r="D4" s="690" t="s">
        <v>1301</v>
      </c>
      <c r="E4" s="690" t="s">
        <v>1302</v>
      </c>
      <c r="F4" s="788" t="s">
        <v>550</v>
      </c>
      <c r="G4" s="787" t="s">
        <v>1300</v>
      </c>
      <c r="H4" s="690" t="s">
        <v>1301</v>
      </c>
      <c r="I4" s="690" t="s">
        <v>1302</v>
      </c>
      <c r="J4" s="788" t="s">
        <v>550</v>
      </c>
      <c r="K4" s="787" t="s">
        <v>1300</v>
      </c>
      <c r="L4" s="690" t="s">
        <v>1301</v>
      </c>
      <c r="M4" s="690" t="s">
        <v>1302</v>
      </c>
      <c r="N4" s="788" t="s">
        <v>550</v>
      </c>
      <c r="O4" s="787" t="s">
        <v>1300</v>
      </c>
      <c r="P4" s="690" t="s">
        <v>1301</v>
      </c>
      <c r="Q4" s="690" t="s">
        <v>1809</v>
      </c>
      <c r="R4" s="788" t="s">
        <v>550</v>
      </c>
      <c r="S4" s="787" t="s">
        <v>1300</v>
      </c>
      <c r="T4" s="690" t="s">
        <v>1301</v>
      </c>
      <c r="U4" s="690" t="s">
        <v>1809</v>
      </c>
      <c r="V4" s="788" t="s">
        <v>550</v>
      </c>
    </row>
    <row r="5" spans="1:27" x14ac:dyDescent="0.25">
      <c r="A5" s="305"/>
      <c r="B5" s="776" t="s">
        <v>307</v>
      </c>
      <c r="C5" s="789">
        <v>11</v>
      </c>
      <c r="D5" s="307">
        <v>0</v>
      </c>
      <c r="E5" s="307">
        <v>0</v>
      </c>
      <c r="F5" s="790">
        <f>SUM(C5:E5)</f>
        <v>11</v>
      </c>
      <c r="G5" s="789">
        <v>11</v>
      </c>
      <c r="H5" s="307">
        <v>0</v>
      </c>
      <c r="I5" s="307">
        <v>0</v>
      </c>
      <c r="J5" s="790">
        <f t="shared" ref="J5:J38" si="0">SUM(G5:I5)</f>
        <v>11</v>
      </c>
      <c r="K5" s="789">
        <v>11</v>
      </c>
      <c r="L5" s="307">
        <v>0</v>
      </c>
      <c r="M5" s="307">
        <v>0</v>
      </c>
      <c r="N5" s="790">
        <f t="shared" ref="N5:N38" si="1">SUM(K5:M5)</f>
        <v>11</v>
      </c>
      <c r="O5" s="789">
        <v>11</v>
      </c>
      <c r="P5" s="307">
        <v>0</v>
      </c>
      <c r="Q5" s="307">
        <v>0</v>
      </c>
      <c r="R5" s="790">
        <f t="shared" ref="R5:R38" si="2">SUM(O5:Q5)</f>
        <v>11</v>
      </c>
      <c r="S5" s="789">
        <v>11</v>
      </c>
      <c r="T5" s="307">
        <v>0</v>
      </c>
      <c r="U5" s="307">
        <v>0</v>
      </c>
      <c r="V5" s="790">
        <f t="shared" ref="V5:V38" si="3">SUM(S5:U5)</f>
        <v>11</v>
      </c>
    </row>
    <row r="6" spans="1:27" x14ac:dyDescent="0.25">
      <c r="A6" s="305"/>
      <c r="B6" s="776" t="s">
        <v>308</v>
      </c>
      <c r="C6" s="789">
        <v>0</v>
      </c>
      <c r="D6" s="307">
        <v>0</v>
      </c>
      <c r="E6" s="307">
        <v>0</v>
      </c>
      <c r="F6" s="790">
        <f t="shared" ref="F6:F38" si="4">SUM(C6:E6)</f>
        <v>0</v>
      </c>
      <c r="G6" s="789">
        <v>0</v>
      </c>
      <c r="H6" s="307">
        <v>0</v>
      </c>
      <c r="I6" s="307">
        <v>0</v>
      </c>
      <c r="J6" s="790">
        <f t="shared" si="0"/>
        <v>0</v>
      </c>
      <c r="K6" s="789">
        <v>0</v>
      </c>
      <c r="L6" s="307">
        <v>0</v>
      </c>
      <c r="M6" s="307">
        <v>0</v>
      </c>
      <c r="N6" s="790">
        <f t="shared" si="1"/>
        <v>0</v>
      </c>
      <c r="O6" s="789">
        <v>0</v>
      </c>
      <c r="P6" s="307">
        <v>0</v>
      </c>
      <c r="Q6" s="307">
        <v>0</v>
      </c>
      <c r="R6" s="790">
        <f t="shared" si="2"/>
        <v>0</v>
      </c>
      <c r="S6" s="789">
        <v>0</v>
      </c>
      <c r="T6" s="307">
        <v>0</v>
      </c>
      <c r="U6" s="307">
        <v>0</v>
      </c>
      <c r="V6" s="790">
        <f t="shared" si="3"/>
        <v>0</v>
      </c>
    </row>
    <row r="7" spans="1:27" x14ac:dyDescent="0.25">
      <c r="A7" s="479" t="s">
        <v>309</v>
      </c>
      <c r="B7" s="777" t="s">
        <v>334</v>
      </c>
      <c r="C7" s="791">
        <f>C8+C9+C10+C11+C12</f>
        <v>1110576606</v>
      </c>
      <c r="D7" s="462">
        <f>D8+D9+D10+D11+D12</f>
        <v>554189765</v>
      </c>
      <c r="E7" s="462">
        <f>E8+E9+E10+E11+E12</f>
        <v>0</v>
      </c>
      <c r="F7" s="792">
        <f>SUM(C7:E7)</f>
        <v>1664766371</v>
      </c>
      <c r="G7" s="791">
        <f>G8+G9+G10+G11+G12</f>
        <v>1237164049</v>
      </c>
      <c r="H7" s="462">
        <f>H8+H9+H10+H11+H12</f>
        <v>610857510</v>
      </c>
      <c r="I7" s="462">
        <f>I8+I9+I10+I11+I12</f>
        <v>0</v>
      </c>
      <c r="J7" s="792">
        <f t="shared" si="0"/>
        <v>1848021559</v>
      </c>
      <c r="K7" s="791">
        <f>K8+K9+K10+K11+K12</f>
        <v>1227961518</v>
      </c>
      <c r="L7" s="462">
        <f>L8+L9+L10+L11+L12</f>
        <v>642342410</v>
      </c>
      <c r="M7" s="462">
        <f>M8+M9+M10+M11+M12</f>
        <v>0</v>
      </c>
      <c r="N7" s="792">
        <f t="shared" si="1"/>
        <v>1870303928</v>
      </c>
      <c r="O7" s="791">
        <f>O8+O9+O10+O11+O12</f>
        <v>1166268655</v>
      </c>
      <c r="P7" s="462">
        <f>P8+P9+P10+P11+P12</f>
        <v>708114432</v>
      </c>
      <c r="Q7" s="462">
        <f>Q8+Q9+Q10+Q11+Q12</f>
        <v>0</v>
      </c>
      <c r="R7" s="792">
        <f t="shared" si="2"/>
        <v>1874383087</v>
      </c>
      <c r="S7" s="791">
        <f>S8+S9+S10+S11+S12</f>
        <v>872329590</v>
      </c>
      <c r="T7" s="462">
        <f>T8+T9+T10+T11+T12</f>
        <v>513459851</v>
      </c>
      <c r="U7" s="462">
        <f>U8+U9+U10+U11+U12</f>
        <v>0</v>
      </c>
      <c r="V7" s="792">
        <f t="shared" si="3"/>
        <v>1385789441</v>
      </c>
      <c r="Y7" s="768">
        <f>+R7-N7</f>
        <v>4079159</v>
      </c>
    </row>
    <row r="8" spans="1:27" x14ac:dyDescent="0.25">
      <c r="A8" s="482" t="s">
        <v>311</v>
      </c>
      <c r="B8" s="778" t="s">
        <v>286</v>
      </c>
      <c r="C8" s="793">
        <f>'2C Önk bev kiad fel'!E17+'2C Önk bev kiad fel'!E22+'2C Önk bev kiad fel'!E44+'2C Önk bev kiad fel'!E68</f>
        <v>132280000</v>
      </c>
      <c r="D8" s="488">
        <f>'2C Önk bev kiad fel'!E83+'2C Önk bev kiad fel'!E87+'2C Önk bev kiad fel'!E111+'2C Önk bev kiad fel'!E159+'2C Önk bev kiad fel'!E181+'2C Önk bev kiad fel'!E187+'2C Önk bev kiad fel'!E174+'2C Önk bev kiad fel'!E217+'2C Önk bev kiad fel'!E199</f>
        <v>67548320</v>
      </c>
      <c r="E8" s="488"/>
      <c r="F8" s="794">
        <f t="shared" si="4"/>
        <v>199828320</v>
      </c>
      <c r="G8" s="793">
        <f>'2C Önk bev kiad fel'!I17+'2C Önk bev kiad fel'!I22+'2C Önk bev kiad fel'!I44+'2C Önk bev kiad fel'!I68</f>
        <v>132280000</v>
      </c>
      <c r="H8" s="488">
        <f>'2C Önk bev kiad fel'!I83+'2C Önk bev kiad fel'!I87+'2C Önk bev kiad fel'!I111+'2C Önk bev kiad fel'!I159+'2C Önk bev kiad fel'!I181+'2C Önk bev kiad fel'!I187+'2C Önk bev kiad fel'!I174+'2C Önk bev kiad fel'!I217+'2C Önk bev kiad fel'!I199</f>
        <v>63884007</v>
      </c>
      <c r="I8" s="488"/>
      <c r="J8" s="794">
        <f t="shared" si="0"/>
        <v>196164007</v>
      </c>
      <c r="K8" s="793">
        <f>'2C Önk bev kiad fel'!L17+'2C Önk bev kiad fel'!L22+'2C Önk bev kiad fel'!L44+'2C Önk bev kiad fel'!L68</f>
        <v>132331250</v>
      </c>
      <c r="L8" s="488">
        <f>'2C Önk bev kiad fel'!L83+'2C Önk bev kiad fel'!L87+'2C Önk bev kiad fel'!L111+'2C Önk bev kiad fel'!L159+'2C Önk bev kiad fel'!L181+'2C Önk bev kiad fel'!L187+'2C Önk bev kiad fel'!L174+'2C Önk bev kiad fel'!L217+'2C Önk bev kiad fel'!L199</f>
        <v>63884007</v>
      </c>
      <c r="M8" s="488"/>
      <c r="N8" s="794">
        <f t="shared" si="1"/>
        <v>196215257</v>
      </c>
      <c r="O8" s="793">
        <f>'2C Önk bev kiad fel'!O17+'2C Önk bev kiad fel'!O22+'2C Önk bev kiad fel'!O44+'2C Önk bev kiad fel'!O68</f>
        <v>138781414</v>
      </c>
      <c r="P8" s="488">
        <f>'2C Önk bev kiad fel'!O83+'2C Önk bev kiad fel'!O87+'2C Önk bev kiad fel'!O111+'2C Önk bev kiad fel'!O159+'2C Önk bev kiad fel'!O181+'2C Önk bev kiad fel'!O187+'2C Önk bev kiad fel'!O174+'2C Önk bev kiad fel'!O217+'2C Önk bev kiad fel'!O199+'2C Önk bev kiad fel'!O226+'2C Önk bev kiad fel'!O195</f>
        <v>58451715</v>
      </c>
      <c r="Q8" s="488"/>
      <c r="R8" s="794">
        <f t="shared" si="2"/>
        <v>197233129</v>
      </c>
      <c r="S8" s="793">
        <f>'2C Önk bev kiad fel'!R17+'2C Önk bev kiad fel'!R22+'2C Önk bev kiad fel'!R44+'2C Önk bev kiad fel'!R68</f>
        <v>111466577</v>
      </c>
      <c r="T8" s="488">
        <f>'2C Önk bev kiad fel'!R83+'2C Önk bev kiad fel'!R87+'2C Önk bev kiad fel'!R111+'2C Önk bev kiad fel'!R159+'2C Önk bev kiad fel'!R181+'2C Önk bev kiad fel'!R187+'2C Önk bev kiad fel'!R174+'2C Önk bev kiad fel'!R217+'2C Önk bev kiad fel'!R199+'2C Önk bev kiad fel'!R226+'2C Önk bev kiad fel'!R195</f>
        <v>21736136</v>
      </c>
      <c r="U8" s="488"/>
      <c r="V8" s="794">
        <f t="shared" si="3"/>
        <v>133202713</v>
      </c>
      <c r="Y8" s="768">
        <f>+R8-N8</f>
        <v>1017872</v>
      </c>
      <c r="Z8" s="768">
        <f>197233129-R8</f>
        <v>0</v>
      </c>
    </row>
    <row r="9" spans="1:27" ht="30" x14ac:dyDescent="0.25">
      <c r="A9" s="482" t="s">
        <v>322</v>
      </c>
      <c r="B9" s="778" t="s">
        <v>335</v>
      </c>
      <c r="C9" s="793">
        <f>'2C Önk bev kiad fel'!E18+'2C Önk bev kiad fel'!E23+'2C Önk bev kiad fel'!E45+'2C Önk bev kiad fel'!E69</f>
        <v>24013000</v>
      </c>
      <c r="D9" s="488">
        <f>'2C Önk bev kiad fel'!E84+'2C Önk bev kiad fel'!E88+'2C Önk bev kiad fel'!E112+'2C Önk bev kiad fel'!E160+'2C Önk bev kiad fel'!E175+'2C Önk bev kiad fel'!E182+'2C Önk bev kiad fel'!E188+'2C Önk bev kiad fel'!E218+'2C Önk bev kiad fel'!E200</f>
        <v>9733000</v>
      </c>
      <c r="E9" s="488"/>
      <c r="F9" s="794">
        <f t="shared" si="4"/>
        <v>33746000</v>
      </c>
      <c r="G9" s="793">
        <f>'2C Önk bev kiad fel'!I18+'2C Önk bev kiad fel'!I23+'2C Önk bev kiad fel'!I45+'2C Önk bev kiad fel'!I69</f>
        <v>24013000</v>
      </c>
      <c r="H9" s="488">
        <f>'2C Önk bev kiad fel'!I84+'2C Önk bev kiad fel'!I88+'2C Önk bev kiad fel'!I112+'2C Önk bev kiad fel'!I160+'2C Önk bev kiad fel'!I175+'2C Önk bev kiad fel'!I182+'2C Önk bev kiad fel'!I188+'2C Önk bev kiad fel'!I218+'2C Önk bev kiad fel'!I200</f>
        <v>9733000</v>
      </c>
      <c r="I9" s="488"/>
      <c r="J9" s="794">
        <f t="shared" si="0"/>
        <v>33746000</v>
      </c>
      <c r="K9" s="793">
        <f>'2C Önk bev kiad fel'!L18+'2C Önk bev kiad fel'!L23+'2C Önk bev kiad fel'!L45+'2C Önk bev kiad fel'!L69</f>
        <v>24013000</v>
      </c>
      <c r="L9" s="488">
        <f>'2C Önk bev kiad fel'!L84+'2C Önk bev kiad fel'!L88+'2C Önk bev kiad fel'!L112+'2C Önk bev kiad fel'!L160+'2C Önk bev kiad fel'!L175+'2C Önk bev kiad fel'!L182+'2C Önk bev kiad fel'!L188+'2C Önk bev kiad fel'!L218+'2C Önk bev kiad fel'!L200</f>
        <v>9733000</v>
      </c>
      <c r="M9" s="488"/>
      <c r="N9" s="794">
        <f t="shared" si="1"/>
        <v>33746000</v>
      </c>
      <c r="O9" s="793">
        <f>'2C Önk bev kiad fel'!O18+'2C Önk bev kiad fel'!O23+'2C Önk bev kiad fel'!O45+'2C Önk bev kiad fel'!O69</f>
        <v>24013000</v>
      </c>
      <c r="P9" s="488">
        <f>'2C Önk bev kiad fel'!O84+'2C Önk bev kiad fel'!O88+'2C Önk bev kiad fel'!O112+'2C Önk bev kiad fel'!O160+'2C Önk bev kiad fel'!O175+'2C Önk bev kiad fel'!O182+'2C Önk bev kiad fel'!O188+'2C Önk bev kiad fel'!O218+'2C Önk bev kiad fel'!O200+'2C Önk bev kiad fel'!O227+'2C Önk bev kiad fel'!O196</f>
        <v>10336634</v>
      </c>
      <c r="Q9" s="488"/>
      <c r="R9" s="794">
        <f t="shared" si="2"/>
        <v>34349634</v>
      </c>
      <c r="S9" s="793">
        <f>'2C Önk bev kiad fel'!R18+'2C Önk bev kiad fel'!R23+'2C Önk bev kiad fel'!R45+'2C Önk bev kiad fel'!R69</f>
        <v>17550254</v>
      </c>
      <c r="T9" s="488">
        <f>'2C Önk bev kiad fel'!R84+'2C Önk bev kiad fel'!R88+'2C Önk bev kiad fel'!R112+'2C Önk bev kiad fel'!R160+'2C Önk bev kiad fel'!R175+'2C Önk bev kiad fel'!R182+'2C Önk bev kiad fel'!R188+'2C Önk bev kiad fel'!R218+'2C Önk bev kiad fel'!R200+'2C Önk bev kiad fel'!R227+'2C Önk bev kiad fel'!R196</f>
        <v>2787111</v>
      </c>
      <c r="U9" s="488"/>
      <c r="V9" s="794">
        <f t="shared" si="3"/>
        <v>20337365</v>
      </c>
      <c r="Y9" s="768">
        <f t="shared" ref="Y9:Y12" si="5">+R9-N9</f>
        <v>603634</v>
      </c>
      <c r="Z9" s="768">
        <f>34349634-R9</f>
        <v>0</v>
      </c>
    </row>
    <row r="10" spans="1:27" x14ac:dyDescent="0.25">
      <c r="A10" s="482" t="s">
        <v>315</v>
      </c>
      <c r="B10" s="778" t="s">
        <v>292</v>
      </c>
      <c r="C10" s="795">
        <f>'2C Önk bev kiad fel'!E10+'2C Önk bev kiad fel'!E14+'2C Önk bev kiad fel'!E19+'2C Önk bev kiad fel'!E24+'2C Önk bev kiad fel'!E27+'2C Önk bev kiad fel'!E29+'2C Önk bev kiad fel'!E31+'2C Önk bev kiad fel'!E35+'2C Önk bev kiad fel'!E40+'2C Önk bev kiad fel'!E46+'2C Önk bev kiad fel'!E56+'2C Önk bev kiad fel'!E62+'2C Önk bev kiad fel'!E72</f>
        <v>299972600</v>
      </c>
      <c r="D10" s="489">
        <f>'2C Önk bev kiad fel'!E77+'2C Önk bev kiad fel'!E80+'2C Önk bev kiad fel'!E85+'2C Önk bev kiad fel'!E91+'2C Önk bev kiad fel'!E93+'2C Önk bev kiad fel'!E95+'2C Önk bev kiad fel'!E97+'2C Önk bev kiad fel'!E99+'2C Önk bev kiad fel'!E101+'2C Önk bev kiad fel'!E103+'2C Önk bev kiad fel'!E105+'2C Önk bev kiad fel'!E109+'2C Önk bev kiad fel'!E113+'2C Önk bev kiad fel'!E135+'2C Önk bev kiad fel'!E139+'2C Önk bev kiad fel'!E154+'2C Önk bev kiad fel'!E161+'2C Önk bev kiad fel'!E169+'2C Önk bev kiad fel'!E179+'2C Önk bev kiad fel'!E185+'2C Önk bev kiad fel'!E189+'2C Önk bev kiad fel'!E176+'2C Önk bev kiad fel'!E192+'2C Önk bev kiad fel'!E197+'2C Önk bev kiad fel'!E201+'2C Önk bev kiad fel'!E219+'2C Önk bev kiad fel'!E224+'2C Önk bev kiad fel'!E221+'2C Önk bev kiad fel'!E215+'2C Önk bev kiad fel'!E211+'2C Önk bev kiad fel'!E205</f>
        <v>153996445</v>
      </c>
      <c r="E10" s="489"/>
      <c r="F10" s="794">
        <f t="shared" si="4"/>
        <v>453969045</v>
      </c>
      <c r="G10" s="795">
        <f>'2C Önk bev kiad fel'!I10+'2C Önk bev kiad fel'!I14+'2C Önk bev kiad fel'!I19+'2C Önk bev kiad fel'!I24+'2C Önk bev kiad fel'!I27+'2C Önk bev kiad fel'!I29+'2C Önk bev kiad fel'!I31+'2C Önk bev kiad fel'!I35+'2C Önk bev kiad fel'!I40+'2C Önk bev kiad fel'!I46+'2C Önk bev kiad fel'!I56+'2C Önk bev kiad fel'!I62+'2C Önk bev kiad fel'!I72</f>
        <v>373648566</v>
      </c>
      <c r="H10" s="489">
        <f>'2C Önk bev kiad fel'!I77+'2C Önk bev kiad fel'!I80+'2C Önk bev kiad fel'!I85+'2C Önk bev kiad fel'!I91+'2C Önk bev kiad fel'!I93+'2C Önk bev kiad fel'!I95+'2C Önk bev kiad fel'!I97+'2C Önk bev kiad fel'!I99+'2C Önk bev kiad fel'!I101+'2C Önk bev kiad fel'!I103+'2C Önk bev kiad fel'!I105+'2C Önk bev kiad fel'!I109+'2C Önk bev kiad fel'!I113+'2C Önk bev kiad fel'!I135+'2C Önk bev kiad fel'!I139+'2C Önk bev kiad fel'!I154+'2C Önk bev kiad fel'!I161+'2C Önk bev kiad fel'!I169+'2C Önk bev kiad fel'!I179+'2C Önk bev kiad fel'!I185+'2C Önk bev kiad fel'!I189+'2C Önk bev kiad fel'!I176+'2C Önk bev kiad fel'!I192+'2C Önk bev kiad fel'!I197+'2C Önk bev kiad fel'!I201+'2C Önk bev kiad fel'!I219+'2C Önk bev kiad fel'!I224+'2C Önk bev kiad fel'!I221+'2C Önk bev kiad fel'!I215+'2C Önk bev kiad fel'!I211+'2C Önk bev kiad fel'!I205+'2C Önk bev kiad fel'!I228</f>
        <v>216863003</v>
      </c>
      <c r="I10" s="489"/>
      <c r="J10" s="794">
        <f t="shared" si="0"/>
        <v>590511569</v>
      </c>
      <c r="K10" s="795">
        <f>'2C Önk bev kiad fel'!L10+'2C Önk bev kiad fel'!L14+'2C Önk bev kiad fel'!L19+'2C Önk bev kiad fel'!L24+'2C Önk bev kiad fel'!L27+'2C Önk bev kiad fel'!L29+'2C Önk bev kiad fel'!L31+'2C Önk bev kiad fel'!L35+'2C Önk bev kiad fel'!L40+'2C Önk bev kiad fel'!L46+'2C Önk bev kiad fel'!L56+'2C Önk bev kiad fel'!L62+'2C Önk bev kiad fel'!L72</f>
        <v>406801904</v>
      </c>
      <c r="L10" s="489">
        <f>'2C Önk bev kiad fel'!L77+'2C Önk bev kiad fel'!L80+'2C Önk bev kiad fel'!L85+'2C Önk bev kiad fel'!L91+'2C Önk bev kiad fel'!L93+'2C Önk bev kiad fel'!L95+'2C Önk bev kiad fel'!L97+'2C Önk bev kiad fel'!L99+'2C Önk bev kiad fel'!L101+'2C Önk bev kiad fel'!L103+'2C Önk bev kiad fel'!L105+'2C Önk bev kiad fel'!L109+'2C Önk bev kiad fel'!L113+'2C Önk bev kiad fel'!L135+'2C Önk bev kiad fel'!L139+'2C Önk bev kiad fel'!L154+'2C Önk bev kiad fel'!L161+'2C Önk bev kiad fel'!L169+'2C Önk bev kiad fel'!L179+'2C Önk bev kiad fel'!L185+'2C Önk bev kiad fel'!L189+'2C Önk bev kiad fel'!L176+'2C Önk bev kiad fel'!L192+'2C Önk bev kiad fel'!L197+'2C Önk bev kiad fel'!L201+'2C Önk bev kiad fel'!L219+'2C Önk bev kiad fel'!L224+'2C Önk bev kiad fel'!L221+'2C Önk bev kiad fel'!L215+'2C Önk bev kiad fel'!L211+'2C Önk bev kiad fel'!L205+'2C Önk bev kiad fel'!L228</f>
        <v>248347903</v>
      </c>
      <c r="M10" s="489"/>
      <c r="N10" s="794">
        <f t="shared" si="1"/>
        <v>655149807</v>
      </c>
      <c r="O10" s="795">
        <f>'2C Önk bev kiad fel'!O10+'2C Önk bev kiad fel'!O14+'2C Önk bev kiad fel'!O19+'2C Önk bev kiad fel'!O24+'2C Önk bev kiad fel'!O27+'2C Önk bev kiad fel'!O29+'2C Önk bev kiad fel'!O31+'2C Önk bev kiad fel'!O35+'2C Önk bev kiad fel'!O40+'2C Önk bev kiad fel'!O46+'2C Önk bev kiad fel'!O56+'2C Önk bev kiad fel'!O62+'2C Önk bev kiad fel'!O72</f>
        <v>414038906</v>
      </c>
      <c r="P10" s="489">
        <f>'2C Önk bev kiad fel'!O77+'2C Önk bev kiad fel'!O80+'2C Önk bev kiad fel'!O85+'2C Önk bev kiad fel'!O91+'2C Önk bev kiad fel'!O93+'2C Önk bev kiad fel'!O95+'2C Önk bev kiad fel'!O97+'2C Önk bev kiad fel'!O99+'2C Önk bev kiad fel'!O101+'2C Önk bev kiad fel'!O103+'2C Önk bev kiad fel'!O105+'2C Önk bev kiad fel'!O109+'2C Önk bev kiad fel'!O113+'2C Önk bev kiad fel'!O135+'2C Önk bev kiad fel'!O139+'2C Önk bev kiad fel'!O154+'2C Önk bev kiad fel'!O161+'2C Önk bev kiad fel'!O169+'2C Önk bev kiad fel'!O179+'2C Önk bev kiad fel'!O185+'2C Önk bev kiad fel'!O189+'2C Önk bev kiad fel'!O176+'2C Önk bev kiad fel'!O192+'2C Önk bev kiad fel'!O197+'2C Önk bev kiad fel'!O201+'2C Önk bev kiad fel'!O219+'2C Önk bev kiad fel'!O224+'2C Önk bev kiad fel'!O221+'2C Önk bev kiad fel'!O215+'2C Önk bev kiad fel'!O211+'2C Önk bev kiad fel'!O205+'2C Önk bev kiad fel'!O228</f>
        <v>227658205</v>
      </c>
      <c r="Q10" s="489"/>
      <c r="R10" s="794">
        <f t="shared" si="2"/>
        <v>641697111</v>
      </c>
      <c r="S10" s="795">
        <f>'2C Önk bev kiad fel'!R10+'2C Önk bev kiad fel'!R14+'2C Önk bev kiad fel'!R19+'2C Önk bev kiad fel'!R24+'2C Önk bev kiad fel'!R27+'2C Önk bev kiad fel'!R29+'2C Önk bev kiad fel'!R31+'2C Önk bev kiad fel'!R35+'2C Önk bev kiad fel'!R40+'2C Önk bev kiad fel'!R46+'2C Önk bev kiad fel'!R56+'2C Önk bev kiad fel'!R62+'2C Önk bev kiad fel'!R72</f>
        <v>272607199</v>
      </c>
      <c r="T10" s="489">
        <f>'2C Önk bev kiad fel'!R77+'2C Önk bev kiad fel'!R80+'2C Önk bev kiad fel'!R85+'2C Önk bev kiad fel'!R91+'2C Önk bev kiad fel'!R93+'2C Önk bev kiad fel'!R95+'2C Önk bev kiad fel'!R97+'2C Önk bev kiad fel'!R99+'2C Önk bev kiad fel'!R101+'2C Önk bev kiad fel'!R103+'2C Önk bev kiad fel'!R105+'2C Önk bev kiad fel'!R109+'2C Önk bev kiad fel'!R113+'2C Önk bev kiad fel'!R135+'2C Önk bev kiad fel'!R139+'2C Önk bev kiad fel'!R154+'2C Önk bev kiad fel'!R161+'2C Önk bev kiad fel'!R169+'2C Önk bev kiad fel'!R179+'2C Önk bev kiad fel'!R185+'2C Önk bev kiad fel'!R189+'2C Önk bev kiad fel'!R176+'2C Önk bev kiad fel'!R192+'2C Önk bev kiad fel'!R197+'2C Önk bev kiad fel'!R201+'2C Önk bev kiad fel'!R219+'2C Önk bev kiad fel'!R224+'2C Önk bev kiad fel'!R221+'2C Önk bev kiad fel'!R215+'2C Önk bev kiad fel'!R211+'2C Önk bev kiad fel'!R205+'2C Önk bev kiad fel'!R228</f>
        <v>114256865</v>
      </c>
      <c r="U10" s="489"/>
      <c r="V10" s="794">
        <f t="shared" si="3"/>
        <v>386864064</v>
      </c>
      <c r="Y10" s="768">
        <f t="shared" si="5"/>
        <v>-13452696</v>
      </c>
      <c r="Z10" s="768">
        <f>641697111-R10</f>
        <v>0</v>
      </c>
    </row>
    <row r="11" spans="1:27" x14ac:dyDescent="0.25">
      <c r="A11" s="482" t="s">
        <v>336</v>
      </c>
      <c r="B11" s="778" t="s">
        <v>337</v>
      </c>
      <c r="C11" s="795">
        <f>+'2C Önk bev kiad fel'!E65</f>
        <v>18000000</v>
      </c>
      <c r="D11" s="489">
        <f>'2C Önk bev kiad fel'!E157</f>
        <v>16000000</v>
      </c>
      <c r="E11" s="489"/>
      <c r="F11" s="794">
        <f>SUM(C11:E11)</f>
        <v>34000000</v>
      </c>
      <c r="G11" s="795">
        <f>+'2C Önk bev kiad fel'!I65+'2C Önk bev kiad fel'!I66</f>
        <v>48233000</v>
      </c>
      <c r="H11" s="489">
        <f>'2C Önk bev kiad fel'!I157</f>
        <v>16484500</v>
      </c>
      <c r="I11" s="489"/>
      <c r="J11" s="794">
        <f t="shared" si="0"/>
        <v>64717500</v>
      </c>
      <c r="K11" s="795">
        <f>+'2C Önk bev kiad fel'!L65+'2C Önk bev kiad fel'!L66</f>
        <v>48233000</v>
      </c>
      <c r="L11" s="489">
        <f>'2C Önk bev kiad fel'!L157</f>
        <v>16484500</v>
      </c>
      <c r="M11" s="489"/>
      <c r="N11" s="794">
        <f t="shared" si="1"/>
        <v>64717500</v>
      </c>
      <c r="O11" s="795">
        <f>+'2C Önk bev kiad fel'!O65+'2C Önk bev kiad fel'!O66</f>
        <v>47966860</v>
      </c>
      <c r="P11" s="489">
        <f>'2C Önk bev kiad fel'!O157+'2C Önk bev kiad fel'!O229</f>
        <v>21572900</v>
      </c>
      <c r="Q11" s="489"/>
      <c r="R11" s="794">
        <f t="shared" si="2"/>
        <v>69539760</v>
      </c>
      <c r="S11" s="795">
        <f>+'2C Önk bev kiad fel'!R65+'2C Önk bev kiad fel'!R66</f>
        <v>34415446</v>
      </c>
      <c r="T11" s="489">
        <f>'2C Önk bev kiad fel'!R157+'2C Önk bev kiad fel'!R229</f>
        <v>13011774</v>
      </c>
      <c r="U11" s="489"/>
      <c r="V11" s="794">
        <f t="shared" si="3"/>
        <v>47427220</v>
      </c>
      <c r="Y11" s="768">
        <f t="shared" si="5"/>
        <v>4822260</v>
      </c>
      <c r="Z11" s="768">
        <f>69539760-R11</f>
        <v>0</v>
      </c>
    </row>
    <row r="12" spans="1:27" x14ac:dyDescent="0.25">
      <c r="A12" s="482" t="s">
        <v>338</v>
      </c>
      <c r="B12" s="778" t="s">
        <v>339</v>
      </c>
      <c r="C12" s="795">
        <f>SUM(C13:C17)</f>
        <v>636311006</v>
      </c>
      <c r="D12" s="489">
        <f>SUM(D13:D17)</f>
        <v>306912000</v>
      </c>
      <c r="E12" s="489">
        <f>SUM(E13:E17)</f>
        <v>0</v>
      </c>
      <c r="F12" s="794">
        <f t="shared" si="4"/>
        <v>943223006</v>
      </c>
      <c r="G12" s="795">
        <f>SUM(G13:G17)</f>
        <v>658989483</v>
      </c>
      <c r="H12" s="489">
        <f>SUM(H13:H17)</f>
        <v>303893000</v>
      </c>
      <c r="I12" s="489">
        <f>SUM(I13:I17)</f>
        <v>0</v>
      </c>
      <c r="J12" s="794">
        <f t="shared" si="0"/>
        <v>962882483</v>
      </c>
      <c r="K12" s="795">
        <f>SUM(K13:K17)</f>
        <v>616582364</v>
      </c>
      <c r="L12" s="489">
        <f>SUM(L13:L17)</f>
        <v>303893000</v>
      </c>
      <c r="M12" s="489">
        <f>SUM(M13:M17)</f>
        <v>0</v>
      </c>
      <c r="N12" s="794">
        <f t="shared" si="1"/>
        <v>920475364</v>
      </c>
      <c r="O12" s="795">
        <f>SUM(O13:O17)</f>
        <v>541468475</v>
      </c>
      <c r="P12" s="489">
        <f>SUM(P13:P17)</f>
        <v>390094978</v>
      </c>
      <c r="Q12" s="489">
        <f>SUM(Q13:Q17)</f>
        <v>0</v>
      </c>
      <c r="R12" s="794">
        <f t="shared" si="2"/>
        <v>931563453</v>
      </c>
      <c r="S12" s="795">
        <f>SUM(S13:S17)</f>
        <v>436290114</v>
      </c>
      <c r="T12" s="489">
        <f>SUM(T13:T17)</f>
        <v>361667965</v>
      </c>
      <c r="U12" s="489">
        <f>SUM(U13:U17)</f>
        <v>0</v>
      </c>
      <c r="V12" s="794">
        <f t="shared" si="3"/>
        <v>797958079</v>
      </c>
      <c r="Y12" s="768">
        <f t="shared" si="5"/>
        <v>11088089</v>
      </c>
      <c r="Z12" s="768">
        <f>931563453-R12</f>
        <v>0</v>
      </c>
    </row>
    <row r="13" spans="1:27" x14ac:dyDescent="0.25">
      <c r="A13" s="451"/>
      <c r="B13" s="779" t="s">
        <v>667</v>
      </c>
      <c r="C13" s="796">
        <f>+'2C Önk bev kiad fel'!E47</f>
        <v>444312663</v>
      </c>
      <c r="D13" s="447">
        <v>0</v>
      </c>
      <c r="E13" s="447">
        <v>0</v>
      </c>
      <c r="F13" s="797">
        <f t="shared" si="4"/>
        <v>444312663</v>
      </c>
      <c r="G13" s="796">
        <f>+'2C Önk bev kiad fel'!I47</f>
        <v>446142774</v>
      </c>
      <c r="H13" s="447">
        <v>0</v>
      </c>
      <c r="I13" s="447">
        <v>0</v>
      </c>
      <c r="J13" s="797">
        <f t="shared" si="0"/>
        <v>446142774</v>
      </c>
      <c r="K13" s="796">
        <f>+'2C Önk bev kiad fel'!L47</f>
        <v>447623774</v>
      </c>
      <c r="L13" s="447">
        <v>0</v>
      </c>
      <c r="M13" s="447">
        <v>0</v>
      </c>
      <c r="N13" s="797">
        <f t="shared" si="1"/>
        <v>447623774</v>
      </c>
      <c r="O13" s="796">
        <f>+'2C Önk bev kiad fel'!O47</f>
        <v>446123774</v>
      </c>
      <c r="P13" s="447">
        <v>0</v>
      </c>
      <c r="Q13" s="447">
        <v>0</v>
      </c>
      <c r="R13" s="797">
        <f t="shared" si="2"/>
        <v>446123774</v>
      </c>
      <c r="S13" s="796">
        <f>+'2C Önk bev kiad fel'!R47</f>
        <v>436290114</v>
      </c>
      <c r="T13" s="447">
        <v>0</v>
      </c>
      <c r="U13" s="447">
        <v>0</v>
      </c>
      <c r="V13" s="797">
        <f t="shared" si="3"/>
        <v>436290114</v>
      </c>
      <c r="Y13" s="908">
        <f>+R13-N13</f>
        <v>-1500000</v>
      </c>
    </row>
    <row r="14" spans="1:27" s="94" customFormat="1" ht="30" x14ac:dyDescent="0.25">
      <c r="A14" s="451"/>
      <c r="B14" s="779" t="s">
        <v>668</v>
      </c>
      <c r="C14" s="796">
        <v>0</v>
      </c>
      <c r="D14" s="447">
        <v>0</v>
      </c>
      <c r="E14" s="447">
        <v>0</v>
      </c>
      <c r="F14" s="797">
        <f t="shared" si="4"/>
        <v>0</v>
      </c>
      <c r="G14" s="796">
        <v>0</v>
      </c>
      <c r="H14" s="447">
        <v>0</v>
      </c>
      <c r="I14" s="447">
        <v>0</v>
      </c>
      <c r="J14" s="797">
        <f t="shared" si="0"/>
        <v>0</v>
      </c>
      <c r="K14" s="796">
        <v>0</v>
      </c>
      <c r="L14" s="447">
        <v>0</v>
      </c>
      <c r="M14" s="447">
        <v>0</v>
      </c>
      <c r="N14" s="797">
        <f t="shared" si="1"/>
        <v>0</v>
      </c>
      <c r="O14" s="796">
        <v>0</v>
      </c>
      <c r="P14" s="447">
        <v>0</v>
      </c>
      <c r="Q14" s="447">
        <v>0</v>
      </c>
      <c r="R14" s="797">
        <f t="shared" si="2"/>
        <v>0</v>
      </c>
      <c r="S14" s="796">
        <v>0</v>
      </c>
      <c r="T14" s="447">
        <v>0</v>
      </c>
      <c r="U14" s="447">
        <v>0</v>
      </c>
      <c r="V14" s="797">
        <f t="shared" si="3"/>
        <v>0</v>
      </c>
    </row>
    <row r="15" spans="1:27" s="94" customFormat="1" ht="30" x14ac:dyDescent="0.25">
      <c r="A15" s="451"/>
      <c r="B15" s="779" t="s">
        <v>669</v>
      </c>
      <c r="C15" s="796">
        <f>'2C Önk bev kiad fel'!G89+'2C Önk bev kiad fel'!G119+'2C Önk bev kiad fel'!G116+'2C Önk bev kiad fel'!G121+'2C Önk bev kiad fel'!G125+'2C Önk bev kiad fel'!G127</f>
        <v>0</v>
      </c>
      <c r="D15" s="447">
        <f>'2C Önk bev kiad fel'!E89+'2C Önk bev kiad fel'!E116+'2C Önk bev kiad fel'!E119+'2C Önk bev kiad fel'!E121+'2C Önk bev kiad fel'!E125+'2C Önk bev kiad fel'!E127</f>
        <v>48832000</v>
      </c>
      <c r="E15" s="447">
        <v>0</v>
      </c>
      <c r="F15" s="797">
        <f t="shared" si="4"/>
        <v>48832000</v>
      </c>
      <c r="G15" s="796">
        <f>'2C Önk bev kiad fel'!O89+'2C Önk bev kiad fel'!O119+'2C Önk bev kiad fel'!O116+'2C Önk bev kiad fel'!O121+'2C Önk bev kiad fel'!O125+'2C Önk bev kiad fel'!O127</f>
        <v>48932000</v>
      </c>
      <c r="H15" s="447">
        <f>'2C Önk bev kiad fel'!I89+'2C Önk bev kiad fel'!I116+'2C Önk bev kiad fel'!I119+'2C Önk bev kiad fel'!I121+'2C Önk bev kiad fel'!I125+'2C Önk bev kiad fel'!I127</f>
        <v>48832000</v>
      </c>
      <c r="I15" s="447">
        <v>0</v>
      </c>
      <c r="J15" s="797">
        <f t="shared" si="0"/>
        <v>97764000</v>
      </c>
      <c r="K15" s="796">
        <f>'2C Önk bev kiad fel'!S89+'2C Önk bev kiad fel'!S119+'2C Önk bev kiad fel'!S116+'2C Önk bev kiad fel'!S121+'2C Önk bev kiad fel'!S125+'2C Önk bev kiad fel'!S127</f>
        <v>0</v>
      </c>
      <c r="L15" s="447">
        <f>'2C Önk bev kiad fel'!L89+'2C Önk bev kiad fel'!L116+'2C Önk bev kiad fel'!L119+'2C Önk bev kiad fel'!L121+'2C Önk bev kiad fel'!L125+'2C Önk bev kiad fel'!L127</f>
        <v>48832000</v>
      </c>
      <c r="M15" s="447">
        <v>0</v>
      </c>
      <c r="N15" s="797">
        <f t="shared" si="1"/>
        <v>48832000</v>
      </c>
      <c r="O15" s="796">
        <f>'2C Önk bev kiad fel'!W89+'2C Önk bev kiad fel'!W119+'2C Önk bev kiad fel'!W116+'2C Önk bev kiad fel'!W121+'2C Önk bev kiad fel'!W125+'2C Önk bev kiad fel'!W127</f>
        <v>0</v>
      </c>
      <c r="P15" s="447">
        <f>'2C Önk bev kiad fel'!O89+'2C Önk bev kiad fel'!O116+'2C Önk bev kiad fel'!O119+'2C Önk bev kiad fel'!O121+'2C Önk bev kiad fel'!O125+'2C Önk bev kiad fel'!O127+'2C Önk bev kiad fel'!O48</f>
        <v>49198140</v>
      </c>
      <c r="Q15" s="447">
        <v>0</v>
      </c>
      <c r="R15" s="797">
        <f t="shared" si="2"/>
        <v>49198140</v>
      </c>
      <c r="S15" s="796">
        <f>'2C Önk bev kiad fel'!AA89+'2C Önk bev kiad fel'!AA119+'2C Önk bev kiad fel'!AA116+'2C Önk bev kiad fel'!AA121+'2C Önk bev kiad fel'!AA125+'2C Önk bev kiad fel'!AA127</f>
        <v>0</v>
      </c>
      <c r="T15" s="447">
        <f>'2C Önk bev kiad fel'!R89+'2C Önk bev kiad fel'!R116+'2C Önk bev kiad fel'!R119+'2C Önk bev kiad fel'!R121+'2C Önk bev kiad fel'!R125+'2C Önk bev kiad fel'!R127</f>
        <v>43363000</v>
      </c>
      <c r="U15" s="447">
        <v>0</v>
      </c>
      <c r="V15" s="797">
        <f t="shared" si="3"/>
        <v>43363000</v>
      </c>
      <c r="Y15" s="908">
        <f>+R15-N15</f>
        <v>366140</v>
      </c>
      <c r="AA15" s="908"/>
    </row>
    <row r="16" spans="1:27" ht="30" x14ac:dyDescent="0.25">
      <c r="A16" s="451"/>
      <c r="B16" s="779" t="s">
        <v>670</v>
      </c>
      <c r="C16" s="796">
        <v>0</v>
      </c>
      <c r="D16" s="428">
        <f>'2C Önk bev kiad fel'!E129+'2C Önk bev kiad fel'!E131+'2C Önk bev kiad fel'!E133+'2C Önk bev kiad fel'!E136+'2C Önk bev kiad fel'!E138+'2C Önk bev kiad fel'!E141+'2C Önk bev kiad fel'!E144+'2C Önk bev kiad fel'!E146+'2C Önk bev kiad fel'!E152+'2C Önk bev kiad fel'!E191+'2C Önk bev kiad fel'!E163+'2C Önk bev kiad fel'!E177</f>
        <v>258080000</v>
      </c>
      <c r="E16" s="428">
        <v>0</v>
      </c>
      <c r="F16" s="798">
        <f t="shared" si="4"/>
        <v>258080000</v>
      </c>
      <c r="G16" s="796">
        <v>0</v>
      </c>
      <c r="H16" s="428">
        <f>'2C Önk bev kiad fel'!I129+'2C Önk bev kiad fel'!I131+'2C Önk bev kiad fel'!I133+'2C Önk bev kiad fel'!I136+'2C Önk bev kiad fel'!I138+'2C Önk bev kiad fel'!I141+'2C Önk bev kiad fel'!I144+'2C Önk bev kiad fel'!I146+'2C Önk bev kiad fel'!I149+'2C Önk bev kiad fel'!I152+'2C Önk bev kiad fel'!I191+'2C Önk bev kiad fel'!I163+'2C Önk bev kiad fel'!I177</f>
        <v>255061000</v>
      </c>
      <c r="I16" s="428">
        <v>0</v>
      </c>
      <c r="J16" s="798">
        <f t="shared" si="0"/>
        <v>255061000</v>
      </c>
      <c r="K16" s="796">
        <v>0</v>
      </c>
      <c r="L16" s="428">
        <f>'2C Önk bev kiad fel'!L129+'2C Önk bev kiad fel'!L131+'2C Önk bev kiad fel'!L133+'2C Önk bev kiad fel'!L136+'2C Önk bev kiad fel'!L138+'2C Önk bev kiad fel'!L141+'2C Önk bev kiad fel'!L144+'2C Önk bev kiad fel'!L146+'2C Önk bev kiad fel'!L149+'2C Önk bev kiad fel'!L152+'2C Önk bev kiad fel'!L191+'2C Önk bev kiad fel'!L163+'2C Önk bev kiad fel'!L177</f>
        <v>255061000</v>
      </c>
      <c r="M16" s="428">
        <v>0</v>
      </c>
      <c r="N16" s="798">
        <f t="shared" si="1"/>
        <v>255061000</v>
      </c>
      <c r="O16" s="796">
        <v>0</v>
      </c>
      <c r="P16" s="428">
        <f>'2C Önk bev kiad fel'!O129+'2C Önk bev kiad fel'!O131+'2C Önk bev kiad fel'!O133+'2C Önk bev kiad fel'!O136+'2C Önk bev kiad fel'!O138+'2C Önk bev kiad fel'!O141+'2C Önk bev kiad fel'!O144+'2C Önk bev kiad fel'!O146+'2C Önk bev kiad fel'!O149+'2C Önk bev kiad fel'!O152+'2C Önk bev kiad fel'!O191+'2C Önk bev kiad fel'!O163+'2C Önk bev kiad fel'!O177+'2C Önk bev kiad fel'!O49</f>
        <v>340896838</v>
      </c>
      <c r="Q16" s="428">
        <v>0</v>
      </c>
      <c r="R16" s="798">
        <f t="shared" si="2"/>
        <v>340896838</v>
      </c>
      <c r="S16" s="796">
        <v>0</v>
      </c>
      <c r="T16" s="428">
        <f>'2C Önk bev kiad fel'!R129+'2C Önk bev kiad fel'!R131+'2C Önk bev kiad fel'!R133+'2C Önk bev kiad fel'!R136+'2C Önk bev kiad fel'!R138+'2C Önk bev kiad fel'!R141+'2C Önk bev kiad fel'!R144+'2C Önk bev kiad fel'!R146+'2C Önk bev kiad fel'!R149+'2C Önk bev kiad fel'!R152+'2C Önk bev kiad fel'!R191+'2C Önk bev kiad fel'!R163+'2C Önk bev kiad fel'!R177</f>
        <v>318304965</v>
      </c>
      <c r="U16" s="428">
        <v>0</v>
      </c>
      <c r="V16" s="798">
        <f t="shared" si="3"/>
        <v>318304965</v>
      </c>
      <c r="Y16" s="908">
        <f t="shared" ref="Y16:Y20" si="6">+R16-N16</f>
        <v>85835838</v>
      </c>
      <c r="Z16" s="768">
        <f>340896838-R16</f>
        <v>0</v>
      </c>
    </row>
    <row r="17" spans="1:26" x14ac:dyDescent="0.25">
      <c r="A17" s="451"/>
      <c r="B17" s="779" t="s">
        <v>671</v>
      </c>
      <c r="C17" s="796">
        <f>C18+C19+C20</f>
        <v>191998343</v>
      </c>
      <c r="D17" s="447">
        <f>D18+D19+D20</f>
        <v>0</v>
      </c>
      <c r="E17" s="447">
        <f>E18+E19+E20</f>
        <v>0</v>
      </c>
      <c r="F17" s="797">
        <f t="shared" si="4"/>
        <v>191998343</v>
      </c>
      <c r="G17" s="796">
        <f>G18+G19+G20</f>
        <v>163914709</v>
      </c>
      <c r="H17" s="447">
        <f>H18+H19+H20</f>
        <v>0</v>
      </c>
      <c r="I17" s="447">
        <f>I18+I19+I20</f>
        <v>0</v>
      </c>
      <c r="J17" s="797">
        <f t="shared" si="0"/>
        <v>163914709</v>
      </c>
      <c r="K17" s="796">
        <f>K18+K19+K20</f>
        <v>168958590</v>
      </c>
      <c r="L17" s="447">
        <f>L18+L19+L20</f>
        <v>0</v>
      </c>
      <c r="M17" s="447">
        <f>M18+M19+M20</f>
        <v>0</v>
      </c>
      <c r="N17" s="797">
        <f t="shared" si="1"/>
        <v>168958590</v>
      </c>
      <c r="O17" s="796">
        <f>O18+O19+O20</f>
        <v>95344701</v>
      </c>
      <c r="P17" s="447">
        <f>P18+P19+P20</f>
        <v>0</v>
      </c>
      <c r="Q17" s="447">
        <f>Q18+Q19+Q20</f>
        <v>0</v>
      </c>
      <c r="R17" s="797">
        <f t="shared" si="2"/>
        <v>95344701</v>
      </c>
      <c r="S17" s="796">
        <f>S18+S19+S20</f>
        <v>0</v>
      </c>
      <c r="T17" s="447">
        <f>T18+T19+T20</f>
        <v>0</v>
      </c>
      <c r="U17" s="447">
        <f>U18+U19+U20</f>
        <v>0</v>
      </c>
      <c r="V17" s="797">
        <f t="shared" si="3"/>
        <v>0</v>
      </c>
      <c r="Y17" s="908">
        <f t="shared" si="6"/>
        <v>-73613889</v>
      </c>
    </row>
    <row r="18" spans="1:26" x14ac:dyDescent="0.25">
      <c r="A18" s="451"/>
      <c r="B18" s="780" t="s">
        <v>672</v>
      </c>
      <c r="C18" s="799">
        <f>'2D Céltartalék'!B3</f>
        <v>80037488</v>
      </c>
      <c r="D18" s="445">
        <v>0</v>
      </c>
      <c r="E18" s="445">
        <v>0</v>
      </c>
      <c r="F18" s="800">
        <f t="shared" si="4"/>
        <v>80037488</v>
      </c>
      <c r="G18" s="799">
        <f>'2D Céltartalék'!C3</f>
        <v>65945832</v>
      </c>
      <c r="H18" s="445">
        <v>0</v>
      </c>
      <c r="I18" s="445">
        <v>0</v>
      </c>
      <c r="J18" s="800">
        <f t="shared" si="0"/>
        <v>65945832</v>
      </c>
      <c r="K18" s="799">
        <f>'2D Céltartalék'!D3</f>
        <v>35970061</v>
      </c>
      <c r="L18" s="445">
        <v>0</v>
      </c>
      <c r="M18" s="445">
        <v>0</v>
      </c>
      <c r="N18" s="800">
        <f t="shared" si="1"/>
        <v>35970061</v>
      </c>
      <c r="O18" s="799">
        <f>'2D Céltartalék'!E3</f>
        <v>36657444</v>
      </c>
      <c r="P18" s="445">
        <v>0</v>
      </c>
      <c r="Q18" s="445">
        <v>0</v>
      </c>
      <c r="R18" s="800">
        <f t="shared" si="2"/>
        <v>36657444</v>
      </c>
      <c r="S18" s="799"/>
      <c r="T18" s="445">
        <v>0</v>
      </c>
      <c r="U18" s="445">
        <v>0</v>
      </c>
      <c r="V18" s="800">
        <f t="shared" si="3"/>
        <v>0</v>
      </c>
      <c r="Y18" s="908">
        <f t="shared" si="6"/>
        <v>687383</v>
      </c>
    </row>
    <row r="19" spans="1:26" x14ac:dyDescent="0.25">
      <c r="A19" s="451"/>
      <c r="B19" s="780" t="s">
        <v>673</v>
      </c>
      <c r="C19" s="799">
        <f>'2D Céltartalék'!B4</f>
        <v>108960855</v>
      </c>
      <c r="D19" s="445">
        <v>0</v>
      </c>
      <c r="E19" s="445">
        <f>'2D Céltartalék'!J4</f>
        <v>0</v>
      </c>
      <c r="F19" s="800">
        <f t="shared" si="4"/>
        <v>108960855</v>
      </c>
      <c r="G19" s="799">
        <f>'2D Céltartalék'!C4</f>
        <v>94968877</v>
      </c>
      <c r="H19" s="445">
        <v>0</v>
      </c>
      <c r="I19" s="445">
        <f>'2D Céltartalék'!N4</f>
        <v>0</v>
      </c>
      <c r="J19" s="800">
        <f t="shared" si="0"/>
        <v>94968877</v>
      </c>
      <c r="K19" s="799">
        <f>'2D Céltartalék'!D4</f>
        <v>129988529</v>
      </c>
      <c r="L19" s="445">
        <v>0</v>
      </c>
      <c r="M19" s="445">
        <f>'2D Céltartalék'!R4</f>
        <v>0</v>
      </c>
      <c r="N19" s="800">
        <f t="shared" si="1"/>
        <v>129988529</v>
      </c>
      <c r="O19" s="799">
        <f>'2D Céltartalék'!E4</f>
        <v>55687257</v>
      </c>
      <c r="P19" s="445">
        <v>0</v>
      </c>
      <c r="Q19" s="445">
        <f>'2D Céltartalék'!V4</f>
        <v>0</v>
      </c>
      <c r="R19" s="800">
        <f t="shared" si="2"/>
        <v>55687257</v>
      </c>
      <c r="S19" s="799"/>
      <c r="T19" s="445">
        <v>0</v>
      </c>
      <c r="U19" s="445">
        <f>'2D Céltartalék'!Z4</f>
        <v>0</v>
      </c>
      <c r="V19" s="800">
        <f t="shared" si="3"/>
        <v>0</v>
      </c>
      <c r="Y19" s="908">
        <f t="shared" si="6"/>
        <v>-74301272</v>
      </c>
    </row>
    <row r="20" spans="1:26" x14ac:dyDescent="0.25">
      <c r="A20" s="451"/>
      <c r="B20" s="780" t="s">
        <v>1828</v>
      </c>
      <c r="C20" s="801">
        <f>'2D Céltartalék'!B26</f>
        <v>3000000</v>
      </c>
      <c r="D20" s="338">
        <f>'2D Céltartalék'!I26</f>
        <v>0</v>
      </c>
      <c r="E20" s="338">
        <f>'2D Céltartalék'!J26</f>
        <v>0</v>
      </c>
      <c r="F20" s="800">
        <f t="shared" si="4"/>
        <v>3000000</v>
      </c>
      <c r="G20" s="801">
        <f>'2D Céltartalék'!C26</f>
        <v>3000000</v>
      </c>
      <c r="H20" s="338">
        <f>'2D Céltartalék'!M26</f>
        <v>0</v>
      </c>
      <c r="I20" s="338">
        <f>'2D Céltartalék'!N26</f>
        <v>0</v>
      </c>
      <c r="J20" s="800">
        <f t="shared" si="0"/>
        <v>3000000</v>
      </c>
      <c r="K20" s="801">
        <f>'2D Céltartalék'!D26</f>
        <v>3000000</v>
      </c>
      <c r="L20" s="338">
        <f>'2D Céltartalék'!Q26</f>
        <v>0</v>
      </c>
      <c r="M20" s="338">
        <f>'2D Céltartalék'!R26</f>
        <v>0</v>
      </c>
      <c r="N20" s="800">
        <f t="shared" si="1"/>
        <v>3000000</v>
      </c>
      <c r="O20" s="801">
        <f>'2D Céltartalék'!E26</f>
        <v>3000000</v>
      </c>
      <c r="P20" s="338">
        <f>'2D Céltartalék'!U26</f>
        <v>0</v>
      </c>
      <c r="Q20" s="338">
        <f>'2D Céltartalék'!V26</f>
        <v>0</v>
      </c>
      <c r="R20" s="800">
        <f t="shared" si="2"/>
        <v>3000000</v>
      </c>
      <c r="S20" s="801"/>
      <c r="T20" s="338">
        <f>'2D Céltartalék'!Y26</f>
        <v>0</v>
      </c>
      <c r="U20" s="338">
        <f>'2D Céltartalék'!Z26</f>
        <v>0</v>
      </c>
      <c r="V20" s="800">
        <f t="shared" si="3"/>
        <v>0</v>
      </c>
      <c r="Y20" s="908">
        <f t="shared" si="6"/>
        <v>0</v>
      </c>
    </row>
    <row r="21" spans="1:26" x14ac:dyDescent="0.25">
      <c r="A21" s="479" t="s">
        <v>318</v>
      </c>
      <c r="B21" s="777" t="s">
        <v>340</v>
      </c>
      <c r="C21" s="791">
        <f>C22+C23+C24</f>
        <v>960406190</v>
      </c>
      <c r="D21" s="462">
        <f>D22+D23+D24</f>
        <v>392408000</v>
      </c>
      <c r="E21" s="462">
        <f>E22+E23+E24</f>
        <v>0</v>
      </c>
      <c r="F21" s="792">
        <f>SUM(C21:E21)</f>
        <v>1352814190</v>
      </c>
      <c r="G21" s="791">
        <f>G22+G23+G24</f>
        <v>1017387377</v>
      </c>
      <c r="H21" s="462">
        <f>H22+H23+H24</f>
        <v>599212502</v>
      </c>
      <c r="I21" s="462">
        <f>I22+I23+I24</f>
        <v>0</v>
      </c>
      <c r="J21" s="792">
        <f t="shared" si="0"/>
        <v>1616599879</v>
      </c>
      <c r="K21" s="791">
        <f>K22+K23+K24</f>
        <v>999898177</v>
      </c>
      <c r="L21" s="462">
        <f>L22+L23+L24</f>
        <v>606021538</v>
      </c>
      <c r="M21" s="462">
        <f>M22+M23+M24</f>
        <v>0</v>
      </c>
      <c r="N21" s="792">
        <f t="shared" si="1"/>
        <v>1605919715</v>
      </c>
      <c r="O21" s="791">
        <f>O22+O23+O24</f>
        <v>1249501379</v>
      </c>
      <c r="P21" s="462">
        <f>P22+P23+P24</f>
        <v>395243329</v>
      </c>
      <c r="Q21" s="462">
        <f>Q22+Q23+Q24</f>
        <v>0</v>
      </c>
      <c r="R21" s="792">
        <f t="shared" si="2"/>
        <v>1644744708</v>
      </c>
      <c r="S21" s="791">
        <f>S22+S23+S24</f>
        <v>235375882</v>
      </c>
      <c r="T21" s="462">
        <f>T22+T23+T24</f>
        <v>95925394</v>
      </c>
      <c r="U21" s="462">
        <f>U22+U23+U24</f>
        <v>0</v>
      </c>
      <c r="V21" s="792">
        <f t="shared" si="3"/>
        <v>331301276</v>
      </c>
      <c r="Y21" s="768">
        <f>+R21-N21</f>
        <v>38824993</v>
      </c>
    </row>
    <row r="22" spans="1:26" x14ac:dyDescent="0.25">
      <c r="A22" s="482" t="s">
        <v>311</v>
      </c>
      <c r="B22" s="778" t="s">
        <v>351</v>
      </c>
      <c r="C22" s="795">
        <f>'2C Önk bev kiad fel'!E11+'2C Önk bev kiad fel'!E15+'2C Önk bev kiad fel'!E32+'2C Önk bev kiad fel'!E36+'2C Önk bev kiad fel'!E42+'2C Önk bev kiad fel'!E51+'2C Önk bev kiad fel'!E57</f>
        <v>744196350</v>
      </c>
      <c r="D22" s="489">
        <f>'2C Önk bev kiad fel'!E81+'2C Önk bev kiad fel'!E114+'2C Önk bev kiad fel'!E170+'2C Önk bev kiad fel'!E193+'2C Önk bev kiad fel'!E178</f>
        <v>392408000</v>
      </c>
      <c r="E22" s="489"/>
      <c r="F22" s="794">
        <f>SUM(C22:E22)</f>
        <v>1136604350</v>
      </c>
      <c r="G22" s="795">
        <f>'2C Önk bev kiad fel'!I11+'2C Önk bev kiad fel'!I15+'2C Önk bev kiad fel'!I32+'2C Önk bev kiad fel'!I36+'2C Önk bev kiad fel'!I42+'2C Önk bev kiad fel'!I51+'2C Önk bev kiad fel'!I57</f>
        <v>799740926</v>
      </c>
      <c r="H22" s="489">
        <f>'2C Önk bev kiad fel'!I81+'2C Önk bev kiad fel'!I114+'2C Önk bev kiad fel'!I170+'2C Önk bev kiad fel'!I193+'2C Önk bev kiad fel'!I178+'2C Önk bev kiad fel'!I165+'2C Önk bev kiad fel'!I230</f>
        <v>571066901</v>
      </c>
      <c r="I22" s="489"/>
      <c r="J22" s="794">
        <f t="shared" si="0"/>
        <v>1370807827</v>
      </c>
      <c r="K22" s="795">
        <f>'2C Önk bev kiad fel'!L11+'2C Önk bev kiad fel'!L15+'2C Önk bev kiad fel'!L32+'2C Önk bev kiad fel'!L36+'2C Önk bev kiad fel'!L42+'2C Önk bev kiad fel'!L51+'2C Önk bev kiad fel'!L57</f>
        <v>782737726</v>
      </c>
      <c r="L22" s="489">
        <f>'2C Önk bev kiad fel'!L81+'2C Önk bev kiad fel'!L114+'2C Önk bev kiad fel'!L170+'2C Önk bev kiad fel'!L193+'2C Önk bev kiad fel'!L178+'2C Önk bev kiad fel'!L165+'2C Önk bev kiad fel'!L230</f>
        <v>574666901</v>
      </c>
      <c r="M22" s="489"/>
      <c r="N22" s="794">
        <f t="shared" si="1"/>
        <v>1357404627</v>
      </c>
      <c r="O22" s="795">
        <f>'2C Önk bev kiad fel'!O11+'2C Önk bev kiad fel'!O15+'2C Önk bev kiad fel'!O20+'2C Önk bev kiad fel'!O32+'2C Önk bev kiad fel'!O36+'2C Önk bev kiad fel'!O42+'2C Önk bev kiad fel'!O51+'2C Önk bev kiad fel'!O57</f>
        <v>909850752</v>
      </c>
      <c r="P22" s="489">
        <f>'2C Önk bev kiad fel'!O78+'2C Önk bev kiad fel'!O81+'2C Önk bev kiad fel'!O114+'2C Önk bev kiad fel'!O170+'2C Önk bev kiad fel'!O193+'2C Önk bev kiad fel'!O178+'2C Önk bev kiad fel'!O165+'2C Önk bev kiad fel'!O230+'2C Önk bev kiad fel'!O222</f>
        <v>371668692</v>
      </c>
      <c r="Q22" s="489"/>
      <c r="R22" s="794">
        <f t="shared" si="2"/>
        <v>1281519444</v>
      </c>
      <c r="S22" s="795">
        <f>'2C Önk bev kiad fel'!R11+'2C Önk bev kiad fel'!R15+'2C Önk bev kiad fel'!R20+'2C Önk bev kiad fel'!R32+'2C Önk bev kiad fel'!R36+'2C Önk bev kiad fel'!R42+'2C Önk bev kiad fel'!R51+'2C Önk bev kiad fel'!R57</f>
        <v>132661669</v>
      </c>
      <c r="T22" s="489">
        <f>+'2C Önk bev kiad fel'!R78+'2C Önk bev kiad fel'!R81+'2C Önk bev kiad fel'!R114+'2C Önk bev kiad fel'!R170+'2C Önk bev kiad fel'!R193+'2C Önk bev kiad fel'!R178+'2C Önk bev kiad fel'!R165+'2C Önk bev kiad fel'!R230+'2C Önk bev kiad fel'!R222</f>
        <v>82716358</v>
      </c>
      <c r="U22" s="489"/>
      <c r="V22" s="794">
        <f t="shared" si="3"/>
        <v>215378027</v>
      </c>
      <c r="Y22" s="768">
        <f t="shared" ref="Y22:Y24" si="7">+R22-N22</f>
        <v>-75885183</v>
      </c>
      <c r="Z22" s="768">
        <f>1281519444-R22</f>
        <v>0</v>
      </c>
    </row>
    <row r="23" spans="1:26" x14ac:dyDescent="0.25">
      <c r="A23" s="482" t="s">
        <v>322</v>
      </c>
      <c r="B23" s="778" t="s">
        <v>342</v>
      </c>
      <c r="C23" s="795">
        <f>'2C Önk bev kiad fel'!E58+'2C Önk bev kiad fel'!E74</f>
        <v>215509840</v>
      </c>
      <c r="D23" s="489">
        <f>'2C Önk bev kiad fel'!E171+'2C Önk bev kiad fel'!E179</f>
        <v>0</v>
      </c>
      <c r="E23" s="489"/>
      <c r="F23" s="794">
        <f t="shared" si="4"/>
        <v>215509840</v>
      </c>
      <c r="G23" s="795">
        <f>'2C Önk bev kiad fel'!I58+'2C Önk bev kiad fel'!I74+'2C Önk bev kiad fel'!I52</f>
        <v>216246451</v>
      </c>
      <c r="H23" s="489">
        <f>'2C Önk bev kiad fel'!I171+'2C Önk bev kiad fel'!I179</f>
        <v>28145601</v>
      </c>
      <c r="I23" s="489"/>
      <c r="J23" s="794">
        <f t="shared" si="0"/>
        <v>244392052</v>
      </c>
      <c r="K23" s="795">
        <f>'2C Önk bev kiad fel'!L58+'2C Önk bev kiad fel'!L74+'2C Önk bev kiad fel'!L52</f>
        <v>215760451</v>
      </c>
      <c r="L23" s="489">
        <f>'2C Önk bev kiad fel'!L171+'2C Önk bev kiad fel'!L179</f>
        <v>31354637</v>
      </c>
      <c r="M23" s="489"/>
      <c r="N23" s="794">
        <f t="shared" si="1"/>
        <v>247115088</v>
      </c>
      <c r="O23" s="795">
        <f>'2C Önk bev kiad fel'!O58+'2C Önk bev kiad fel'!O74+'2C Önk bev kiad fel'!O52</f>
        <v>253250627</v>
      </c>
      <c r="P23" s="489">
        <f>'2C Önk bev kiad fel'!O171+'2C Önk bev kiad fel'!O179</f>
        <v>13574637</v>
      </c>
      <c r="Q23" s="489"/>
      <c r="R23" s="794">
        <f t="shared" si="2"/>
        <v>266825264</v>
      </c>
      <c r="S23" s="795">
        <f>'2C Önk bev kiad fel'!R58+'2C Önk bev kiad fel'!R74+'2C Önk bev kiad fel'!R52</f>
        <v>102714213</v>
      </c>
      <c r="T23" s="489">
        <f>'2C Önk bev kiad fel'!R171+'2C Önk bev kiad fel'!R179</f>
        <v>3209036</v>
      </c>
      <c r="U23" s="489"/>
      <c r="V23" s="794">
        <f t="shared" si="3"/>
        <v>105923249</v>
      </c>
      <c r="Y23" s="768">
        <f t="shared" si="7"/>
        <v>19710176</v>
      </c>
      <c r="Z23" s="768">
        <f>266825264-R23</f>
        <v>0</v>
      </c>
    </row>
    <row r="24" spans="1:26" x14ac:dyDescent="0.25">
      <c r="A24" s="482" t="s">
        <v>315</v>
      </c>
      <c r="B24" s="778" t="s">
        <v>343</v>
      </c>
      <c r="C24" s="793">
        <f>SUM(C25:C29)</f>
        <v>700000</v>
      </c>
      <c r="D24" s="488">
        <f>SUM(D25:D29)</f>
        <v>0</v>
      </c>
      <c r="E24" s="488">
        <f>SUM(E25:E29)</f>
        <v>0</v>
      </c>
      <c r="F24" s="794">
        <f t="shared" si="4"/>
        <v>700000</v>
      </c>
      <c r="G24" s="793">
        <f>SUM(G25:G29)</f>
        <v>1400000</v>
      </c>
      <c r="H24" s="488">
        <f>SUM(H25:H29)</f>
        <v>0</v>
      </c>
      <c r="I24" s="488">
        <f>SUM(I25:I29)</f>
        <v>0</v>
      </c>
      <c r="J24" s="794">
        <f t="shared" si="0"/>
        <v>1400000</v>
      </c>
      <c r="K24" s="793">
        <f>SUM(K25:K29)</f>
        <v>1400000</v>
      </c>
      <c r="L24" s="488">
        <f>SUM(L25:L29)</f>
        <v>0</v>
      </c>
      <c r="M24" s="488">
        <f>SUM(M25:M29)</f>
        <v>0</v>
      </c>
      <c r="N24" s="794">
        <f t="shared" si="1"/>
        <v>1400000</v>
      </c>
      <c r="O24" s="793">
        <f>SUM(O25:O29)</f>
        <v>86400000</v>
      </c>
      <c r="P24" s="488">
        <f>SUM(P25:P29)</f>
        <v>10000000</v>
      </c>
      <c r="Q24" s="488">
        <f>SUM(Q25:Q29)</f>
        <v>0</v>
      </c>
      <c r="R24" s="794">
        <f t="shared" si="2"/>
        <v>96400000</v>
      </c>
      <c r="S24" s="793">
        <f>SUM(S25:S29)</f>
        <v>0</v>
      </c>
      <c r="T24" s="488">
        <f>SUM(T25:T29)</f>
        <v>10000000</v>
      </c>
      <c r="U24" s="488">
        <f>SUM(U25:U29)</f>
        <v>0</v>
      </c>
      <c r="V24" s="794">
        <f t="shared" si="3"/>
        <v>10000000</v>
      </c>
      <c r="Y24" s="768">
        <f t="shared" si="7"/>
        <v>95000000</v>
      </c>
      <c r="Z24" s="768">
        <f>96400000-R24</f>
        <v>0</v>
      </c>
    </row>
    <row r="25" spans="1:26" ht="30" x14ac:dyDescent="0.25">
      <c r="A25" s="451"/>
      <c r="B25" s="779" t="s">
        <v>674</v>
      </c>
      <c r="C25" s="802">
        <v>0</v>
      </c>
      <c r="D25" s="490">
        <v>0</v>
      </c>
      <c r="E25" s="490">
        <v>0</v>
      </c>
      <c r="F25" s="797">
        <f t="shared" si="4"/>
        <v>0</v>
      </c>
      <c r="G25" s="802">
        <v>0</v>
      </c>
      <c r="H25" s="490">
        <v>0</v>
      </c>
      <c r="I25" s="490">
        <v>0</v>
      </c>
      <c r="J25" s="797">
        <f t="shared" si="0"/>
        <v>0</v>
      </c>
      <c r="K25" s="802">
        <v>0</v>
      </c>
      <c r="L25" s="490">
        <v>0</v>
      </c>
      <c r="M25" s="490">
        <v>0</v>
      </c>
      <c r="N25" s="797">
        <f t="shared" si="1"/>
        <v>0</v>
      </c>
      <c r="O25" s="802">
        <v>0</v>
      </c>
      <c r="P25" s="490">
        <v>0</v>
      </c>
      <c r="Q25" s="490">
        <v>0</v>
      </c>
      <c r="R25" s="797">
        <f t="shared" si="2"/>
        <v>0</v>
      </c>
      <c r="S25" s="802">
        <v>0</v>
      </c>
      <c r="T25" s="490">
        <v>0</v>
      </c>
      <c r="U25" s="490">
        <v>0</v>
      </c>
      <c r="V25" s="797">
        <f t="shared" si="3"/>
        <v>0</v>
      </c>
    </row>
    <row r="26" spans="1:26" ht="26.25" customHeight="1" x14ac:dyDescent="0.25">
      <c r="A26" s="451"/>
      <c r="B26" s="779" t="s">
        <v>675</v>
      </c>
      <c r="C26" s="802">
        <v>0</v>
      </c>
      <c r="D26" s="490">
        <v>0</v>
      </c>
      <c r="E26" s="490">
        <v>0</v>
      </c>
      <c r="F26" s="797">
        <f t="shared" si="4"/>
        <v>0</v>
      </c>
      <c r="G26" s="802">
        <v>0</v>
      </c>
      <c r="H26" s="490">
        <v>0</v>
      </c>
      <c r="I26" s="490">
        <v>0</v>
      </c>
      <c r="J26" s="797">
        <f t="shared" si="0"/>
        <v>0</v>
      </c>
      <c r="K26" s="802">
        <v>0</v>
      </c>
      <c r="L26" s="490">
        <v>0</v>
      </c>
      <c r="M26" s="490">
        <v>0</v>
      </c>
      <c r="N26" s="797">
        <f t="shared" si="1"/>
        <v>0</v>
      </c>
      <c r="O26" s="802">
        <v>0</v>
      </c>
      <c r="P26" s="490">
        <v>0</v>
      </c>
      <c r="Q26" s="490">
        <v>0</v>
      </c>
      <c r="R26" s="797">
        <f t="shared" si="2"/>
        <v>0</v>
      </c>
      <c r="S26" s="802">
        <v>0</v>
      </c>
      <c r="T26" s="490">
        <v>0</v>
      </c>
      <c r="U26" s="490">
        <v>0</v>
      </c>
      <c r="V26" s="797">
        <f t="shared" si="3"/>
        <v>0</v>
      </c>
    </row>
    <row r="27" spans="1:26" x14ac:dyDescent="0.25">
      <c r="A27" s="451"/>
      <c r="B27" s="779" t="s">
        <v>676</v>
      </c>
      <c r="C27" s="802">
        <v>0</v>
      </c>
      <c r="D27" s="490">
        <v>0</v>
      </c>
      <c r="E27" s="490">
        <v>0</v>
      </c>
      <c r="F27" s="797">
        <f t="shared" si="4"/>
        <v>0</v>
      </c>
      <c r="G27" s="802">
        <v>0</v>
      </c>
      <c r="H27" s="490">
        <v>0</v>
      </c>
      <c r="I27" s="490">
        <v>0</v>
      </c>
      <c r="J27" s="797">
        <f t="shared" si="0"/>
        <v>0</v>
      </c>
      <c r="K27" s="802">
        <v>0</v>
      </c>
      <c r="L27" s="490">
        <v>0</v>
      </c>
      <c r="M27" s="490">
        <v>0</v>
      </c>
      <c r="N27" s="797">
        <f t="shared" si="1"/>
        <v>0</v>
      </c>
      <c r="O27" s="802">
        <v>0</v>
      </c>
      <c r="P27" s="490">
        <v>0</v>
      </c>
      <c r="Q27" s="490">
        <v>0</v>
      </c>
      <c r="R27" s="797">
        <f t="shared" si="2"/>
        <v>0</v>
      </c>
      <c r="S27" s="802">
        <v>0</v>
      </c>
      <c r="T27" s="490">
        <v>0</v>
      </c>
      <c r="U27" s="490">
        <v>0</v>
      </c>
      <c r="V27" s="797">
        <f t="shared" si="3"/>
        <v>0</v>
      </c>
    </row>
    <row r="28" spans="1:26" ht="24" customHeight="1" x14ac:dyDescent="0.25">
      <c r="A28" s="451"/>
      <c r="B28" s="779" t="s">
        <v>677</v>
      </c>
      <c r="C28" s="802">
        <v>0</v>
      </c>
      <c r="D28" s="490">
        <v>0</v>
      </c>
      <c r="E28" s="490">
        <v>0</v>
      </c>
      <c r="F28" s="797">
        <f t="shared" si="4"/>
        <v>0</v>
      </c>
      <c r="G28" s="802">
        <v>0</v>
      </c>
      <c r="H28" s="490">
        <v>0</v>
      </c>
      <c r="I28" s="490">
        <v>0</v>
      </c>
      <c r="J28" s="797">
        <f t="shared" si="0"/>
        <v>0</v>
      </c>
      <c r="K28" s="802">
        <v>0</v>
      </c>
      <c r="L28" s="490">
        <v>0</v>
      </c>
      <c r="M28" s="490">
        <v>0</v>
      </c>
      <c r="N28" s="797">
        <f t="shared" si="1"/>
        <v>0</v>
      </c>
      <c r="O28" s="802">
        <f>+'2C Önk bev kiad fel'!O164</f>
        <v>85000000</v>
      </c>
      <c r="P28" s="490">
        <v>0</v>
      </c>
      <c r="Q28" s="490">
        <v>0</v>
      </c>
      <c r="R28" s="797">
        <f t="shared" si="2"/>
        <v>85000000</v>
      </c>
      <c r="S28" s="802">
        <f>+'2C Önk bev kiad fel'!R164</f>
        <v>0</v>
      </c>
      <c r="T28" s="490">
        <v>0</v>
      </c>
      <c r="U28" s="490">
        <v>0</v>
      </c>
      <c r="V28" s="797">
        <f t="shared" si="3"/>
        <v>0</v>
      </c>
    </row>
    <row r="29" spans="1:26" ht="30" x14ac:dyDescent="0.25">
      <c r="A29" s="451"/>
      <c r="B29" s="779" t="s">
        <v>678</v>
      </c>
      <c r="C29" s="802">
        <f>'2C Önk bev kiad fel'!E12</f>
        <v>700000</v>
      </c>
      <c r="D29" s="490">
        <v>0</v>
      </c>
      <c r="E29" s="490">
        <v>0</v>
      </c>
      <c r="F29" s="797">
        <f t="shared" si="4"/>
        <v>700000</v>
      </c>
      <c r="G29" s="802">
        <f>'2C Önk bev kiad fel'!I12</f>
        <v>1400000</v>
      </c>
      <c r="H29" s="490">
        <v>0</v>
      </c>
      <c r="I29" s="490">
        <v>0</v>
      </c>
      <c r="J29" s="797">
        <f t="shared" si="0"/>
        <v>1400000</v>
      </c>
      <c r="K29" s="802">
        <f>'2C Önk bev kiad fel'!L12</f>
        <v>1400000</v>
      </c>
      <c r="L29" s="490">
        <v>0</v>
      </c>
      <c r="M29" s="490">
        <v>0</v>
      </c>
      <c r="N29" s="797">
        <f t="shared" si="1"/>
        <v>1400000</v>
      </c>
      <c r="O29" s="802">
        <f>'2C Önk bev kiad fel'!O12</f>
        <v>1400000</v>
      </c>
      <c r="P29" s="490">
        <f>+'2C Önk bev kiad fel'!O147+'2C Önk bev kiad fel'!O150</f>
        <v>10000000</v>
      </c>
      <c r="Q29" s="490">
        <v>0</v>
      </c>
      <c r="R29" s="797">
        <f t="shared" si="2"/>
        <v>11400000</v>
      </c>
      <c r="S29" s="802">
        <f>'2C Önk bev kiad fel'!R12</f>
        <v>0</v>
      </c>
      <c r="T29" s="490">
        <f>+'2C Önk bev kiad fel'!R147</f>
        <v>10000000</v>
      </c>
      <c r="U29" s="490">
        <v>0</v>
      </c>
      <c r="V29" s="797">
        <f t="shared" si="3"/>
        <v>10000000</v>
      </c>
    </row>
    <row r="30" spans="1:26" x14ac:dyDescent="0.25">
      <c r="A30" s="450"/>
      <c r="B30" s="781" t="s">
        <v>590</v>
      </c>
      <c r="C30" s="803">
        <f>C21+C7</f>
        <v>2070982796</v>
      </c>
      <c r="D30" s="511">
        <f>D21+D7</f>
        <v>946597765</v>
      </c>
      <c r="E30" s="511">
        <f>E21+E7</f>
        <v>0</v>
      </c>
      <c r="F30" s="804">
        <f>SUM(C30:E30)</f>
        <v>3017580561</v>
      </c>
      <c r="G30" s="803">
        <f>G21+G7</f>
        <v>2254551426</v>
      </c>
      <c r="H30" s="511">
        <f>H21+H7</f>
        <v>1210070012</v>
      </c>
      <c r="I30" s="511">
        <f>I21+I7</f>
        <v>0</v>
      </c>
      <c r="J30" s="804">
        <f t="shared" si="0"/>
        <v>3464621438</v>
      </c>
      <c r="K30" s="803">
        <f>K21+K7</f>
        <v>2227859695</v>
      </c>
      <c r="L30" s="511">
        <f>L21+L7</f>
        <v>1248363948</v>
      </c>
      <c r="M30" s="511">
        <f>M21+M7</f>
        <v>0</v>
      </c>
      <c r="N30" s="804">
        <f t="shared" si="1"/>
        <v>3476223643</v>
      </c>
      <c r="O30" s="803">
        <f>O21+O7</f>
        <v>2415770034</v>
      </c>
      <c r="P30" s="511">
        <f>P21+P7</f>
        <v>1103357761</v>
      </c>
      <c r="Q30" s="511">
        <f>Q21+Q7</f>
        <v>0</v>
      </c>
      <c r="R30" s="804">
        <f t="shared" si="2"/>
        <v>3519127795</v>
      </c>
      <c r="S30" s="803">
        <f>S21+S7</f>
        <v>1107705472</v>
      </c>
      <c r="T30" s="511">
        <f>T21+T7</f>
        <v>609385245</v>
      </c>
      <c r="U30" s="511">
        <f>U21+U7</f>
        <v>0</v>
      </c>
      <c r="V30" s="804">
        <f t="shared" si="3"/>
        <v>1717090717</v>
      </c>
      <c r="Y30" s="768">
        <f t="shared" ref="Y30:Y32" si="8">+R30-N30</f>
        <v>42904152</v>
      </c>
      <c r="Z30" s="768">
        <f>3519127795-R30</f>
        <v>0</v>
      </c>
    </row>
    <row r="31" spans="1:26" x14ac:dyDescent="0.25">
      <c r="A31" s="479" t="s">
        <v>328</v>
      </c>
      <c r="B31" s="777" t="s">
        <v>593</v>
      </c>
      <c r="C31" s="791">
        <f>C32+C41</f>
        <v>180645000</v>
      </c>
      <c r="D31" s="462">
        <f>D32+D41</f>
        <v>0</v>
      </c>
      <c r="E31" s="462">
        <f>E32+E41</f>
        <v>2749085345</v>
      </c>
      <c r="F31" s="792">
        <f t="shared" si="4"/>
        <v>2929730345</v>
      </c>
      <c r="G31" s="791">
        <f>G32+G41</f>
        <v>180645000</v>
      </c>
      <c r="H31" s="462">
        <f>H32+H41</f>
        <v>0</v>
      </c>
      <c r="I31" s="462">
        <f>I32+I41</f>
        <v>2960634920</v>
      </c>
      <c r="J31" s="792">
        <f t="shared" si="0"/>
        <v>3141279920</v>
      </c>
      <c r="K31" s="791">
        <f>K32+K41</f>
        <v>180645000</v>
      </c>
      <c r="L31" s="462">
        <f>L32+L41</f>
        <v>0</v>
      </c>
      <c r="M31" s="462">
        <f>M32+M41</f>
        <v>3033577170</v>
      </c>
      <c r="N31" s="792">
        <f t="shared" si="1"/>
        <v>3214222170</v>
      </c>
      <c r="O31" s="791">
        <f>O32+O41</f>
        <v>180645156</v>
      </c>
      <c r="P31" s="462">
        <f>P32+P41</f>
        <v>0</v>
      </c>
      <c r="Q31" s="462">
        <f>Q32+Q41</f>
        <v>3293482593</v>
      </c>
      <c r="R31" s="792">
        <f t="shared" si="2"/>
        <v>3474127749</v>
      </c>
      <c r="S31" s="791">
        <f>S32+S41</f>
        <v>180645156</v>
      </c>
      <c r="T31" s="462">
        <f>T32+T41</f>
        <v>0</v>
      </c>
      <c r="U31" s="462">
        <f>U32+U41</f>
        <v>3097490787</v>
      </c>
      <c r="V31" s="792">
        <f t="shared" si="3"/>
        <v>3278135943</v>
      </c>
      <c r="Y31" s="768">
        <f t="shared" si="8"/>
        <v>259905579</v>
      </c>
    </row>
    <row r="32" spans="1:26" x14ac:dyDescent="0.25">
      <c r="A32" s="482" t="s">
        <v>311</v>
      </c>
      <c r="B32" s="778" t="s">
        <v>596</v>
      </c>
      <c r="C32" s="805">
        <f>C33+C38+C36+C40+C39+C37</f>
        <v>180645000</v>
      </c>
      <c r="D32" s="491">
        <f>D33+D38+D36+D40+D39+D37</f>
        <v>0</v>
      </c>
      <c r="E32" s="491">
        <f>E33+E38+E36+E40+E39+E37</f>
        <v>2749085345</v>
      </c>
      <c r="F32" s="806">
        <f t="shared" si="4"/>
        <v>2929730345</v>
      </c>
      <c r="G32" s="805">
        <f>G33+G38+G36+G40+G39+G37</f>
        <v>180645000</v>
      </c>
      <c r="H32" s="491">
        <f>H33+H38+H36+H40+H39+H37</f>
        <v>0</v>
      </c>
      <c r="I32" s="491">
        <f>I33+I38+I36+I40+I39+I37</f>
        <v>2960634920</v>
      </c>
      <c r="J32" s="806">
        <f t="shared" si="0"/>
        <v>3141279920</v>
      </c>
      <c r="K32" s="805">
        <f>K33+K38+K36+K40+K39+K37</f>
        <v>180645000</v>
      </c>
      <c r="L32" s="491">
        <f>L33+L38+L36+L40+L39+L37</f>
        <v>0</v>
      </c>
      <c r="M32" s="491">
        <f>M33+M38+M36+M40+M39+M37</f>
        <v>3033577170</v>
      </c>
      <c r="N32" s="806">
        <f t="shared" si="1"/>
        <v>3214222170</v>
      </c>
      <c r="O32" s="805">
        <f>O33+O38+O36+O40+O39+O37</f>
        <v>180645156</v>
      </c>
      <c r="P32" s="491">
        <f>P33+P38+P36+P40+P39+P37</f>
        <v>0</v>
      </c>
      <c r="Q32" s="491">
        <f>Q33+Q38+Q36+Q40+Q39+Q37</f>
        <v>3293482593</v>
      </c>
      <c r="R32" s="806">
        <f t="shared" si="2"/>
        <v>3474127749</v>
      </c>
      <c r="S32" s="805">
        <f>S33+S38+S36+S40+S39+S37</f>
        <v>180645156</v>
      </c>
      <c r="T32" s="491">
        <f>T33+T38+T36+T40+T39+T37</f>
        <v>0</v>
      </c>
      <c r="U32" s="491">
        <f>U33+U38+U36+U40+U39+U37</f>
        <v>3097490787</v>
      </c>
      <c r="V32" s="806">
        <f t="shared" si="3"/>
        <v>3278135943</v>
      </c>
      <c r="Y32" s="768">
        <f t="shared" si="8"/>
        <v>259905579</v>
      </c>
    </row>
    <row r="33" spans="1:25" ht="30" x14ac:dyDescent="0.25">
      <c r="A33" s="451"/>
      <c r="B33" s="782" t="s">
        <v>679</v>
      </c>
      <c r="C33" s="807">
        <f>SUM(C34:C35)</f>
        <v>180645000</v>
      </c>
      <c r="D33" s="335"/>
      <c r="E33" s="335"/>
      <c r="F33" s="798">
        <f t="shared" si="4"/>
        <v>180645000</v>
      </c>
      <c r="G33" s="807">
        <f>SUM(G34:G35)</f>
        <v>180645000</v>
      </c>
      <c r="H33" s="335"/>
      <c r="I33" s="335"/>
      <c r="J33" s="798">
        <f t="shared" si="0"/>
        <v>180645000</v>
      </c>
      <c r="K33" s="807">
        <f>SUM(K34:K35)</f>
        <v>180645000</v>
      </c>
      <c r="L33" s="335"/>
      <c r="M33" s="335"/>
      <c r="N33" s="798">
        <f t="shared" si="1"/>
        <v>180645000</v>
      </c>
      <c r="O33" s="807">
        <f>SUM(O34:O35)</f>
        <v>180645156</v>
      </c>
      <c r="P33" s="335"/>
      <c r="Q33" s="335"/>
      <c r="R33" s="798">
        <f t="shared" si="2"/>
        <v>180645156</v>
      </c>
      <c r="S33" s="807">
        <f>SUM(S34:S35)</f>
        <v>180645156</v>
      </c>
      <c r="T33" s="335"/>
      <c r="U33" s="335"/>
      <c r="V33" s="798">
        <f t="shared" si="3"/>
        <v>180645156</v>
      </c>
    </row>
    <row r="34" spans="1:25" x14ac:dyDescent="0.25">
      <c r="A34" s="451"/>
      <c r="B34" s="780" t="s">
        <v>680</v>
      </c>
      <c r="C34" s="808">
        <f>+'2C Önk bev kiad fel'!E235</f>
        <v>180645000</v>
      </c>
      <c r="D34" s="315"/>
      <c r="E34" s="315"/>
      <c r="F34" s="809">
        <f t="shared" si="4"/>
        <v>180645000</v>
      </c>
      <c r="G34" s="808">
        <f>+'2C Önk bev kiad fel'!I235</f>
        <v>180645000</v>
      </c>
      <c r="H34" s="315"/>
      <c r="I34" s="315"/>
      <c r="J34" s="809">
        <f t="shared" si="0"/>
        <v>180645000</v>
      </c>
      <c r="K34" s="808">
        <f>+'2C Önk bev kiad fel'!L235</f>
        <v>180645000</v>
      </c>
      <c r="L34" s="315"/>
      <c r="M34" s="315"/>
      <c r="N34" s="809">
        <f t="shared" si="1"/>
        <v>180645000</v>
      </c>
      <c r="O34" s="808">
        <f>+'2C Önk bev kiad fel'!O235</f>
        <v>180645156</v>
      </c>
      <c r="P34" s="315"/>
      <c r="Q34" s="315"/>
      <c r="R34" s="809">
        <f t="shared" si="2"/>
        <v>180645156</v>
      </c>
      <c r="S34" s="808">
        <f>+'2C Önk bev kiad fel'!R235</f>
        <v>180645156</v>
      </c>
      <c r="T34" s="315"/>
      <c r="U34" s="315"/>
      <c r="V34" s="809">
        <f t="shared" si="3"/>
        <v>180645156</v>
      </c>
    </row>
    <row r="35" spans="1:25" ht="15" hidden="1" customHeight="1" x14ac:dyDescent="0.25">
      <c r="A35" s="451"/>
      <c r="B35" s="780" t="s">
        <v>681</v>
      </c>
      <c r="C35" s="808"/>
      <c r="D35" s="315"/>
      <c r="E35" s="315"/>
      <c r="F35" s="809">
        <f t="shared" si="4"/>
        <v>0</v>
      </c>
      <c r="G35" s="808"/>
      <c r="H35" s="315"/>
      <c r="I35" s="315"/>
      <c r="J35" s="809">
        <f t="shared" si="0"/>
        <v>0</v>
      </c>
      <c r="K35" s="808"/>
      <c r="L35" s="315"/>
      <c r="M35" s="315"/>
      <c r="N35" s="809">
        <f t="shared" si="1"/>
        <v>0</v>
      </c>
      <c r="O35" s="808"/>
      <c r="P35" s="315"/>
      <c r="Q35" s="315"/>
      <c r="R35" s="809">
        <f t="shared" si="2"/>
        <v>0</v>
      </c>
      <c r="S35" s="808"/>
      <c r="T35" s="315"/>
      <c r="U35" s="315"/>
      <c r="V35" s="809">
        <f t="shared" si="3"/>
        <v>0</v>
      </c>
    </row>
    <row r="36" spans="1:25" x14ac:dyDescent="0.25">
      <c r="A36" s="451"/>
      <c r="B36" s="782" t="s">
        <v>682</v>
      </c>
      <c r="C36" s="807"/>
      <c r="D36" s="335"/>
      <c r="E36" s="335"/>
      <c r="F36" s="798">
        <f t="shared" si="4"/>
        <v>0</v>
      </c>
      <c r="G36" s="807"/>
      <c r="H36" s="335"/>
      <c r="I36" s="335"/>
      <c r="J36" s="798">
        <f t="shared" si="0"/>
        <v>0</v>
      </c>
      <c r="K36" s="807"/>
      <c r="L36" s="335"/>
      <c r="M36" s="335"/>
      <c r="N36" s="798">
        <f t="shared" si="1"/>
        <v>0</v>
      </c>
      <c r="O36" s="807"/>
      <c r="P36" s="335"/>
      <c r="Q36" s="335"/>
      <c r="R36" s="798">
        <f t="shared" si="2"/>
        <v>0</v>
      </c>
      <c r="S36" s="807"/>
      <c r="T36" s="335"/>
      <c r="U36" s="335"/>
      <c r="V36" s="798">
        <f t="shared" si="3"/>
        <v>0</v>
      </c>
    </row>
    <row r="37" spans="1:25" ht="25.5" customHeight="1" x14ac:dyDescent="0.25">
      <c r="A37" s="451"/>
      <c r="B37" s="782" t="s">
        <v>683</v>
      </c>
      <c r="C37" s="807"/>
      <c r="D37" s="335">
        <v>0</v>
      </c>
      <c r="E37" s="335">
        <f>'2C Önk bev kiad fel'!E234</f>
        <v>24816000</v>
      </c>
      <c r="F37" s="798">
        <f t="shared" si="4"/>
        <v>24816000</v>
      </c>
      <c r="G37" s="807"/>
      <c r="H37" s="335">
        <v>0</v>
      </c>
      <c r="I37" s="335">
        <f>'2C Önk bev kiad fel'!I234</f>
        <v>211270375</v>
      </c>
      <c r="J37" s="798">
        <f t="shared" si="0"/>
        <v>211270375</v>
      </c>
      <c r="K37" s="807"/>
      <c r="L37" s="335">
        <v>0</v>
      </c>
      <c r="M37" s="335">
        <f>'2C Önk bev kiad fel'!L234</f>
        <v>361330216</v>
      </c>
      <c r="N37" s="798">
        <f t="shared" si="1"/>
        <v>361330216</v>
      </c>
      <c r="O37" s="807"/>
      <c r="P37" s="335">
        <v>0</v>
      </c>
      <c r="Q37" s="335">
        <f>'2C Önk bev kiad fel'!O234</f>
        <v>619002331</v>
      </c>
      <c r="R37" s="798">
        <f t="shared" si="2"/>
        <v>619002331</v>
      </c>
      <c r="S37" s="807"/>
      <c r="T37" s="335">
        <v>0</v>
      </c>
      <c r="U37" s="335">
        <f>'2C Önk bev kiad fel'!R234</f>
        <v>578504389</v>
      </c>
      <c r="V37" s="798">
        <f t="shared" si="3"/>
        <v>578504389</v>
      </c>
      <c r="Y37" s="768">
        <f t="shared" ref="Y37:Y38" si="9">+R37-N37</f>
        <v>257672115</v>
      </c>
    </row>
    <row r="38" spans="1:25" x14ac:dyDescent="0.25">
      <c r="A38" s="451"/>
      <c r="B38" s="782" t="s">
        <v>684</v>
      </c>
      <c r="C38" s="807">
        <v>0</v>
      </c>
      <c r="D38" s="335">
        <v>0</v>
      </c>
      <c r="E38" s="335">
        <f>'2C Önk bev kiad fel'!E233</f>
        <v>2724269345</v>
      </c>
      <c r="F38" s="798">
        <f t="shared" si="4"/>
        <v>2724269345</v>
      </c>
      <c r="G38" s="807">
        <v>0</v>
      </c>
      <c r="H38" s="335">
        <v>0</v>
      </c>
      <c r="I38" s="335">
        <f>'2C Önk bev kiad fel'!I233</f>
        <v>2749364545</v>
      </c>
      <c r="J38" s="798">
        <f t="shared" si="0"/>
        <v>2749364545</v>
      </c>
      <c r="K38" s="807">
        <v>0</v>
      </c>
      <c r="L38" s="335">
        <v>0</v>
      </c>
      <c r="M38" s="335">
        <f>'2C Önk bev kiad fel'!L233</f>
        <v>2672246954</v>
      </c>
      <c r="N38" s="798">
        <f t="shared" si="1"/>
        <v>2672246954</v>
      </c>
      <c r="O38" s="807">
        <v>0</v>
      </c>
      <c r="P38" s="335">
        <v>0</v>
      </c>
      <c r="Q38" s="335">
        <f>'2C Önk bev kiad fel'!O233</f>
        <v>2674480262</v>
      </c>
      <c r="R38" s="798">
        <f t="shared" si="2"/>
        <v>2674480262</v>
      </c>
      <c r="S38" s="807">
        <v>0</v>
      </c>
      <c r="T38" s="335">
        <v>0</v>
      </c>
      <c r="U38" s="335">
        <f>'2C Önk bev kiad fel'!R233</f>
        <v>2518986398</v>
      </c>
      <c r="V38" s="798">
        <f t="shared" si="3"/>
        <v>2518986398</v>
      </c>
      <c r="Y38" s="768">
        <f t="shared" si="9"/>
        <v>2233308</v>
      </c>
    </row>
    <row r="39" spans="1:25" ht="15" hidden="1" customHeight="1" x14ac:dyDescent="0.25">
      <c r="A39" s="451"/>
      <c r="B39" s="782" t="s">
        <v>685</v>
      </c>
      <c r="C39" s="807"/>
      <c r="D39" s="810"/>
      <c r="E39" s="335">
        <f>'2C Önk bev kiad fel'!E236</f>
        <v>0</v>
      </c>
      <c r="F39" s="798">
        <f t="shared" ref="F39:F44" si="10">SUM(C39:E39)</f>
        <v>0</v>
      </c>
      <c r="G39" s="807"/>
      <c r="H39" s="810"/>
      <c r="I39" s="335">
        <f>'2C Önk bev kiad fel'!I236</f>
        <v>0</v>
      </c>
      <c r="J39" s="798">
        <f t="shared" ref="J39:J44" si="11">SUM(G39:I39)</f>
        <v>0</v>
      </c>
      <c r="K39" s="807"/>
      <c r="L39" s="810"/>
      <c r="M39" s="335">
        <f>'2C Önk bev kiad fel'!M236</f>
        <v>0</v>
      </c>
      <c r="N39" s="798">
        <f t="shared" ref="N39:N44" si="12">SUM(K39:M39)</f>
        <v>0</v>
      </c>
      <c r="O39" s="807"/>
      <c r="P39" s="810"/>
      <c r="Q39" s="335">
        <f>'2C Önk bev kiad fel'!Q236</f>
        <v>0</v>
      </c>
      <c r="R39" s="798">
        <f t="shared" ref="R39:R44" si="13">SUM(O39:Q39)</f>
        <v>0</v>
      </c>
      <c r="S39" s="807"/>
      <c r="T39" s="810"/>
      <c r="U39" s="335">
        <f>'2C Önk bev kiad fel'!U236</f>
        <v>0</v>
      </c>
      <c r="V39" s="798">
        <f t="shared" ref="V39:V44" si="14">SUM(S39:U39)</f>
        <v>0</v>
      </c>
    </row>
    <row r="40" spans="1:25" ht="15" hidden="1" customHeight="1" x14ac:dyDescent="0.25">
      <c r="A40" s="451"/>
      <c r="B40" s="782" t="s">
        <v>686</v>
      </c>
      <c r="C40" s="807"/>
      <c r="D40" s="335"/>
      <c r="E40" s="335"/>
      <c r="F40" s="798">
        <f t="shared" si="10"/>
        <v>0</v>
      </c>
      <c r="G40" s="807"/>
      <c r="H40" s="335"/>
      <c r="I40" s="335"/>
      <c r="J40" s="798">
        <f t="shared" si="11"/>
        <v>0</v>
      </c>
      <c r="K40" s="807"/>
      <c r="L40" s="335"/>
      <c r="M40" s="335"/>
      <c r="N40" s="798">
        <f t="shared" si="12"/>
        <v>0</v>
      </c>
      <c r="O40" s="807"/>
      <c r="P40" s="335"/>
      <c r="Q40" s="335"/>
      <c r="R40" s="798">
        <f t="shared" si="13"/>
        <v>0</v>
      </c>
      <c r="S40" s="807"/>
      <c r="T40" s="335"/>
      <c r="U40" s="335"/>
      <c r="V40" s="798">
        <f t="shared" si="14"/>
        <v>0</v>
      </c>
    </row>
    <row r="41" spans="1:25" x14ac:dyDescent="0.25">
      <c r="A41" s="482" t="s">
        <v>322</v>
      </c>
      <c r="B41" s="778" t="s">
        <v>597</v>
      </c>
      <c r="C41" s="805">
        <f>C42+C43</f>
        <v>0</v>
      </c>
      <c r="D41" s="491">
        <f>D42+D43</f>
        <v>0</v>
      </c>
      <c r="E41" s="491">
        <f>E42+E43</f>
        <v>0</v>
      </c>
      <c r="F41" s="806">
        <f t="shared" si="10"/>
        <v>0</v>
      </c>
      <c r="G41" s="805">
        <f>G42+G43</f>
        <v>0</v>
      </c>
      <c r="H41" s="491">
        <f>H42+H43</f>
        <v>0</v>
      </c>
      <c r="I41" s="491">
        <f>I42+I43</f>
        <v>0</v>
      </c>
      <c r="J41" s="806">
        <f t="shared" si="11"/>
        <v>0</v>
      </c>
      <c r="K41" s="805">
        <f>K42+K43</f>
        <v>0</v>
      </c>
      <c r="L41" s="491">
        <f>L42+L43</f>
        <v>0</v>
      </c>
      <c r="M41" s="491">
        <f>M42+M43</f>
        <v>0</v>
      </c>
      <c r="N41" s="806">
        <f t="shared" si="12"/>
        <v>0</v>
      </c>
      <c r="O41" s="805">
        <f>O42+O43</f>
        <v>0</v>
      </c>
      <c r="P41" s="491">
        <f>P42+P43</f>
        <v>0</v>
      </c>
      <c r="Q41" s="491">
        <f>Q42+Q43</f>
        <v>0</v>
      </c>
      <c r="R41" s="806">
        <f t="shared" si="13"/>
        <v>0</v>
      </c>
      <c r="S41" s="805">
        <f>S42+S43</f>
        <v>0</v>
      </c>
      <c r="T41" s="491">
        <f>T42+T43</f>
        <v>0</v>
      </c>
      <c r="U41" s="491">
        <f>U42+U43</f>
        <v>0</v>
      </c>
      <c r="V41" s="806">
        <f t="shared" si="14"/>
        <v>0</v>
      </c>
    </row>
    <row r="42" spans="1:25" ht="15" hidden="1" customHeight="1" x14ac:dyDescent="0.25">
      <c r="A42" s="451"/>
      <c r="B42" s="782" t="s">
        <v>687</v>
      </c>
      <c r="C42" s="807"/>
      <c r="D42" s="335"/>
      <c r="E42" s="335"/>
      <c r="F42" s="798">
        <f t="shared" si="10"/>
        <v>0</v>
      </c>
      <c r="G42" s="807"/>
      <c r="H42" s="335"/>
      <c r="I42" s="335"/>
      <c r="J42" s="798">
        <f t="shared" si="11"/>
        <v>0</v>
      </c>
      <c r="K42" s="807"/>
      <c r="L42" s="335"/>
      <c r="M42" s="335"/>
      <c r="N42" s="798">
        <f t="shared" si="12"/>
        <v>0</v>
      </c>
      <c r="O42" s="807"/>
      <c r="P42" s="335"/>
      <c r="Q42" s="335"/>
      <c r="R42" s="798">
        <f t="shared" si="13"/>
        <v>0</v>
      </c>
      <c r="S42" s="807"/>
      <c r="T42" s="335"/>
      <c r="U42" s="335"/>
      <c r="V42" s="798">
        <f t="shared" si="14"/>
        <v>0</v>
      </c>
    </row>
    <row r="43" spans="1:25" ht="15" hidden="1" customHeight="1" x14ac:dyDescent="0.25">
      <c r="A43" s="451"/>
      <c r="B43" s="782" t="s">
        <v>688</v>
      </c>
      <c r="C43" s="807"/>
      <c r="D43" s="335"/>
      <c r="E43" s="335"/>
      <c r="F43" s="798">
        <f t="shared" si="10"/>
        <v>0</v>
      </c>
      <c r="G43" s="807"/>
      <c r="H43" s="335"/>
      <c r="I43" s="335"/>
      <c r="J43" s="798">
        <f t="shared" si="11"/>
        <v>0</v>
      </c>
      <c r="K43" s="807"/>
      <c r="L43" s="335"/>
      <c r="M43" s="335"/>
      <c r="N43" s="798">
        <f t="shared" si="12"/>
        <v>0</v>
      </c>
      <c r="O43" s="807"/>
      <c r="P43" s="335"/>
      <c r="Q43" s="335"/>
      <c r="R43" s="798">
        <f t="shared" si="13"/>
        <v>0</v>
      </c>
      <c r="S43" s="807"/>
      <c r="T43" s="335"/>
      <c r="U43" s="335"/>
      <c r="V43" s="798">
        <f t="shared" si="14"/>
        <v>0</v>
      </c>
    </row>
    <row r="44" spans="1:25" x14ac:dyDescent="0.25">
      <c r="A44" s="486"/>
      <c r="B44" s="783" t="s">
        <v>344</v>
      </c>
      <c r="C44" s="811">
        <f>C31+C30</f>
        <v>2251627796</v>
      </c>
      <c r="D44" s="812">
        <f>D31+D30</f>
        <v>946597765</v>
      </c>
      <c r="E44" s="812">
        <f>E31+E30</f>
        <v>2749085345</v>
      </c>
      <c r="F44" s="813">
        <f t="shared" si="10"/>
        <v>5947310906</v>
      </c>
      <c r="G44" s="811">
        <f>G31+G30</f>
        <v>2435196426</v>
      </c>
      <c r="H44" s="812">
        <f>H31+H30</f>
        <v>1210070012</v>
      </c>
      <c r="I44" s="812">
        <f>I31+I30</f>
        <v>2960634920</v>
      </c>
      <c r="J44" s="813">
        <f t="shared" si="11"/>
        <v>6605901358</v>
      </c>
      <c r="K44" s="811">
        <f>K31+K30</f>
        <v>2408504695</v>
      </c>
      <c r="L44" s="812">
        <f>L31+L30</f>
        <v>1248363948</v>
      </c>
      <c r="M44" s="812">
        <f>M31+M30</f>
        <v>3033577170</v>
      </c>
      <c r="N44" s="813">
        <f t="shared" si="12"/>
        <v>6690445813</v>
      </c>
      <c r="O44" s="811">
        <f>O31+O30</f>
        <v>2596415190</v>
      </c>
      <c r="P44" s="812">
        <f>P31+P30</f>
        <v>1103357761</v>
      </c>
      <c r="Q44" s="812">
        <f>Q31+Q30</f>
        <v>3293482593</v>
      </c>
      <c r="R44" s="813">
        <f t="shared" si="13"/>
        <v>6993255544</v>
      </c>
      <c r="S44" s="811">
        <f>S31+S30</f>
        <v>1288350628</v>
      </c>
      <c r="T44" s="812">
        <f>T31+T30</f>
        <v>609385245</v>
      </c>
      <c r="U44" s="812">
        <f>U31+U30</f>
        <v>3097490787</v>
      </c>
      <c r="V44" s="813">
        <f t="shared" si="14"/>
        <v>4995226660</v>
      </c>
      <c r="Y44" s="768">
        <f>+R44-N44</f>
        <v>302809731</v>
      </c>
    </row>
    <row r="45" spans="1:25" x14ac:dyDescent="0.25">
      <c r="J45" s="731">
        <f>+J44-F44</f>
        <v>658590452</v>
      </c>
      <c r="N45" s="731">
        <f>+N44-J44</f>
        <v>84544455</v>
      </c>
      <c r="R45" s="731">
        <f>+R44-N44</f>
        <v>302809731</v>
      </c>
      <c r="V45" s="731">
        <f>+V44-R44</f>
        <v>-1998028884</v>
      </c>
    </row>
    <row r="46" spans="1:25" x14ac:dyDescent="0.25">
      <c r="F46" s="731">
        <f>+'2C Önk bev kiad fel'!E5</f>
        <v>5947310906</v>
      </c>
      <c r="J46" s="731">
        <f>+'2C Önk bev kiad fel'!I5</f>
        <v>6556969358</v>
      </c>
      <c r="N46" s="731">
        <f>+'2C Önk bev kiad fel'!M5</f>
        <v>0</v>
      </c>
      <c r="R46" s="731">
        <f>+'2C Önk bev kiad fel'!O5</f>
        <v>6993255544</v>
      </c>
      <c r="V46" s="731">
        <f>+'2C Önk bev kiad fel'!R5</f>
        <v>4995226660</v>
      </c>
    </row>
    <row r="47" spans="1:25" x14ac:dyDescent="0.25">
      <c r="F47" s="731">
        <f>+F44-F46</f>
        <v>0</v>
      </c>
      <c r="J47" s="731">
        <f>+J44-J46</f>
        <v>48932000</v>
      </c>
      <c r="N47" s="731">
        <f>+N44-N46</f>
        <v>6690445813</v>
      </c>
      <c r="R47" s="731">
        <f>+R44-R46</f>
        <v>0</v>
      </c>
      <c r="V47" s="731">
        <f>+V44-V46</f>
        <v>0</v>
      </c>
    </row>
    <row r="48" spans="1:25" x14ac:dyDescent="0.25">
      <c r="F48" s="731"/>
      <c r="J48" s="731"/>
      <c r="N48" s="731"/>
      <c r="R48" s="731"/>
      <c r="V48" s="731"/>
    </row>
    <row r="50" spans="6:22" x14ac:dyDescent="0.25">
      <c r="F50" s="731"/>
      <c r="J50" s="731"/>
      <c r="N50" s="731"/>
      <c r="R50" s="731"/>
      <c r="V50" s="731"/>
    </row>
  </sheetData>
  <mergeCells count="7">
    <mergeCell ref="S3:V3"/>
    <mergeCell ref="C3:F3"/>
    <mergeCell ref="A3:A4"/>
    <mergeCell ref="B3:B4"/>
    <mergeCell ref="G3:J3"/>
    <mergeCell ref="K3:N3"/>
    <mergeCell ref="O3:R3"/>
  </mergeCells>
  <printOptions horizontalCentered="1"/>
  <pageMargins left="0.19685039370078741" right="0.19685039370078741" top="0.51181102362204722" bottom="0.15748031496062992" header="0.15748031496062992" footer="0.23622047244094491"/>
  <pageSetup paperSize="9" scale="70" fitToWidth="0" fitToHeight="0" orientation="landscape" copies="4" r:id="rId1"/>
  <headerFooter>
    <oddHeader>&amp;L2/B.  melléklet a ......./2021. (.................) önkormányzati rendelethez&amp;C&amp;"-,Félkövér"&amp;16
Az Önkormányzat 2020. évi kiadásai jogcímenként és feladatonként</oddHeader>
    <oddFooter>&amp;C&amp;P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X249"/>
  <sheetViews>
    <sheetView view="pageBreakPreview" topLeftCell="A45" zoomScaleNormal="100" zoomScaleSheetLayoutView="100" workbookViewId="0">
      <selection activeCell="O48" sqref="O48"/>
    </sheetView>
  </sheetViews>
  <sheetFormatPr defaultColWidth="9.140625" defaultRowHeight="15" x14ac:dyDescent="0.25"/>
  <cols>
    <col min="1" max="1" width="6.140625" style="366" customWidth="1"/>
    <col min="2" max="2" width="40.7109375" style="367" customWidth="1"/>
    <col min="3" max="4" width="10.85546875" style="370" hidden="1" customWidth="1"/>
    <col min="5" max="6" width="13.28515625" style="370" hidden="1" customWidth="1"/>
    <col min="7" max="8" width="10.85546875" style="370" hidden="1" customWidth="1"/>
    <col min="9" max="9" width="13.28515625" style="370" hidden="1" customWidth="1"/>
    <col min="10" max="10" width="9.5703125" style="370" customWidth="1"/>
    <col min="11" max="11" width="9.28515625" style="370" customWidth="1"/>
    <col min="12" max="12" width="13.28515625" style="370" customWidth="1"/>
    <col min="13" max="13" width="9.5703125" style="370" customWidth="1"/>
    <col min="14" max="14" width="9.28515625" style="370" customWidth="1"/>
    <col min="15" max="15" width="13.28515625" style="370" customWidth="1"/>
    <col min="16" max="16" width="9.85546875" style="370" hidden="1" customWidth="1"/>
    <col min="17" max="17" width="9.28515625" style="370" hidden="1" customWidth="1"/>
    <col min="18" max="18" width="13.28515625" style="370" hidden="1" customWidth="1"/>
    <col min="19" max="19" width="10.5703125" style="370" customWidth="1"/>
    <col min="20" max="22" width="9.140625" style="370" customWidth="1"/>
    <col min="23" max="23" width="15" style="370" customWidth="1"/>
    <col min="24" max="24" width="10.85546875" style="370" bestFit="1" customWidth="1"/>
    <col min="25" max="16384" width="9.140625" style="370"/>
  </cols>
  <sheetData>
    <row r="1" spans="1:19" x14ac:dyDescent="0.25">
      <c r="E1" s="369"/>
      <c r="F1" s="369"/>
      <c r="I1" s="369"/>
      <c r="L1" s="369"/>
      <c r="O1" s="369" t="s">
        <v>1662</v>
      </c>
    </row>
    <row r="2" spans="1:19" ht="27.75" customHeight="1" x14ac:dyDescent="0.25">
      <c r="A2" s="957" t="s">
        <v>549</v>
      </c>
      <c r="B2" s="959" t="s">
        <v>306</v>
      </c>
      <c r="C2" s="953" t="s">
        <v>1362</v>
      </c>
      <c r="D2" s="953" t="s">
        <v>1306</v>
      </c>
      <c r="E2" s="955" t="s">
        <v>1304</v>
      </c>
      <c r="F2" s="759"/>
      <c r="G2" s="953" t="s">
        <v>1362</v>
      </c>
      <c r="H2" s="953" t="s">
        <v>1306</v>
      </c>
      <c r="I2" s="955" t="s">
        <v>1304</v>
      </c>
      <c r="J2" s="953" t="s">
        <v>1362</v>
      </c>
      <c r="K2" s="953" t="s">
        <v>1306</v>
      </c>
      <c r="L2" s="955" t="s">
        <v>1304</v>
      </c>
      <c r="M2" s="953" t="s">
        <v>1362</v>
      </c>
      <c r="N2" s="953" t="s">
        <v>1306</v>
      </c>
      <c r="O2" s="955" t="s">
        <v>1304</v>
      </c>
      <c r="P2" s="953" t="s">
        <v>1362</v>
      </c>
      <c r="Q2" s="953" t="s">
        <v>1306</v>
      </c>
      <c r="R2" s="955" t="s">
        <v>1304</v>
      </c>
    </row>
    <row r="3" spans="1:19" s="43" customFormat="1" ht="27.75" customHeight="1" x14ac:dyDescent="0.25">
      <c r="A3" s="957"/>
      <c r="B3" s="959"/>
      <c r="C3" s="954"/>
      <c r="D3" s="954"/>
      <c r="E3" s="956"/>
      <c r="F3" s="760"/>
      <c r="G3" s="954"/>
      <c r="H3" s="954"/>
      <c r="I3" s="956"/>
      <c r="J3" s="954"/>
      <c r="K3" s="954"/>
      <c r="L3" s="956"/>
      <c r="M3" s="954"/>
      <c r="N3" s="954"/>
      <c r="O3" s="956"/>
      <c r="P3" s="954"/>
      <c r="Q3" s="954"/>
      <c r="R3" s="956"/>
    </row>
    <row r="4" spans="1:19" s="43" customFormat="1" ht="53.65" customHeight="1" x14ac:dyDescent="0.25">
      <c r="A4" s="958"/>
      <c r="B4" s="960"/>
      <c r="C4" s="961" t="s">
        <v>1660</v>
      </c>
      <c r="D4" s="943"/>
      <c r="E4" s="944"/>
      <c r="F4" s="758"/>
      <c r="G4" s="939" t="s">
        <v>1760</v>
      </c>
      <c r="H4" s="936"/>
      <c r="I4" s="940"/>
      <c r="J4" s="939" t="s">
        <v>1795</v>
      </c>
      <c r="K4" s="936"/>
      <c r="L4" s="940"/>
      <c r="M4" s="939" t="s">
        <v>1803</v>
      </c>
      <c r="N4" s="936"/>
      <c r="O4" s="940"/>
      <c r="P4" s="962" t="s">
        <v>1807</v>
      </c>
      <c r="Q4" s="936"/>
      <c r="R4" s="940"/>
    </row>
    <row r="5" spans="1:19" s="43" customFormat="1" x14ac:dyDescent="0.25">
      <c r="A5" s="371" t="s">
        <v>311</v>
      </c>
      <c r="B5" s="372" t="s">
        <v>692</v>
      </c>
      <c r="C5" s="438"/>
      <c r="D5" s="438"/>
      <c r="E5" s="437">
        <f>+E6+E75+E231+E232</f>
        <v>5947310906</v>
      </c>
      <c r="F5" s="437"/>
      <c r="G5" s="438"/>
      <c r="H5" s="438"/>
      <c r="I5" s="437">
        <f>+I6+I75+I231+I232</f>
        <v>6556969358</v>
      </c>
      <c r="J5" s="438"/>
      <c r="K5" s="438"/>
      <c r="L5" s="437">
        <f>+L6+L75+L231+L232</f>
        <v>6690445813</v>
      </c>
      <c r="M5" s="438"/>
      <c r="N5" s="438"/>
      <c r="O5" s="437">
        <f>+O6+O75+O231+O232</f>
        <v>6993255544</v>
      </c>
      <c r="P5" s="438"/>
      <c r="Q5" s="438"/>
      <c r="R5" s="437">
        <f>+R6+R75+R231+R232</f>
        <v>4995226660</v>
      </c>
    </row>
    <row r="6" spans="1:19" x14ac:dyDescent="0.25">
      <c r="A6" s="322" t="s">
        <v>309</v>
      </c>
      <c r="B6" s="373" t="s">
        <v>348</v>
      </c>
      <c r="C6" s="440">
        <v>11</v>
      </c>
      <c r="D6" s="440"/>
      <c r="E6" s="439">
        <f>+E7+E13+E16+E21+E26+E28+E30+E34+E37+E43+E53+E59+E63+E67+E71</f>
        <v>2070982796</v>
      </c>
      <c r="F6" s="439"/>
      <c r="G6" s="440">
        <v>11</v>
      </c>
      <c r="H6" s="440"/>
      <c r="I6" s="439">
        <f>+I7+I13+I16+I21+I26+I28+I30+I34+I37+I43+I53+I59+I63+I67+I71</f>
        <v>2205619426</v>
      </c>
      <c r="J6" s="440">
        <v>11</v>
      </c>
      <c r="K6" s="440"/>
      <c r="L6" s="439">
        <f>+L7+L13+L16+L21+L26+L28+L30+L34+L37+L43+L53+L59+L63+L67+L71</f>
        <v>2227859695</v>
      </c>
      <c r="M6" s="440">
        <v>11</v>
      </c>
      <c r="N6" s="440"/>
      <c r="O6" s="439">
        <f>+O7+O13+O16+O21+O26+O28+O30+O34+O37+O43+O53+O59+O63+O67+O71</f>
        <v>2335936374</v>
      </c>
      <c r="P6" s="440">
        <v>11</v>
      </c>
      <c r="Q6" s="440"/>
      <c r="R6" s="439">
        <f>+R7+R13+R16+R21+R26+R28+R30+R34+R37+R43+R53+R59+R63+R67+R71</f>
        <v>1107705472</v>
      </c>
    </row>
    <row r="7" spans="1:19" s="700" customFormat="1" x14ac:dyDescent="0.25">
      <c r="A7" s="536" t="s">
        <v>311</v>
      </c>
      <c r="B7" s="537" t="s">
        <v>693</v>
      </c>
      <c r="C7" s="538"/>
      <c r="D7" s="538"/>
      <c r="E7" s="535">
        <f>SUM(E8:E12)</f>
        <v>20230000</v>
      </c>
      <c r="F7" s="535"/>
      <c r="G7" s="538"/>
      <c r="H7" s="538"/>
      <c r="I7" s="535">
        <f>SUM(I8:I12)</f>
        <v>23463000</v>
      </c>
      <c r="J7" s="538"/>
      <c r="K7" s="538"/>
      <c r="L7" s="535">
        <f>SUM(L8:L12)</f>
        <v>23463000</v>
      </c>
      <c r="M7" s="538"/>
      <c r="N7" s="538"/>
      <c r="O7" s="535">
        <f>SUM(O8:O12)</f>
        <v>23463000</v>
      </c>
      <c r="P7" s="538"/>
      <c r="Q7" s="538"/>
      <c r="R7" s="535">
        <f>SUM(R8:R12)</f>
        <v>2797830</v>
      </c>
      <c r="S7" s="700">
        <v>5101</v>
      </c>
    </row>
    <row r="8" spans="1:19" s="700" customFormat="1" x14ac:dyDescent="0.25">
      <c r="A8" s="536"/>
      <c r="B8" s="539" t="s">
        <v>286</v>
      </c>
      <c r="C8" s="538"/>
      <c r="D8" s="538"/>
      <c r="E8" s="535"/>
      <c r="F8" s="535"/>
      <c r="G8" s="538"/>
      <c r="H8" s="538"/>
      <c r="I8" s="535"/>
      <c r="J8" s="538"/>
      <c r="K8" s="538"/>
      <c r="L8" s="535"/>
      <c r="M8" s="538"/>
      <c r="N8" s="538"/>
      <c r="O8" s="535"/>
      <c r="P8" s="538"/>
      <c r="Q8" s="538"/>
      <c r="R8" s="535"/>
    </row>
    <row r="9" spans="1:19" s="700" customFormat="1" x14ac:dyDescent="0.25">
      <c r="A9" s="536"/>
      <c r="B9" s="539" t="s">
        <v>287</v>
      </c>
      <c r="C9" s="538"/>
      <c r="D9" s="538"/>
      <c r="E9" s="535"/>
      <c r="F9" s="535"/>
      <c r="G9" s="538"/>
      <c r="H9" s="538"/>
      <c r="I9" s="535"/>
      <c r="J9" s="538"/>
      <c r="K9" s="538"/>
      <c r="L9" s="535"/>
      <c r="M9" s="538"/>
      <c r="N9" s="538"/>
      <c r="O9" s="535"/>
      <c r="P9" s="538"/>
      <c r="Q9" s="538"/>
      <c r="R9" s="535"/>
    </row>
    <row r="10" spans="1:19" s="700" customFormat="1" x14ac:dyDescent="0.25">
      <c r="A10" s="702"/>
      <c r="B10" s="539" t="s">
        <v>292</v>
      </c>
      <c r="C10" s="496"/>
      <c r="D10" s="496"/>
      <c r="E10" s="495">
        <v>4530000</v>
      </c>
      <c r="F10" s="495"/>
      <c r="G10" s="496"/>
      <c r="H10" s="496"/>
      <c r="I10" s="495">
        <f>4530000+120000</f>
        <v>4650000</v>
      </c>
      <c r="J10" s="496"/>
      <c r="K10" s="496"/>
      <c r="L10" s="495">
        <f>4530000+120000</f>
        <v>4650000</v>
      </c>
      <c r="M10" s="496"/>
      <c r="N10" s="496"/>
      <c r="O10" s="495">
        <v>7924130</v>
      </c>
      <c r="P10" s="496"/>
      <c r="Q10" s="496"/>
      <c r="R10" s="495">
        <v>1578630</v>
      </c>
    </row>
    <row r="11" spans="1:19" s="700" customFormat="1" x14ac:dyDescent="0.25">
      <c r="A11" s="702"/>
      <c r="B11" s="539" t="s">
        <v>351</v>
      </c>
      <c r="C11" s="496"/>
      <c r="D11" s="496"/>
      <c r="E11" s="495">
        <f>+'7. Fejlesztések'!D11+'7. Fejlesztések'!E11</f>
        <v>15000000</v>
      </c>
      <c r="F11" s="495"/>
      <c r="G11" s="496"/>
      <c r="H11" s="496"/>
      <c r="I11" s="495">
        <f>+'7. Fejlesztések'!G11+'7. Fejlesztések'!H11</f>
        <v>17413000</v>
      </c>
      <c r="J11" s="496"/>
      <c r="K11" s="496"/>
      <c r="L11" s="495">
        <f>+'7. Fejlesztések'!L11</f>
        <v>17413000</v>
      </c>
      <c r="M11" s="496"/>
      <c r="N11" s="496"/>
      <c r="O11" s="495">
        <f>+'7. Fejlesztések'!O11</f>
        <v>14138870</v>
      </c>
      <c r="P11" s="495"/>
      <c r="Q11" s="495"/>
      <c r="R11" s="495">
        <f>+'7. Fejlesztések'!R11</f>
        <v>1219200</v>
      </c>
    </row>
    <row r="12" spans="1:19" s="700" customFormat="1" x14ac:dyDescent="0.25">
      <c r="A12" s="702"/>
      <c r="B12" s="539" t="s">
        <v>343</v>
      </c>
      <c r="C12" s="496"/>
      <c r="D12" s="496"/>
      <c r="E12" s="495">
        <v>700000</v>
      </c>
      <c r="F12" s="495"/>
      <c r="G12" s="496"/>
      <c r="H12" s="496"/>
      <c r="I12" s="495">
        <f>700000+700000</f>
        <v>1400000</v>
      </c>
      <c r="J12" s="496"/>
      <c r="K12" s="496"/>
      <c r="L12" s="495">
        <f>700000+700000</f>
        <v>1400000</v>
      </c>
      <c r="M12" s="496"/>
      <c r="N12" s="496"/>
      <c r="O12" s="495">
        <f>700000+700000</f>
        <v>1400000</v>
      </c>
      <c r="P12" s="496"/>
      <c r="Q12" s="496"/>
      <c r="R12" s="495">
        <v>0</v>
      </c>
    </row>
    <row r="13" spans="1:19" s="700" customFormat="1" x14ac:dyDescent="0.25">
      <c r="A13" s="536" t="s">
        <v>322</v>
      </c>
      <c r="B13" s="537" t="s">
        <v>694</v>
      </c>
      <c r="C13" s="538"/>
      <c r="D13" s="538"/>
      <c r="E13" s="535">
        <f>SUM(E14:E15)</f>
        <v>6175000</v>
      </c>
      <c r="F13" s="535"/>
      <c r="G13" s="538"/>
      <c r="H13" s="538"/>
      <c r="I13" s="535">
        <f>SUM(I14:I15)</f>
        <v>6831717</v>
      </c>
      <c r="J13" s="538"/>
      <c r="K13" s="538"/>
      <c r="L13" s="535">
        <f>SUM(L14:L15)</f>
        <v>6831717</v>
      </c>
      <c r="M13" s="538"/>
      <c r="N13" s="538"/>
      <c r="O13" s="535">
        <f>SUM(O14:O15)</f>
        <v>9181714</v>
      </c>
      <c r="P13" s="538"/>
      <c r="Q13" s="538"/>
      <c r="R13" s="535">
        <f>SUM(R14:R15)</f>
        <v>2229215</v>
      </c>
      <c r="S13" s="700">
        <v>5102</v>
      </c>
    </row>
    <row r="14" spans="1:19" s="700" customFormat="1" x14ac:dyDescent="0.25">
      <c r="A14" s="702"/>
      <c r="B14" s="539" t="s">
        <v>292</v>
      </c>
      <c r="C14" s="496"/>
      <c r="D14" s="496"/>
      <c r="E14" s="495">
        <f>1000000+3862000+1313000</f>
        <v>6175000</v>
      </c>
      <c r="F14" s="495"/>
      <c r="G14" s="496"/>
      <c r="H14" s="496"/>
      <c r="I14" s="495">
        <f>1000000+3862000+1313000+517100+139617</f>
        <v>6831717</v>
      </c>
      <c r="J14" s="496"/>
      <c r="K14" s="496"/>
      <c r="L14" s="495">
        <f>1000000+3862000+1313000+517100+139617</f>
        <v>6831717</v>
      </c>
      <c r="M14" s="496"/>
      <c r="N14" s="496"/>
      <c r="O14" s="495">
        <v>9181714</v>
      </c>
      <c r="P14" s="496"/>
      <c r="Q14" s="496"/>
      <c r="R14" s="495">
        <v>2229215</v>
      </c>
    </row>
    <row r="15" spans="1:19" s="700" customFormat="1" x14ac:dyDescent="0.25">
      <c r="A15" s="702"/>
      <c r="B15" s="539" t="s">
        <v>351</v>
      </c>
      <c r="C15" s="496"/>
      <c r="D15" s="496"/>
      <c r="E15" s="495"/>
      <c r="F15" s="495"/>
      <c r="G15" s="496"/>
      <c r="H15" s="496"/>
      <c r="I15" s="495"/>
      <c r="J15" s="496"/>
      <c r="K15" s="496"/>
      <c r="L15" s="495"/>
      <c r="M15" s="496"/>
      <c r="N15" s="496"/>
      <c r="O15" s="495"/>
      <c r="P15" s="496"/>
      <c r="Q15" s="496"/>
      <c r="R15" s="495"/>
    </row>
    <row r="16" spans="1:19" s="700" customFormat="1" x14ac:dyDescent="0.25">
      <c r="A16" s="536" t="s">
        <v>315</v>
      </c>
      <c r="B16" s="537" t="s">
        <v>695</v>
      </c>
      <c r="C16" s="538"/>
      <c r="D16" s="538"/>
      <c r="E16" s="535">
        <f>SUM(E17:E20)</f>
        <v>31417000</v>
      </c>
      <c r="F16" s="535"/>
      <c r="G16" s="538"/>
      <c r="H16" s="538"/>
      <c r="I16" s="535">
        <f>SUM(I17:I20)</f>
        <v>32760248</v>
      </c>
      <c r="J16" s="538"/>
      <c r="K16" s="538"/>
      <c r="L16" s="535">
        <f>SUM(L17:L20)</f>
        <v>33631748</v>
      </c>
      <c r="M16" s="538"/>
      <c r="N16" s="538"/>
      <c r="O16" s="535">
        <f>SUM(O17:O20)</f>
        <v>34175308</v>
      </c>
      <c r="P16" s="538"/>
      <c r="Q16" s="538"/>
      <c r="R16" s="535">
        <f>SUM(R17:R20)</f>
        <v>32987779</v>
      </c>
      <c r="S16" s="700">
        <v>5103</v>
      </c>
    </row>
    <row r="17" spans="1:19" s="700" customFormat="1" x14ac:dyDescent="0.25">
      <c r="A17" s="702"/>
      <c r="B17" s="539" t="s">
        <v>286</v>
      </c>
      <c r="C17" s="496"/>
      <c r="D17" s="496"/>
      <c r="E17" s="495"/>
      <c r="F17" s="495"/>
      <c r="G17" s="496"/>
      <c r="H17" s="496"/>
      <c r="I17" s="495"/>
      <c r="J17" s="496"/>
      <c r="K17" s="496"/>
      <c r="L17" s="495"/>
      <c r="M17" s="496"/>
      <c r="N17" s="496"/>
      <c r="O17" s="495"/>
      <c r="P17" s="496"/>
      <c r="Q17" s="496"/>
      <c r="R17" s="495"/>
    </row>
    <row r="18" spans="1:19" s="700" customFormat="1" x14ac:dyDescent="0.25">
      <c r="A18" s="702"/>
      <c r="B18" s="539" t="s">
        <v>287</v>
      </c>
      <c r="C18" s="496"/>
      <c r="D18" s="496"/>
      <c r="E18" s="495"/>
      <c r="F18" s="495"/>
      <c r="G18" s="496"/>
      <c r="H18" s="496"/>
      <c r="I18" s="495"/>
      <c r="J18" s="496"/>
      <c r="K18" s="496"/>
      <c r="L18" s="495"/>
      <c r="M18" s="496"/>
      <c r="N18" s="496"/>
      <c r="O18" s="495"/>
      <c r="P18" s="496"/>
      <c r="Q18" s="496"/>
      <c r="R18" s="495"/>
    </row>
    <row r="19" spans="1:19" s="700" customFormat="1" x14ac:dyDescent="0.25">
      <c r="A19" s="702"/>
      <c r="B19" s="539" t="s">
        <v>292</v>
      </c>
      <c r="C19" s="496"/>
      <c r="D19" s="496"/>
      <c r="E19" s="495">
        <f>100000+300000+2062000+27455000+1500000</f>
        <v>31417000</v>
      </c>
      <c r="F19" s="495"/>
      <c r="G19" s="496"/>
      <c r="H19" s="496"/>
      <c r="I19" s="495">
        <f>100000+300000+2062000+27455000+1500000+153254+362200+97794+276000+454000</f>
        <v>32760248</v>
      </c>
      <c r="J19" s="496"/>
      <c r="K19" s="496"/>
      <c r="L19" s="495">
        <f>100000+300000+2062000+27455000+1500000+153254+362200+97794+276000+454000+871500</f>
        <v>33631748</v>
      </c>
      <c r="M19" s="496"/>
      <c r="N19" s="496"/>
      <c r="O19" s="495">
        <v>33471458</v>
      </c>
      <c r="P19" s="496"/>
      <c r="Q19" s="496"/>
      <c r="R19" s="495">
        <v>32283929</v>
      </c>
    </row>
    <row r="20" spans="1:19" s="700" customFormat="1" x14ac:dyDescent="0.25">
      <c r="A20" s="702"/>
      <c r="B20" s="539" t="s">
        <v>351</v>
      </c>
      <c r="C20" s="496"/>
      <c r="D20" s="496"/>
      <c r="E20" s="495"/>
      <c r="F20" s="495"/>
      <c r="G20" s="496"/>
      <c r="H20" s="496"/>
      <c r="I20" s="495"/>
      <c r="J20" s="496"/>
      <c r="K20" s="496"/>
      <c r="L20" s="495"/>
      <c r="M20" s="496"/>
      <c r="N20" s="496"/>
      <c r="O20" s="495">
        <v>703850</v>
      </c>
      <c r="P20" s="496"/>
      <c r="Q20" s="496"/>
      <c r="R20" s="495">
        <v>703850</v>
      </c>
      <c r="S20" s="700" t="s">
        <v>1820</v>
      </c>
    </row>
    <row r="21" spans="1:19" s="700" customFormat="1" x14ac:dyDescent="0.25">
      <c r="A21" s="536" t="s">
        <v>336</v>
      </c>
      <c r="B21" s="537" t="s">
        <v>655</v>
      </c>
      <c r="C21" s="538">
        <v>7</v>
      </c>
      <c r="D21" s="538"/>
      <c r="E21" s="535">
        <f>SUM(E22:E25)</f>
        <v>57394100</v>
      </c>
      <c r="F21" s="535"/>
      <c r="G21" s="538">
        <v>7</v>
      </c>
      <c r="H21" s="538"/>
      <c r="I21" s="535">
        <f>SUM(I22:I25)</f>
        <v>57394100</v>
      </c>
      <c r="J21" s="538">
        <v>7</v>
      </c>
      <c r="K21" s="538"/>
      <c r="L21" s="535">
        <f>SUM(L22:L25)</f>
        <v>57394100</v>
      </c>
      <c r="M21" s="538">
        <v>7</v>
      </c>
      <c r="N21" s="538"/>
      <c r="O21" s="535">
        <f>SUM(O22:O25)</f>
        <v>64219874</v>
      </c>
      <c r="P21" s="538">
        <v>7</v>
      </c>
      <c r="Q21" s="538"/>
      <c r="R21" s="535">
        <f>SUM(R22:R25)</f>
        <v>63257253</v>
      </c>
      <c r="S21" s="700">
        <v>5104</v>
      </c>
    </row>
    <row r="22" spans="1:19" s="700" customFormat="1" x14ac:dyDescent="0.25">
      <c r="A22" s="702"/>
      <c r="B22" s="539" t="s">
        <v>286</v>
      </c>
      <c r="C22" s="496"/>
      <c r="D22" s="496"/>
      <c r="E22" s="495">
        <f>39025000+2100000+700000+700000+84000+3500000+20000</f>
        <v>46129000</v>
      </c>
      <c r="F22" s="495"/>
      <c r="G22" s="496"/>
      <c r="H22" s="496"/>
      <c r="I22" s="495">
        <f>39025000+2100000+700000+700000+84000+3500000+20000</f>
        <v>46129000</v>
      </c>
      <c r="J22" s="496"/>
      <c r="K22" s="496"/>
      <c r="L22" s="495">
        <f>39025000+2100000+700000+700000+84000+3500000+20000+51250</f>
        <v>46180250</v>
      </c>
      <c r="M22" s="496"/>
      <c r="N22" s="496"/>
      <c r="O22" s="495">
        <v>52630414</v>
      </c>
      <c r="P22" s="496"/>
      <c r="Q22" s="496"/>
      <c r="R22" s="495">
        <v>52630414</v>
      </c>
      <c r="S22" s="909">
        <f>+O22-L22</f>
        <v>6450164</v>
      </c>
    </row>
    <row r="23" spans="1:19" s="700" customFormat="1" x14ac:dyDescent="0.25">
      <c r="A23" s="702"/>
      <c r="B23" s="539" t="s">
        <v>287</v>
      </c>
      <c r="C23" s="496"/>
      <c r="D23" s="496"/>
      <c r="E23" s="495">
        <v>8303000</v>
      </c>
      <c r="F23" s="495"/>
      <c r="G23" s="496"/>
      <c r="H23" s="496"/>
      <c r="I23" s="495">
        <v>8303000</v>
      </c>
      <c r="J23" s="496"/>
      <c r="K23" s="496"/>
      <c r="L23" s="495">
        <v>8303000</v>
      </c>
      <c r="M23" s="496"/>
      <c r="N23" s="496"/>
      <c r="O23" s="495">
        <v>8678610</v>
      </c>
      <c r="P23" s="496"/>
      <c r="Q23" s="496"/>
      <c r="R23" s="495">
        <v>8678610</v>
      </c>
    </row>
    <row r="24" spans="1:19" s="700" customFormat="1" x14ac:dyDescent="0.25">
      <c r="A24" s="702"/>
      <c r="B24" s="539" t="s">
        <v>292</v>
      </c>
      <c r="C24" s="496"/>
      <c r="D24" s="496"/>
      <c r="E24" s="495">
        <f>50000+620000+450000+190000+70000+50000+200000+600000+602100+130000</f>
        <v>2962100</v>
      </c>
      <c r="F24" s="495"/>
      <c r="G24" s="496"/>
      <c r="H24" s="496"/>
      <c r="I24" s="495">
        <f>50000+620000+450000+190000+70000+50000+200000+600000+602100+130000</f>
        <v>2962100</v>
      </c>
      <c r="J24" s="496"/>
      <c r="K24" s="496"/>
      <c r="L24" s="495">
        <f>50000+620000+450000+190000+70000+50000+200000+600000+602100+130000-51250</f>
        <v>2910850</v>
      </c>
      <c r="M24" s="496"/>
      <c r="N24" s="496"/>
      <c r="O24" s="495">
        <f>50000+620000+450000+190000+70000+50000+200000+600000+602100+130000-51250</f>
        <v>2910850</v>
      </c>
      <c r="P24" s="496"/>
      <c r="Q24" s="496"/>
      <c r="R24" s="495">
        <v>1948229</v>
      </c>
    </row>
    <row r="25" spans="1:19" s="700" customFormat="1" x14ac:dyDescent="0.25">
      <c r="A25" s="702"/>
      <c r="B25" s="539" t="s">
        <v>351</v>
      </c>
      <c r="C25" s="496"/>
      <c r="D25" s="496"/>
      <c r="E25" s="495"/>
      <c r="F25" s="495"/>
      <c r="G25" s="496"/>
      <c r="H25" s="496"/>
      <c r="I25" s="495"/>
      <c r="J25" s="496"/>
      <c r="K25" s="496"/>
      <c r="L25" s="495"/>
      <c r="M25" s="496"/>
      <c r="N25" s="496"/>
      <c r="O25" s="495"/>
      <c r="P25" s="496"/>
      <c r="Q25" s="496"/>
      <c r="R25" s="495"/>
    </row>
    <row r="26" spans="1:19" s="700" customFormat="1" x14ac:dyDescent="0.25">
      <c r="A26" s="536" t="s">
        <v>338</v>
      </c>
      <c r="B26" s="537" t="s">
        <v>1263</v>
      </c>
      <c r="C26" s="538"/>
      <c r="D26" s="538"/>
      <c r="E26" s="535">
        <f>SUM(E27)</f>
        <v>1000000</v>
      </c>
      <c r="F26" s="535"/>
      <c r="G26" s="538"/>
      <c r="H26" s="538"/>
      <c r="I26" s="535">
        <f>SUM(I27)</f>
        <v>1000000</v>
      </c>
      <c r="J26" s="538"/>
      <c r="K26" s="538"/>
      <c r="L26" s="535">
        <f>SUM(L27)</f>
        <v>1000000</v>
      </c>
      <c r="M26" s="538"/>
      <c r="N26" s="538"/>
      <c r="O26" s="535">
        <f>SUM(O27)</f>
        <v>1000000</v>
      </c>
      <c r="P26" s="538"/>
      <c r="Q26" s="538"/>
      <c r="R26" s="535">
        <f>SUM(R27)</f>
        <v>0</v>
      </c>
      <c r="S26" s="700">
        <v>5105</v>
      </c>
    </row>
    <row r="27" spans="1:19" s="700" customFormat="1" x14ac:dyDescent="0.25">
      <c r="A27" s="702"/>
      <c r="B27" s="703" t="s">
        <v>292</v>
      </c>
      <c r="C27" s="705"/>
      <c r="D27" s="705"/>
      <c r="E27" s="704">
        <v>1000000</v>
      </c>
      <c r="F27" s="704"/>
      <c r="G27" s="705"/>
      <c r="H27" s="705"/>
      <c r="I27" s="704">
        <v>1000000</v>
      </c>
      <c r="J27" s="705"/>
      <c r="K27" s="705"/>
      <c r="L27" s="704">
        <v>1000000</v>
      </c>
      <c r="M27" s="705"/>
      <c r="N27" s="705"/>
      <c r="O27" s="704">
        <v>1000000</v>
      </c>
      <c r="P27" s="705"/>
      <c r="Q27" s="705"/>
      <c r="R27" s="704">
        <v>0</v>
      </c>
    </row>
    <row r="28" spans="1:19" s="871" customFormat="1" x14ac:dyDescent="0.25">
      <c r="A28" s="536" t="s">
        <v>557</v>
      </c>
      <c r="B28" s="883" t="s">
        <v>1294</v>
      </c>
      <c r="C28" s="884"/>
      <c r="D28" s="884"/>
      <c r="E28" s="885">
        <f>SUM(E29)</f>
        <v>500000</v>
      </c>
      <c r="F28" s="885"/>
      <c r="G28" s="884"/>
      <c r="H28" s="884"/>
      <c r="I28" s="885">
        <f>SUM(I29)</f>
        <v>500000</v>
      </c>
      <c r="J28" s="884"/>
      <c r="K28" s="884"/>
      <c r="L28" s="885">
        <f>SUM(L29)</f>
        <v>500000</v>
      </c>
      <c r="M28" s="884"/>
      <c r="N28" s="884"/>
      <c r="O28" s="885">
        <f>SUM(O29)</f>
        <v>500000</v>
      </c>
      <c r="P28" s="884"/>
      <c r="Q28" s="884"/>
      <c r="R28" s="885">
        <f>SUM(R29)</f>
        <v>0</v>
      </c>
      <c r="S28" s="871">
        <v>5106</v>
      </c>
    </row>
    <row r="29" spans="1:19" s="700" customFormat="1" x14ac:dyDescent="0.25">
      <c r="A29" s="702"/>
      <c r="B29" s="703" t="s">
        <v>292</v>
      </c>
      <c r="C29" s="705"/>
      <c r="D29" s="705"/>
      <c r="E29" s="704">
        <v>500000</v>
      </c>
      <c r="F29" s="704"/>
      <c r="G29" s="705"/>
      <c r="H29" s="705"/>
      <c r="I29" s="704">
        <v>500000</v>
      </c>
      <c r="J29" s="705"/>
      <c r="K29" s="705"/>
      <c r="L29" s="704">
        <v>500000</v>
      </c>
      <c r="M29" s="705"/>
      <c r="N29" s="705"/>
      <c r="O29" s="704">
        <v>500000</v>
      </c>
      <c r="P29" s="705"/>
      <c r="Q29" s="705"/>
      <c r="R29" s="704">
        <v>0</v>
      </c>
    </row>
    <row r="30" spans="1:19" s="871" customFormat="1" x14ac:dyDescent="0.25">
      <c r="A30" s="536" t="s">
        <v>559</v>
      </c>
      <c r="B30" s="537" t="s">
        <v>697</v>
      </c>
      <c r="C30" s="538"/>
      <c r="D30" s="538"/>
      <c r="E30" s="535">
        <f>SUM(E31:E33)</f>
        <v>4483000</v>
      </c>
      <c r="F30" s="535"/>
      <c r="G30" s="538"/>
      <c r="H30" s="538"/>
      <c r="I30" s="535">
        <f>SUM(I31:I33)</f>
        <v>7095590</v>
      </c>
      <c r="J30" s="538"/>
      <c r="K30" s="538"/>
      <c r="L30" s="535">
        <f>SUM(L31:L33)</f>
        <v>7095590</v>
      </c>
      <c r="M30" s="538"/>
      <c r="N30" s="538"/>
      <c r="O30" s="535">
        <f>SUM(O31:O33)</f>
        <v>7445856</v>
      </c>
      <c r="P30" s="538"/>
      <c r="Q30" s="538"/>
      <c r="R30" s="535">
        <f>SUM(R31:R33)</f>
        <v>6472353</v>
      </c>
      <c r="S30" s="871">
        <v>5108</v>
      </c>
    </row>
    <row r="31" spans="1:19" s="700" customFormat="1" x14ac:dyDescent="0.25">
      <c r="A31" s="702"/>
      <c r="B31" s="539" t="s">
        <v>292</v>
      </c>
      <c r="C31" s="496"/>
      <c r="D31" s="496"/>
      <c r="E31" s="495">
        <f>2900000+783000+800000</f>
        <v>4483000</v>
      </c>
      <c r="F31" s="495"/>
      <c r="G31" s="496"/>
      <c r="H31" s="496"/>
      <c r="I31" s="495">
        <f>2900000+783000+800000+39812+17886+15578</f>
        <v>4556276</v>
      </c>
      <c r="J31" s="496"/>
      <c r="K31" s="496"/>
      <c r="L31" s="495">
        <f>2900000+783000+800000+39812+17886+15578</f>
        <v>4556276</v>
      </c>
      <c r="M31" s="496"/>
      <c r="N31" s="496"/>
      <c r="O31" s="495">
        <v>4906542</v>
      </c>
      <c r="P31" s="496"/>
      <c r="Q31" s="496"/>
      <c r="R31" s="495">
        <v>3933039</v>
      </c>
    </row>
    <row r="32" spans="1:19" s="700" customFormat="1" x14ac:dyDescent="0.25">
      <c r="A32" s="702"/>
      <c r="B32" s="703" t="s">
        <v>351</v>
      </c>
      <c r="C32" s="496"/>
      <c r="D32" s="496"/>
      <c r="E32" s="495"/>
      <c r="F32" s="495"/>
      <c r="G32" s="496"/>
      <c r="H32" s="496"/>
      <c r="I32" s="495">
        <f>1999458+539856</f>
        <v>2539314</v>
      </c>
      <c r="J32" s="496"/>
      <c r="K32" s="496"/>
      <c r="L32" s="495">
        <f>1999458+539856</f>
        <v>2539314</v>
      </c>
      <c r="M32" s="496"/>
      <c r="N32" s="496"/>
      <c r="O32" s="495">
        <f>1999458+539856</f>
        <v>2539314</v>
      </c>
      <c r="P32" s="496"/>
      <c r="Q32" s="496"/>
      <c r="R32" s="495">
        <f>1999460+539854</f>
        <v>2539314</v>
      </c>
      <c r="S32" s="700" t="s">
        <v>1821</v>
      </c>
    </row>
    <row r="33" spans="1:20" s="700" customFormat="1" x14ac:dyDescent="0.25">
      <c r="A33" s="702"/>
      <c r="B33" s="703" t="s">
        <v>1697</v>
      </c>
      <c r="C33" s="496"/>
      <c r="D33" s="496"/>
      <c r="E33" s="495"/>
      <c r="F33" s="495"/>
      <c r="G33" s="496"/>
      <c r="H33" s="496"/>
      <c r="I33" s="495"/>
      <c r="J33" s="496"/>
      <c r="K33" s="496"/>
      <c r="L33" s="495"/>
      <c r="M33" s="496"/>
      <c r="N33" s="496"/>
      <c r="O33" s="495"/>
      <c r="P33" s="496"/>
      <c r="Q33" s="496"/>
      <c r="R33" s="495"/>
    </row>
    <row r="34" spans="1:20" s="871" customFormat="1" x14ac:dyDescent="0.25">
      <c r="A34" s="536" t="s">
        <v>561</v>
      </c>
      <c r="B34" s="537" t="s">
        <v>698</v>
      </c>
      <c r="C34" s="538"/>
      <c r="D34" s="538"/>
      <c r="E34" s="535">
        <f>SUM(E35:E36)</f>
        <v>9040000</v>
      </c>
      <c r="F34" s="535"/>
      <c r="G34" s="538"/>
      <c r="H34" s="538"/>
      <c r="I34" s="535">
        <f>SUM(I35:I36)</f>
        <v>9040000</v>
      </c>
      <c r="J34" s="538"/>
      <c r="K34" s="538"/>
      <c r="L34" s="535">
        <f>SUM(L35:L36)</f>
        <v>9040000</v>
      </c>
      <c r="M34" s="538"/>
      <c r="N34" s="538"/>
      <c r="O34" s="535">
        <f>SUM(O35:O36)</f>
        <v>9040000</v>
      </c>
      <c r="P34" s="538"/>
      <c r="Q34" s="538"/>
      <c r="R34" s="535">
        <f>SUM(R35:R36)</f>
        <v>2540000</v>
      </c>
      <c r="S34" s="871">
        <v>5109</v>
      </c>
    </row>
    <row r="35" spans="1:20" s="700" customFormat="1" x14ac:dyDescent="0.25">
      <c r="A35" s="702"/>
      <c r="B35" s="539" t="s">
        <v>292</v>
      </c>
      <c r="C35" s="496"/>
      <c r="D35" s="496"/>
      <c r="E35" s="495">
        <v>9040000</v>
      </c>
      <c r="F35" s="495"/>
      <c r="G35" s="496"/>
      <c r="H35" s="496"/>
      <c r="I35" s="495">
        <v>9040000</v>
      </c>
      <c r="J35" s="496"/>
      <c r="K35" s="496"/>
      <c r="L35" s="495">
        <v>9040000</v>
      </c>
      <c r="M35" s="496"/>
      <c r="N35" s="496"/>
      <c r="O35" s="495">
        <v>9040000</v>
      </c>
      <c r="P35" s="496"/>
      <c r="Q35" s="496"/>
      <c r="R35" s="495">
        <v>2540000</v>
      </c>
    </row>
    <row r="36" spans="1:20" s="700" customFormat="1" x14ac:dyDescent="0.25">
      <c r="A36" s="702"/>
      <c r="B36" s="539" t="s">
        <v>351</v>
      </c>
      <c r="C36" s="496"/>
      <c r="D36" s="496"/>
      <c r="E36" s="495">
        <v>0</v>
      </c>
      <c r="F36" s="495"/>
      <c r="G36" s="496"/>
      <c r="H36" s="496"/>
      <c r="I36" s="495">
        <v>0</v>
      </c>
      <c r="J36" s="496"/>
      <c r="K36" s="496"/>
      <c r="L36" s="495">
        <v>0</v>
      </c>
      <c r="M36" s="496"/>
      <c r="N36" s="496"/>
      <c r="O36" s="495">
        <v>0</v>
      </c>
      <c r="P36" s="496"/>
      <c r="Q36" s="496"/>
      <c r="R36" s="495">
        <v>0</v>
      </c>
    </row>
    <row r="37" spans="1:20" s="871" customFormat="1" x14ac:dyDescent="0.25">
      <c r="A37" s="536" t="s">
        <v>562</v>
      </c>
      <c r="B37" s="537" t="s">
        <v>699</v>
      </c>
      <c r="C37" s="538"/>
      <c r="D37" s="538"/>
      <c r="E37" s="535">
        <f>SUM(E38:E42)</f>
        <v>9000500</v>
      </c>
      <c r="F37" s="535"/>
      <c r="G37" s="538"/>
      <c r="H37" s="538"/>
      <c r="I37" s="535">
        <f>SUM(I38:I42)</f>
        <v>13001255</v>
      </c>
      <c r="J37" s="538"/>
      <c r="K37" s="538"/>
      <c r="L37" s="535">
        <f>SUM(L38:L42)</f>
        <v>13001255</v>
      </c>
      <c r="M37" s="538"/>
      <c r="N37" s="538"/>
      <c r="O37" s="535">
        <f>SUM(O38:O42)</f>
        <v>13001255</v>
      </c>
      <c r="P37" s="538"/>
      <c r="Q37" s="538"/>
      <c r="R37" s="535">
        <f>SUM(R38:R42)</f>
        <v>4000755</v>
      </c>
      <c r="S37" s="871">
        <v>5110</v>
      </c>
    </row>
    <row r="38" spans="1:20" s="700" customFormat="1" x14ac:dyDescent="0.25">
      <c r="A38" s="536"/>
      <c r="B38" s="539" t="s">
        <v>286</v>
      </c>
      <c r="C38" s="538"/>
      <c r="D38" s="538"/>
      <c r="E38" s="535"/>
      <c r="F38" s="535"/>
      <c r="G38" s="538"/>
      <c r="H38" s="538"/>
      <c r="I38" s="535"/>
      <c r="J38" s="538"/>
      <c r="K38" s="538"/>
      <c r="L38" s="535"/>
      <c r="M38" s="538"/>
      <c r="N38" s="538"/>
      <c r="O38" s="535"/>
      <c r="P38" s="538"/>
      <c r="Q38" s="538"/>
      <c r="R38" s="535"/>
    </row>
    <row r="39" spans="1:20" s="700" customFormat="1" x14ac:dyDescent="0.25">
      <c r="A39" s="536"/>
      <c r="B39" s="539" t="s">
        <v>287</v>
      </c>
      <c r="C39" s="538"/>
      <c r="D39" s="538"/>
      <c r="E39" s="535"/>
      <c r="F39" s="535"/>
      <c r="G39" s="538"/>
      <c r="H39" s="538"/>
      <c r="I39" s="535"/>
      <c r="J39" s="538"/>
      <c r="K39" s="538"/>
      <c r="L39" s="535"/>
      <c r="M39" s="538"/>
      <c r="N39" s="538"/>
      <c r="O39" s="535"/>
      <c r="P39" s="538"/>
      <c r="Q39" s="538"/>
      <c r="R39" s="535"/>
    </row>
    <row r="40" spans="1:20" s="700" customFormat="1" x14ac:dyDescent="0.25">
      <c r="A40" s="702"/>
      <c r="B40" s="539" t="s">
        <v>292</v>
      </c>
      <c r="C40" s="496"/>
      <c r="D40" s="496"/>
      <c r="E40" s="495">
        <f>3150000+850500+3000000</f>
        <v>7000500</v>
      </c>
      <c r="F40" s="495"/>
      <c r="G40" s="496"/>
      <c r="H40" s="496"/>
      <c r="I40" s="495">
        <f>3150000+850500+3000000+1574750+425183</f>
        <v>9000433</v>
      </c>
      <c r="J40" s="496"/>
      <c r="K40" s="496"/>
      <c r="L40" s="495">
        <f>3150000+850500+3000000+1574750+425183</f>
        <v>9000433</v>
      </c>
      <c r="M40" s="496"/>
      <c r="N40" s="496"/>
      <c r="O40" s="495">
        <f>3150000+850500+3000000+1574750+425183</f>
        <v>9000433</v>
      </c>
      <c r="P40" s="496"/>
      <c r="Q40" s="496"/>
      <c r="R40" s="495">
        <v>1999933</v>
      </c>
    </row>
    <row r="41" spans="1:20" s="700" customFormat="1" x14ac:dyDescent="0.25">
      <c r="A41" s="702"/>
      <c r="B41" s="365" t="s">
        <v>1273</v>
      </c>
      <c r="C41" s="496"/>
      <c r="D41" s="496"/>
      <c r="E41" s="495"/>
      <c r="F41" s="495"/>
      <c r="G41" s="496"/>
      <c r="H41" s="496"/>
      <c r="I41" s="495"/>
      <c r="J41" s="496"/>
      <c r="K41" s="496"/>
      <c r="L41" s="495"/>
      <c r="M41" s="496"/>
      <c r="N41" s="496"/>
      <c r="O41" s="495"/>
      <c r="P41" s="496"/>
      <c r="Q41" s="496"/>
      <c r="R41" s="495"/>
    </row>
    <row r="42" spans="1:20" s="700" customFormat="1" x14ac:dyDescent="0.25">
      <c r="A42" s="702"/>
      <c r="B42" s="539" t="s">
        <v>351</v>
      </c>
      <c r="C42" s="496"/>
      <c r="D42" s="496"/>
      <c r="E42" s="495">
        <f>+'7. Fejlesztések'!D21+'7. Fejlesztések'!E21</f>
        <v>2000000</v>
      </c>
      <c r="F42" s="495"/>
      <c r="G42" s="496"/>
      <c r="H42" s="496"/>
      <c r="I42" s="495">
        <f>+'7. Fejlesztések'!G21+'7. Fejlesztések'!H21+1575450+425372</f>
        <v>4000822</v>
      </c>
      <c r="J42" s="496"/>
      <c r="K42" s="496"/>
      <c r="L42" s="495">
        <f>+'7. Fejlesztések'!L21+1575450+425372</f>
        <v>4000822</v>
      </c>
      <c r="M42" s="496"/>
      <c r="N42" s="496"/>
      <c r="O42" s="495">
        <f>+'7. Fejlesztések'!O21+1575450+425372</f>
        <v>4000822</v>
      </c>
      <c r="P42" s="496"/>
      <c r="Q42" s="496"/>
      <c r="R42" s="495">
        <f>+'7. Fejlesztések'!R21+1575450+425372</f>
        <v>2000822</v>
      </c>
      <c r="S42" s="700" t="s">
        <v>1821</v>
      </c>
    </row>
    <row r="43" spans="1:20" s="871" customFormat="1" x14ac:dyDescent="0.25">
      <c r="A43" s="536" t="s">
        <v>564</v>
      </c>
      <c r="B43" s="537" t="s">
        <v>700</v>
      </c>
      <c r="C43" s="538">
        <v>4</v>
      </c>
      <c r="D43" s="538"/>
      <c r="E43" s="535">
        <f>SUM(E44:E52)</f>
        <v>928637006</v>
      </c>
      <c r="F43" s="535"/>
      <c r="G43" s="538">
        <v>4</v>
      </c>
      <c r="H43" s="538"/>
      <c r="I43" s="535">
        <f>SUM(I44:I52)</f>
        <v>931589813</v>
      </c>
      <c r="J43" s="538">
        <v>4</v>
      </c>
      <c r="K43" s="538"/>
      <c r="L43" s="535">
        <f>SUM(L44:L52)</f>
        <v>939918582</v>
      </c>
      <c r="M43" s="538">
        <v>4</v>
      </c>
      <c r="N43" s="538"/>
      <c r="O43" s="535">
        <f>SUM(O44:O52)</f>
        <v>850382923</v>
      </c>
      <c r="P43" s="538">
        <v>4</v>
      </c>
      <c r="Q43" s="538"/>
      <c r="R43" s="535">
        <f>SUM(R44:R52)</f>
        <v>621827377</v>
      </c>
      <c r="S43" s="871">
        <v>5111</v>
      </c>
    </row>
    <row r="44" spans="1:20" s="700" customFormat="1" x14ac:dyDescent="0.25">
      <c r="A44" s="702"/>
      <c r="B44" s="539" t="s">
        <v>286</v>
      </c>
      <c r="C44" s="496"/>
      <c r="D44" s="496"/>
      <c r="E44" s="495">
        <f>77775000+7180000+1196000</f>
        <v>86151000</v>
      </c>
      <c r="F44" s="495"/>
      <c r="G44" s="496"/>
      <c r="H44" s="496"/>
      <c r="I44" s="495">
        <f>77775000+7180000+1196000</f>
        <v>86151000</v>
      </c>
      <c r="J44" s="496"/>
      <c r="K44" s="496"/>
      <c r="L44" s="495">
        <f>77775000+7180000+1196000</f>
        <v>86151000</v>
      </c>
      <c r="M44" s="496"/>
      <c r="N44" s="496"/>
      <c r="O44" s="495">
        <f>77775000+7180000+1196000</f>
        <v>86151000</v>
      </c>
      <c r="P44" s="496"/>
      <c r="Q44" s="496"/>
      <c r="R44" s="495">
        <v>58836163</v>
      </c>
    </row>
    <row r="45" spans="1:20" s="700" customFormat="1" x14ac:dyDescent="0.25">
      <c r="A45" s="702"/>
      <c r="B45" s="539" t="s">
        <v>287</v>
      </c>
      <c r="C45" s="496"/>
      <c r="D45" s="496"/>
      <c r="E45" s="495">
        <v>15710000</v>
      </c>
      <c r="F45" s="495"/>
      <c r="G45" s="496"/>
      <c r="H45" s="496"/>
      <c r="I45" s="495">
        <v>15710000</v>
      </c>
      <c r="J45" s="496"/>
      <c r="K45" s="496"/>
      <c r="L45" s="495">
        <v>15710000</v>
      </c>
      <c r="M45" s="496"/>
      <c r="N45" s="496"/>
      <c r="O45" s="495">
        <v>15334390</v>
      </c>
      <c r="P45" s="496"/>
      <c r="Q45" s="496"/>
      <c r="R45" s="495">
        <v>8871644</v>
      </c>
    </row>
    <row r="46" spans="1:20" s="700" customFormat="1" x14ac:dyDescent="0.25">
      <c r="A46" s="702"/>
      <c r="B46" s="539" t="s">
        <v>292</v>
      </c>
      <c r="C46" s="496"/>
      <c r="D46" s="496"/>
      <c r="E46" s="495">
        <f>1800000+28736000+1000000+7300000+3500000+300000+2630000+1000000+30932000+25500000+1415000+27670000+23032000+35650000</f>
        <v>190465000</v>
      </c>
      <c r="F46" s="495"/>
      <c r="G46" s="496"/>
      <c r="H46" s="496"/>
      <c r="I46" s="495">
        <f>1800000+28736000+1000000+7300000+3500000+300000+2630000+1000000+30932000+25500000+1415000+27670000+23032000+35650000+6900+50000+5285000+6712103+2796547+2054040+90269-19000000+202500+100000+184150+1771650-330111</f>
        <v>190388048</v>
      </c>
      <c r="J46" s="496"/>
      <c r="K46" s="496"/>
      <c r="L46" s="495">
        <f>1800000+28736000+1000000+7300000+3500000+300000+2630000+1000000+30932000+25500000+1415000+27670000+23032000+35650000+6900+50000+5285000+6712103+2796547+2054040+90269-19000000+202500+100000+184150+1771650-330111+170688+508000+886000+239200</f>
        <v>192191936</v>
      </c>
      <c r="M46" s="496"/>
      <c r="N46" s="496"/>
      <c r="O46" s="495">
        <v>183861230</v>
      </c>
      <c r="P46" s="496"/>
      <c r="Q46" s="496"/>
      <c r="R46" s="495">
        <f>109719819+7179</f>
        <v>109726998</v>
      </c>
    </row>
    <row r="47" spans="1:20" s="700" customFormat="1" x14ac:dyDescent="0.25">
      <c r="A47" s="702"/>
      <c r="B47" s="539" t="s">
        <v>339</v>
      </c>
      <c r="C47" s="496"/>
      <c r="D47" s="496"/>
      <c r="E47" s="495">
        <f>15000000+458287000-458287000+429312663</f>
        <v>444312663</v>
      </c>
      <c r="F47" s="495"/>
      <c r="G47" s="496"/>
      <c r="H47" s="496"/>
      <c r="I47" s="495">
        <f>15000000+458287000-458287000+429312663+1500000+330111</f>
        <v>446142774</v>
      </c>
      <c r="J47" s="496"/>
      <c r="K47" s="496"/>
      <c r="L47" s="495">
        <f>15000000+458287000-458287000+429312663+1500000+330111+1481000</f>
        <v>447623774</v>
      </c>
      <c r="M47" s="496"/>
      <c r="N47" s="496"/>
      <c r="O47" s="495">
        <f>15000000+429312663+330111+1481000</f>
        <v>446123774</v>
      </c>
      <c r="P47" s="496"/>
      <c r="Q47" s="496"/>
      <c r="R47" s="495">
        <f>435960003+330111</f>
        <v>436290114</v>
      </c>
      <c r="S47" s="909"/>
      <c r="T47" s="909"/>
    </row>
    <row r="48" spans="1:20" s="700" customFormat="1" x14ac:dyDescent="0.25">
      <c r="A48" s="702"/>
      <c r="B48" s="539" t="s">
        <v>905</v>
      </c>
      <c r="C48" s="496"/>
      <c r="D48" s="496"/>
      <c r="E48" s="495"/>
      <c r="F48" s="495"/>
      <c r="G48" s="496"/>
      <c r="H48" s="496"/>
      <c r="I48" s="495"/>
      <c r="J48" s="496"/>
      <c r="K48" s="496"/>
      <c r="L48" s="495"/>
      <c r="M48" s="496"/>
      <c r="N48" s="496"/>
      <c r="O48" s="495">
        <f>1481000+266140-1481000</f>
        <v>266140</v>
      </c>
      <c r="P48" s="496"/>
      <c r="Q48" s="496"/>
      <c r="R48" s="495"/>
      <c r="S48" s="909"/>
      <c r="T48" s="909"/>
    </row>
    <row r="49" spans="1:23" s="700" customFormat="1" x14ac:dyDescent="0.25">
      <c r="A49" s="702"/>
      <c r="B49" s="539" t="s">
        <v>915</v>
      </c>
      <c r="C49" s="496"/>
      <c r="D49" s="496"/>
      <c r="E49" s="495"/>
      <c r="F49" s="495"/>
      <c r="G49" s="496"/>
      <c r="H49" s="496"/>
      <c r="I49" s="495"/>
      <c r="J49" s="496"/>
      <c r="K49" s="496"/>
      <c r="L49" s="495"/>
      <c r="M49" s="496"/>
      <c r="N49" s="496"/>
      <c r="O49" s="495">
        <v>4900200</v>
      </c>
      <c r="P49" s="496"/>
      <c r="Q49" s="496"/>
      <c r="R49" s="495"/>
      <c r="S49" s="909"/>
      <c r="T49" s="909"/>
    </row>
    <row r="50" spans="1:23" s="700" customFormat="1" x14ac:dyDescent="0.25">
      <c r="A50" s="702"/>
      <c r="B50" s="539" t="s">
        <v>1636</v>
      </c>
      <c r="C50" s="496"/>
      <c r="D50" s="496"/>
      <c r="E50" s="495">
        <f>+'2D Céltartalék'!B34</f>
        <v>191998343</v>
      </c>
      <c r="F50" s="495"/>
      <c r="G50" s="496"/>
      <c r="H50" s="496"/>
      <c r="I50" s="495">
        <f>+'2D Céltartalék'!C34</f>
        <v>163914709</v>
      </c>
      <c r="J50" s="496"/>
      <c r="K50" s="496"/>
      <c r="L50" s="495">
        <f>+'2D Céltartalék'!D34</f>
        <v>168958590</v>
      </c>
      <c r="M50" s="496"/>
      <c r="N50" s="496"/>
      <c r="O50" s="495">
        <f>+'2D Céltartalék'!E34</f>
        <v>95344701</v>
      </c>
      <c r="P50" s="496"/>
      <c r="Q50" s="496"/>
      <c r="R50" s="495">
        <v>0</v>
      </c>
      <c r="S50" s="909">
        <f>+O50-L50</f>
        <v>-73613889</v>
      </c>
    </row>
    <row r="51" spans="1:23" s="700" customFormat="1" ht="15.75" customHeight="1" x14ac:dyDescent="0.25">
      <c r="A51" s="702"/>
      <c r="B51" s="539" t="s">
        <v>351</v>
      </c>
      <c r="C51" s="496"/>
      <c r="D51" s="496"/>
      <c r="E51" s="495"/>
      <c r="F51" s="495"/>
      <c r="G51" s="496"/>
      <c r="H51" s="496"/>
      <c r="I51" s="495">
        <f>160000+11311213+3097227</f>
        <v>14568440</v>
      </c>
      <c r="J51" s="496"/>
      <c r="K51" s="496"/>
      <c r="L51" s="495">
        <f>160000+11311213+3097227</f>
        <v>14568440</v>
      </c>
      <c r="M51" s="496"/>
      <c r="N51" s="496"/>
      <c r="O51" s="495">
        <f>+'7. Fejlesztések'!O45+'7. Fejlesztések'!O46-703850-2539314-34900-208736</f>
        <v>15956943</v>
      </c>
      <c r="P51" s="496"/>
      <c r="Q51" s="496"/>
      <c r="R51" s="495">
        <f>+'7. Fejlesztések'!R45+'7. Fejlesztések'!R46-703850-2539314-2000822-154636</f>
        <v>8102458</v>
      </c>
      <c r="S51" s="700" t="s">
        <v>1822</v>
      </c>
      <c r="W51" s="894">
        <f>+'7. Fejlesztések'!W45+'7. Fejlesztések'!W46-703850-2539314-3608219-4000822-402778</f>
        <v>-11254983</v>
      </c>
    </row>
    <row r="52" spans="1:23" s="700" customFormat="1" x14ac:dyDescent="0.25">
      <c r="A52" s="702"/>
      <c r="B52" s="539" t="s">
        <v>342</v>
      </c>
      <c r="C52" s="496"/>
      <c r="D52" s="496"/>
      <c r="E52" s="495"/>
      <c r="F52" s="495"/>
      <c r="G52" s="496"/>
      <c r="H52" s="496"/>
      <c r="I52" s="495">
        <f>2444545+9661651+2608646</f>
        <v>14714842</v>
      </c>
      <c r="J52" s="496"/>
      <c r="K52" s="496"/>
      <c r="L52" s="495">
        <f>2444545+9661651+2608646</f>
        <v>14714842</v>
      </c>
      <c r="M52" s="496"/>
      <c r="N52" s="496"/>
      <c r="O52" s="495">
        <f>14714842-12270297</f>
        <v>2444545</v>
      </c>
      <c r="P52" s="496"/>
      <c r="Q52" s="496"/>
      <c r="R52" s="495">
        <v>0</v>
      </c>
      <c r="S52" s="700" t="s">
        <v>1823</v>
      </c>
    </row>
    <row r="53" spans="1:23" s="700" customFormat="1" x14ac:dyDescent="0.25">
      <c r="A53" s="536" t="s">
        <v>566</v>
      </c>
      <c r="B53" s="537" t="s">
        <v>1665</v>
      </c>
      <c r="C53" s="496"/>
      <c r="D53" s="496"/>
      <c r="E53" s="535">
        <f>SUM(E54:E58)</f>
        <v>889706190</v>
      </c>
      <c r="F53" s="535"/>
      <c r="G53" s="496"/>
      <c r="H53" s="496"/>
      <c r="I53" s="535">
        <f>SUM(I54:I58)</f>
        <v>979310703</v>
      </c>
      <c r="J53" s="496"/>
      <c r="K53" s="496"/>
      <c r="L53" s="535">
        <f>SUM(L54:L58)</f>
        <v>992350703</v>
      </c>
      <c r="M53" s="496"/>
      <c r="N53" s="496"/>
      <c r="O53" s="535">
        <f>SUM(O54:O58)</f>
        <v>1180159584</v>
      </c>
      <c r="P53" s="496"/>
      <c r="Q53" s="496"/>
      <c r="R53" s="535">
        <f>SUM(R54:R58)</f>
        <v>247736510</v>
      </c>
      <c r="S53" s="700">
        <v>5112</v>
      </c>
    </row>
    <row r="54" spans="1:23" s="700" customFormat="1" x14ac:dyDescent="0.25">
      <c r="A54" s="702"/>
      <c r="B54" s="539" t="s">
        <v>286</v>
      </c>
      <c r="C54" s="496"/>
      <c r="D54" s="496"/>
      <c r="E54" s="495"/>
      <c r="F54" s="495"/>
      <c r="G54" s="496"/>
      <c r="H54" s="496"/>
      <c r="I54" s="495"/>
      <c r="J54" s="496"/>
      <c r="K54" s="496"/>
      <c r="L54" s="495"/>
      <c r="M54" s="496"/>
      <c r="N54" s="496"/>
      <c r="O54" s="495"/>
      <c r="P54" s="496"/>
      <c r="Q54" s="496"/>
      <c r="R54" s="495"/>
    </row>
    <row r="55" spans="1:23" s="700" customFormat="1" x14ac:dyDescent="0.25">
      <c r="A55" s="702"/>
      <c r="B55" s="539" t="s">
        <v>287</v>
      </c>
      <c r="C55" s="496"/>
      <c r="D55" s="496"/>
      <c r="E55" s="495"/>
      <c r="F55" s="495"/>
      <c r="G55" s="496"/>
      <c r="H55" s="496"/>
      <c r="I55" s="495"/>
      <c r="J55" s="496"/>
      <c r="K55" s="496"/>
      <c r="L55" s="495"/>
      <c r="M55" s="496"/>
      <c r="N55" s="496"/>
      <c r="O55" s="495"/>
      <c r="P55" s="496"/>
      <c r="Q55" s="496"/>
      <c r="R55" s="495"/>
    </row>
    <row r="56" spans="1:23" s="700" customFormat="1" x14ac:dyDescent="0.25">
      <c r="A56" s="702"/>
      <c r="B56" s="539" t="s">
        <v>292</v>
      </c>
      <c r="C56" s="496"/>
      <c r="D56" s="496"/>
      <c r="E56" s="495">
        <f>10000000</f>
        <v>10000000</v>
      </c>
      <c r="F56" s="495"/>
      <c r="G56" s="496"/>
      <c r="H56" s="496"/>
      <c r="I56" s="495">
        <f>10000000+3039955+2550000+950000+200000+1819789</f>
        <v>18559744</v>
      </c>
      <c r="J56" s="496"/>
      <c r="K56" s="496"/>
      <c r="L56" s="495">
        <f>10000000+3039955+2550000+950000+200000+1819789+13960000+3769200+12800000</f>
        <v>49088944</v>
      </c>
      <c r="M56" s="496"/>
      <c r="N56" s="496"/>
      <c r="O56" s="495">
        <f>10000000+31692500+124500+8743894+100000+4294381+292100+554885+955789+1500000</f>
        <v>58258049</v>
      </c>
      <c r="P56" s="496"/>
      <c r="Q56" s="496"/>
      <c r="R56" s="495">
        <f>20102480+124500+3529426+100000+178181+2336800+554885</f>
        <v>26926272</v>
      </c>
    </row>
    <row r="57" spans="1:23" s="700" customFormat="1" x14ac:dyDescent="0.25">
      <c r="A57" s="702"/>
      <c r="B57" s="539" t="s">
        <v>351</v>
      </c>
      <c r="C57" s="496"/>
      <c r="D57" s="496"/>
      <c r="E57" s="495">
        <f>+'7. Fejlesztések'!F5+'7. Fejlesztések'!F9+'7. Fejlesztések'!F12+'7. Fejlesztések'!F13+'7. Fejlesztések'!F22+'7. Fejlesztések'!F23+'7. Fejlesztések'!F24+'7. Fejlesztések'!F25+'7. Fejlesztések'!F26+'7. Fejlesztések'!F27</f>
        <v>727196350</v>
      </c>
      <c r="F57" s="495"/>
      <c r="G57" s="496"/>
      <c r="H57" s="496"/>
      <c r="I57" s="495">
        <f>+'7. Fejlesztések'!I5+'7. Fejlesztések'!I9+'7. Fejlesztések'!I12+'7. Fejlesztések'!I13+'7. Fejlesztések'!I22+'7. Fejlesztések'!I23+'7. Fejlesztések'!I24+'7. Fejlesztések'!I25+'7. Fejlesztések'!I26+'7. Fejlesztések'!I27+'7. Fejlesztések'!I41</f>
        <v>761219350</v>
      </c>
      <c r="J57" s="496"/>
      <c r="K57" s="496"/>
      <c r="L57" s="495">
        <f>+'7. Fejlesztések'!L5+'7. Fejlesztések'!L9+'7. Fejlesztések'!L12+'7. Fejlesztések'!L13+'7. Fejlesztések'!L22+'7. Fejlesztések'!L23+'7. Fejlesztések'!L24+'7. Fejlesztések'!L25+'7. Fejlesztések'!L26+'7. Fejlesztések'!L27+'7. Fejlesztések'!L41+'7. Fejlesztések'!L44</f>
        <v>744216150</v>
      </c>
      <c r="M57" s="496"/>
      <c r="N57" s="496"/>
      <c r="O57" s="495">
        <f>+'7. Fejlesztések'!O5+'7. Fejlesztések'!O9+'7. Fejlesztések'!O12+'7. Fejlesztések'!O13+'7. Fejlesztések'!O22+'7. Fejlesztések'!O23+'7. Fejlesztések'!O24+'7. Fejlesztések'!O25+'7. Fejlesztések'!O26+'7. Fejlesztések'!O27+'7. Fejlesztések'!O30+'7. Fejlesztések'!O31+'7. Fejlesztések'!O32+'7. Fejlesztések'!O33+'7. Fejlesztések'!O34+'7. Fejlesztések'!O40+'7. Fejlesztések'!O41+'7. Fejlesztések'!O44+'7. Fejlesztések'!O47</f>
        <v>872510953</v>
      </c>
      <c r="P57" s="496"/>
      <c r="Q57" s="496"/>
      <c r="R57" s="495">
        <f>+'7. Fejlesztések'!R5+'7. Fejlesztések'!R9+'7. Fejlesztések'!R12+'7. Fejlesztések'!R13+'7. Fejlesztések'!R22+'7. Fejlesztések'!R23+'7. Fejlesztések'!R24+'7. Fejlesztések'!R25+'7. Fejlesztések'!R26+'7. Fejlesztések'!R27+'7. Fejlesztések'!R30+'7. Fejlesztések'!R31+'7. Fejlesztések'!R32+'7. Fejlesztések'!R33+'7. Fejlesztések'!R34+'7. Fejlesztések'!R40+'7. Fejlesztések'!R41+'7. Fejlesztések'!R44+'7. Fejlesztések'!R47</f>
        <v>118096025</v>
      </c>
    </row>
    <row r="58" spans="1:23" s="700" customFormat="1" x14ac:dyDescent="0.25">
      <c r="A58" s="702"/>
      <c r="B58" s="539" t="s">
        <v>342</v>
      </c>
      <c r="C58" s="496"/>
      <c r="D58" s="496"/>
      <c r="E58" s="495">
        <f>+'7. Fejlesztések'!F53+'7. Fejlesztések'!F54+'7. Fejlesztések'!F55+'7. Fejlesztések'!F56+'7. Fejlesztések'!F57+'7. Fejlesztések'!F58+'7. Fejlesztések'!F59+'7. Fejlesztések'!F60+'7. Fejlesztések'!F62</f>
        <v>152509840</v>
      </c>
      <c r="F58" s="495"/>
      <c r="G58" s="496"/>
      <c r="H58" s="496"/>
      <c r="I58" s="495">
        <f>+'7. Fejlesztések'!I53+'7. Fejlesztések'!I54+'7. Fejlesztések'!I55+'7. Fejlesztések'!I56+'7. Fejlesztések'!I57+'7. Fejlesztések'!I58+'7. Fejlesztések'!I59+'7. Fejlesztések'!I60+'7. Fejlesztések'!I62+'7. Fejlesztések'!I61+'7. Fejlesztések'!I64</f>
        <v>199531609</v>
      </c>
      <c r="J58" s="496"/>
      <c r="K58" s="496"/>
      <c r="L58" s="495">
        <f>+'7. Fejlesztések'!L53+'7. Fejlesztések'!L54+'7. Fejlesztések'!L55+'7. Fejlesztések'!L56+'7. Fejlesztések'!L57+'7. Fejlesztések'!L58+'7. Fejlesztések'!L59+'7. Fejlesztések'!L60+'7. Fejlesztések'!L62+'7. Fejlesztések'!L61+'7. Fejlesztések'!L64</f>
        <v>199045609</v>
      </c>
      <c r="M58" s="496"/>
      <c r="N58" s="496"/>
      <c r="O58" s="495">
        <f>+'7. Fejlesztések'!O53+'7. Fejlesztések'!O54+'7. Fejlesztések'!O55+'7. Fejlesztések'!O56+'7. Fejlesztések'!O57+'7. Fejlesztések'!O58+'7. Fejlesztések'!O59+'7. Fejlesztések'!O60+'7. Fejlesztések'!O62+'7. Fejlesztések'!O61+'7. Fejlesztések'!O63+'7. Fejlesztések'!O64+'7. Fejlesztések'!O67</f>
        <v>249390582</v>
      </c>
      <c r="P58" s="496"/>
      <c r="Q58" s="496"/>
      <c r="R58" s="495">
        <f>+'7. Fejlesztések'!R53+'7. Fejlesztések'!R54+'7. Fejlesztések'!R55+'7. Fejlesztések'!R56+'7. Fejlesztések'!R57+'7. Fejlesztések'!R58+'7. Fejlesztések'!R59+'7. Fejlesztések'!R60+'7. Fejlesztések'!R62+'7. Fejlesztések'!R61+'7. Fejlesztések'!R63+'7. Fejlesztések'!R64+'7. Fejlesztések'!R67</f>
        <v>102714213</v>
      </c>
    </row>
    <row r="59" spans="1:23" s="874" customFormat="1" x14ac:dyDescent="0.25">
      <c r="A59" s="536" t="s">
        <v>567</v>
      </c>
      <c r="B59" s="537" t="s">
        <v>602</v>
      </c>
      <c r="C59" s="538"/>
      <c r="D59" s="538"/>
      <c r="E59" s="535">
        <f>SUM(E62)</f>
        <v>400000</v>
      </c>
      <c r="F59" s="535"/>
      <c r="G59" s="538"/>
      <c r="H59" s="538"/>
      <c r="I59" s="535">
        <f>SUM(I62)</f>
        <v>400000</v>
      </c>
      <c r="J59" s="538"/>
      <c r="K59" s="538"/>
      <c r="L59" s="535">
        <f>SUM(L62)</f>
        <v>400000</v>
      </c>
      <c r="M59" s="538"/>
      <c r="N59" s="538"/>
      <c r="O59" s="535">
        <f>SUM(O62)</f>
        <v>400000</v>
      </c>
      <c r="P59" s="538"/>
      <c r="Q59" s="538"/>
      <c r="R59" s="535">
        <f>SUM(R62)</f>
        <v>0</v>
      </c>
      <c r="S59" s="874">
        <v>5113</v>
      </c>
    </row>
    <row r="60" spans="1:23" s="700" customFormat="1" x14ac:dyDescent="0.25">
      <c r="A60" s="536"/>
      <c r="B60" s="539" t="s">
        <v>286</v>
      </c>
      <c r="C60" s="538"/>
      <c r="D60" s="538"/>
      <c r="E60" s="535"/>
      <c r="F60" s="535"/>
      <c r="G60" s="538"/>
      <c r="H60" s="538"/>
      <c r="I60" s="535"/>
      <c r="J60" s="538"/>
      <c r="K60" s="538"/>
      <c r="L60" s="535"/>
      <c r="M60" s="538"/>
      <c r="N60" s="538"/>
      <c r="O60" s="535"/>
      <c r="P60" s="538"/>
      <c r="Q60" s="538"/>
      <c r="R60" s="535"/>
    </row>
    <row r="61" spans="1:23" s="700" customFormat="1" x14ac:dyDescent="0.25">
      <c r="A61" s="536"/>
      <c r="B61" s="539" t="s">
        <v>287</v>
      </c>
      <c r="C61" s="538"/>
      <c r="D61" s="538"/>
      <c r="E61" s="535"/>
      <c r="F61" s="535"/>
      <c r="G61" s="538"/>
      <c r="H61" s="538"/>
      <c r="I61" s="535"/>
      <c r="J61" s="538"/>
      <c r="K61" s="538"/>
      <c r="L61" s="535"/>
      <c r="M61" s="538"/>
      <c r="N61" s="538"/>
      <c r="O61" s="535"/>
      <c r="P61" s="538"/>
      <c r="Q61" s="538"/>
      <c r="R61" s="535"/>
    </row>
    <row r="62" spans="1:23" s="700" customFormat="1" x14ac:dyDescent="0.25">
      <c r="A62" s="702"/>
      <c r="B62" s="539" t="s">
        <v>292</v>
      </c>
      <c r="C62" s="496"/>
      <c r="D62" s="496"/>
      <c r="E62" s="495">
        <v>400000</v>
      </c>
      <c r="F62" s="495"/>
      <c r="G62" s="496"/>
      <c r="H62" s="496"/>
      <c r="I62" s="495">
        <v>400000</v>
      </c>
      <c r="J62" s="496"/>
      <c r="K62" s="496"/>
      <c r="L62" s="495">
        <v>400000</v>
      </c>
      <c r="M62" s="496"/>
      <c r="N62" s="496"/>
      <c r="O62" s="495">
        <v>400000</v>
      </c>
      <c r="P62" s="496"/>
      <c r="Q62" s="496"/>
      <c r="R62" s="495">
        <v>0</v>
      </c>
    </row>
    <row r="63" spans="1:23" s="874" customFormat="1" x14ac:dyDescent="0.25">
      <c r="A63" s="536" t="s">
        <v>569</v>
      </c>
      <c r="B63" s="537" t="s">
        <v>701</v>
      </c>
      <c r="C63" s="538"/>
      <c r="D63" s="538"/>
      <c r="E63" s="535">
        <f>SUM(E64:E65)</f>
        <v>18000000</v>
      </c>
      <c r="F63" s="535"/>
      <c r="G63" s="538"/>
      <c r="H63" s="538"/>
      <c r="I63" s="535">
        <f>SUM(I64:I66)</f>
        <v>48233000</v>
      </c>
      <c r="J63" s="538"/>
      <c r="K63" s="538"/>
      <c r="L63" s="535">
        <f>SUM(L64:L66)</f>
        <v>48233000</v>
      </c>
      <c r="M63" s="538"/>
      <c r="N63" s="538"/>
      <c r="O63" s="535">
        <f>SUM(O64:O66)</f>
        <v>47966860</v>
      </c>
      <c r="P63" s="538"/>
      <c r="Q63" s="538"/>
      <c r="R63" s="535">
        <f>SUM(R64:R66)</f>
        <v>34415446</v>
      </c>
      <c r="S63" s="874">
        <v>5114</v>
      </c>
    </row>
    <row r="64" spans="1:23" s="700" customFormat="1" x14ac:dyDescent="0.25">
      <c r="A64" s="536"/>
      <c r="B64" s="539" t="s">
        <v>292</v>
      </c>
      <c r="C64" s="538"/>
      <c r="D64" s="538"/>
      <c r="E64" s="535"/>
      <c r="F64" s="535"/>
      <c r="G64" s="538"/>
      <c r="H64" s="538"/>
      <c r="I64" s="535"/>
      <c r="J64" s="538"/>
      <c r="K64" s="538"/>
      <c r="L64" s="535"/>
      <c r="M64" s="538"/>
      <c r="N64" s="538"/>
      <c r="O64" s="535"/>
      <c r="P64" s="538"/>
      <c r="Q64" s="538"/>
      <c r="R64" s="535"/>
    </row>
    <row r="65" spans="1:19" s="700" customFormat="1" x14ac:dyDescent="0.25">
      <c r="A65" s="702"/>
      <c r="B65" s="539" t="s">
        <v>337</v>
      </c>
      <c r="C65" s="496"/>
      <c r="D65" s="496"/>
      <c r="E65" s="495">
        <v>18000000</v>
      </c>
      <c r="F65" s="495"/>
      <c r="G65" s="496"/>
      <c r="H65" s="496"/>
      <c r="I65" s="495">
        <f>18000000+28500+204500</f>
        <v>18233000</v>
      </c>
      <c r="J65" s="496"/>
      <c r="K65" s="496"/>
      <c r="L65" s="495">
        <f>18000000+28500+204500</f>
        <v>18233000</v>
      </c>
      <c r="M65" s="496"/>
      <c r="N65" s="496"/>
      <c r="O65" s="495">
        <f>18000000+204500+28500-266140</f>
        <v>17966860</v>
      </c>
      <c r="P65" s="496"/>
      <c r="Q65" s="496"/>
      <c r="R65" s="495">
        <f>16976654+1260042</f>
        <v>18236696</v>
      </c>
    </row>
    <row r="66" spans="1:19" s="700" customFormat="1" x14ac:dyDescent="0.25">
      <c r="A66" s="702"/>
      <c r="B66" s="539" t="s">
        <v>1764</v>
      </c>
      <c r="C66" s="496"/>
      <c r="D66" s="496"/>
      <c r="E66" s="495"/>
      <c r="F66" s="495"/>
      <c r="G66" s="496"/>
      <c r="H66" s="496"/>
      <c r="I66" s="495">
        <v>30000000</v>
      </c>
      <c r="J66" s="496"/>
      <c r="K66" s="496"/>
      <c r="L66" s="495">
        <v>30000000</v>
      </c>
      <c r="M66" s="496"/>
      <c r="N66" s="496"/>
      <c r="O66" s="495">
        <v>30000000</v>
      </c>
      <c r="P66" s="496"/>
      <c r="Q66" s="496"/>
      <c r="R66" s="495">
        <v>16178750</v>
      </c>
      <c r="S66" s="700">
        <v>5145</v>
      </c>
    </row>
    <row r="67" spans="1:19" s="701" customFormat="1" hidden="1" x14ac:dyDescent="0.25">
      <c r="A67" s="536"/>
      <c r="B67" s="537" t="s">
        <v>1778</v>
      </c>
      <c r="C67" s="538"/>
      <c r="D67" s="538"/>
      <c r="E67" s="535">
        <f>SUM(E68:E70)</f>
        <v>0</v>
      </c>
      <c r="F67" s="535"/>
      <c r="G67" s="538"/>
      <c r="H67" s="538"/>
      <c r="I67" s="535">
        <f>SUM(I68:I70)</f>
        <v>0</v>
      </c>
      <c r="J67" s="538"/>
      <c r="K67" s="538"/>
      <c r="L67" s="535">
        <f>SUM(L68:L70)</f>
        <v>0</v>
      </c>
      <c r="M67" s="538"/>
      <c r="N67" s="538"/>
      <c r="O67" s="535">
        <f>SUM(O68:O70)</f>
        <v>0</v>
      </c>
      <c r="P67" s="538"/>
      <c r="Q67" s="538"/>
      <c r="R67" s="535">
        <f>SUM(R68:R70)</f>
        <v>0</v>
      </c>
    </row>
    <row r="68" spans="1:19" s="700" customFormat="1" ht="15" hidden="1" customHeight="1" x14ac:dyDescent="0.25">
      <c r="A68" s="702"/>
      <c r="B68" s="539"/>
      <c r="C68" s="496"/>
      <c r="D68" s="496"/>
      <c r="E68" s="495"/>
      <c r="F68" s="495"/>
      <c r="G68" s="496"/>
      <c r="H68" s="496"/>
      <c r="I68" s="495"/>
      <c r="J68" s="496"/>
      <c r="K68" s="496"/>
      <c r="L68" s="495"/>
      <c r="M68" s="496"/>
      <c r="N68" s="496"/>
      <c r="O68" s="495"/>
      <c r="P68" s="496"/>
      <c r="Q68" s="496"/>
      <c r="R68" s="495"/>
    </row>
    <row r="69" spans="1:19" s="700" customFormat="1" ht="15" hidden="1" customHeight="1" x14ac:dyDescent="0.25">
      <c r="A69" s="702"/>
      <c r="B69" s="539"/>
      <c r="C69" s="496"/>
      <c r="D69" s="496"/>
      <c r="E69" s="495"/>
      <c r="F69" s="495"/>
      <c r="G69" s="496"/>
      <c r="H69" s="496"/>
      <c r="I69" s="495"/>
      <c r="J69" s="496"/>
      <c r="K69" s="496"/>
      <c r="L69" s="495"/>
      <c r="M69" s="496"/>
      <c r="N69" s="496"/>
      <c r="O69" s="495"/>
      <c r="P69" s="496"/>
      <c r="Q69" s="496"/>
      <c r="R69" s="495"/>
    </row>
    <row r="70" spans="1:19" s="700" customFormat="1" ht="15" hidden="1" customHeight="1" x14ac:dyDescent="0.25">
      <c r="A70" s="702"/>
      <c r="B70" s="539"/>
      <c r="C70" s="496"/>
      <c r="D70" s="496"/>
      <c r="E70" s="495"/>
      <c r="F70" s="495"/>
      <c r="G70" s="496"/>
      <c r="H70" s="496"/>
      <c r="I70" s="495"/>
      <c r="J70" s="496"/>
      <c r="K70" s="496"/>
      <c r="L70" s="495"/>
      <c r="M70" s="496"/>
      <c r="N70" s="496"/>
      <c r="O70" s="495"/>
      <c r="P70" s="496"/>
      <c r="Q70" s="496"/>
      <c r="R70" s="495"/>
    </row>
    <row r="71" spans="1:19" s="874" customFormat="1" x14ac:dyDescent="0.25">
      <c r="A71" s="536" t="s">
        <v>570</v>
      </c>
      <c r="B71" s="537" t="s">
        <v>555</v>
      </c>
      <c r="C71" s="496"/>
      <c r="D71" s="496"/>
      <c r="E71" s="535">
        <f>SUM(E72:E74)</f>
        <v>95000000</v>
      </c>
      <c r="F71" s="535"/>
      <c r="G71" s="496"/>
      <c r="H71" s="496"/>
      <c r="I71" s="535">
        <f>SUM(I72:I74)</f>
        <v>95000000</v>
      </c>
      <c r="J71" s="496"/>
      <c r="K71" s="496"/>
      <c r="L71" s="535">
        <f>SUM(L72:L74)</f>
        <v>95000000</v>
      </c>
      <c r="M71" s="496"/>
      <c r="N71" s="496"/>
      <c r="O71" s="535">
        <f>SUM(O72:O74)</f>
        <v>95000000</v>
      </c>
      <c r="P71" s="496"/>
      <c r="Q71" s="496"/>
      <c r="R71" s="535">
        <f>SUM(R72:R74)</f>
        <v>89440954</v>
      </c>
      <c r="S71" s="874">
        <v>5140</v>
      </c>
    </row>
    <row r="72" spans="1:19" s="700" customFormat="1" x14ac:dyDescent="0.25">
      <c r="A72" s="702"/>
      <c r="B72" s="539" t="s">
        <v>292</v>
      </c>
      <c r="C72" s="496"/>
      <c r="D72" s="496"/>
      <c r="E72" s="495">
        <f>31500000+8500000-8000000</f>
        <v>32000000</v>
      </c>
      <c r="F72" s="495"/>
      <c r="G72" s="496"/>
      <c r="H72" s="496"/>
      <c r="I72" s="495">
        <f>31500000+8500000-8000000+61000000</f>
        <v>93000000</v>
      </c>
      <c r="J72" s="496"/>
      <c r="K72" s="496"/>
      <c r="L72" s="495">
        <f>31500000+8500000-8000000+61000000</f>
        <v>93000000</v>
      </c>
      <c r="M72" s="496"/>
      <c r="N72" s="496"/>
      <c r="O72" s="495">
        <f>31500000+8500000-8000000+61000000+584500</f>
        <v>93584500</v>
      </c>
      <c r="P72" s="496"/>
      <c r="Q72" s="496"/>
      <c r="R72" s="495">
        <v>89440954</v>
      </c>
    </row>
    <row r="73" spans="1:19" s="700" customFormat="1" ht="15" customHeight="1" x14ac:dyDescent="0.25">
      <c r="A73" s="702"/>
      <c r="B73" s="539" t="s">
        <v>351</v>
      </c>
      <c r="C73" s="496"/>
      <c r="D73" s="496"/>
      <c r="E73" s="495"/>
      <c r="F73" s="495"/>
      <c r="G73" s="496"/>
      <c r="H73" s="496"/>
      <c r="I73" s="495"/>
      <c r="J73" s="496"/>
      <c r="K73" s="496"/>
      <c r="L73" s="495"/>
      <c r="M73" s="496"/>
      <c r="N73" s="496"/>
      <c r="O73" s="495"/>
      <c r="P73" s="496"/>
      <c r="Q73" s="496"/>
      <c r="R73" s="495"/>
    </row>
    <row r="74" spans="1:19" s="700" customFormat="1" x14ac:dyDescent="0.25">
      <c r="A74" s="702"/>
      <c r="B74" s="539" t="s">
        <v>342</v>
      </c>
      <c r="C74" s="496"/>
      <c r="D74" s="496"/>
      <c r="E74" s="495">
        <f>+'7. Fejlesztések'!D52+'7. Fejlesztések'!E52</f>
        <v>63000000</v>
      </c>
      <c r="F74" s="495"/>
      <c r="G74" s="496"/>
      <c r="H74" s="496"/>
      <c r="I74" s="495">
        <f>+'7. Fejlesztések'!G52+'7. Fejlesztések'!H52</f>
        <v>2000000</v>
      </c>
      <c r="J74" s="496"/>
      <c r="K74" s="496"/>
      <c r="L74" s="495">
        <f>+'7. Fejlesztések'!L52</f>
        <v>2000000</v>
      </c>
      <c r="M74" s="496"/>
      <c r="N74" s="496"/>
      <c r="O74" s="495">
        <f>+'7. Fejlesztések'!O52</f>
        <v>1415500</v>
      </c>
      <c r="P74" s="496"/>
      <c r="Q74" s="496"/>
      <c r="R74" s="495">
        <f>+'7. Fejlesztések'!R52</f>
        <v>0</v>
      </c>
    </row>
    <row r="75" spans="1:19" x14ac:dyDescent="0.25">
      <c r="A75" s="322" t="s">
        <v>318</v>
      </c>
      <c r="B75" s="373" t="s">
        <v>353</v>
      </c>
      <c r="C75" s="440"/>
      <c r="D75" s="440"/>
      <c r="E75" s="439">
        <f>+E76+E79+E82+E86+E90+E92+E94+E96+E98+E100+E102+E104+E106+E110+E115+E117+E120+E124+E126+E128+E130+E132+E134+E137+E140+E143+E145+E151+E153+E155+E158+E166+E173+E180+E184+E186+E190+E194+E198+E216+E220+E223+E202+E206+E210+E212+E225</f>
        <v>946597765</v>
      </c>
      <c r="F75" s="439"/>
      <c r="G75" s="440"/>
      <c r="H75" s="440"/>
      <c r="I75" s="439">
        <f>+I76+I79+I82+I86+I90+I92+I94+I96+I98+I100+I102+I104+I106+I110+I115+I117+I120+I124+I126+I128+I130+I132+I134+I137+I140+I143+I145+I148+I151+I153+I155+I158+I166+I173+I180+I184+I186+I190+I194+I198+I216+I220+I223+I202+I206+I210+I212+I225</f>
        <v>1210070012</v>
      </c>
      <c r="J75" s="440"/>
      <c r="K75" s="440"/>
      <c r="L75" s="439">
        <f>+L76+L79+L82+L86+L90+L92+L94+L96+L98+L100+L102+L104+L106+L110+L115+L117+L120+L124+L126+L128+L130+L132+L134+L137+L140+L143+L145+L148+L151+L153+L155+L158+L166+L173+L180+L184+L186+L190+L194+L198+L216+L220+L223+L202+L206+L210+L212+L225</f>
        <v>1248363948</v>
      </c>
      <c r="M75" s="440"/>
      <c r="N75" s="440"/>
      <c r="O75" s="439">
        <f>+O76+O79+O82+O86+O90+O92+O94+O96+O98+O100+O102+O104+O106+O110+O115+O117+O120+O124+O126+O128+O130+O132+O134+O137+O140+O143+O145+O148+O151+O153+O155+O158+O166+O173+O180+O184+O186+O190+O194+O198+O216+O220+O223+O202+O206+O210+O212+O225</f>
        <v>1183191421</v>
      </c>
      <c r="P75" s="440"/>
      <c r="Q75" s="440"/>
      <c r="R75" s="439">
        <f>+R76+R79+R82+R86+R90+R92+R94+R96+R98+R100+R102+R104+R106+R110+R115+R117+R120+R124+R126+R128+R130+R132+R134+R137+R140+R143+R145+R148+R151+R153+R155+R158+R166+R173+R180+R184+R186+R190+R194+R198+R216+R220+R223+R202+R206+R210+R212+R225</f>
        <v>609385245</v>
      </c>
    </row>
    <row r="76" spans="1:19" s="875" customFormat="1" x14ac:dyDescent="0.25">
      <c r="A76" s="536" t="s">
        <v>311</v>
      </c>
      <c r="B76" s="537" t="s">
        <v>702</v>
      </c>
      <c r="C76" s="538"/>
      <c r="D76" s="538"/>
      <c r="E76" s="535">
        <f>SUM(E77:E78)</f>
        <v>5360000</v>
      </c>
      <c r="F76" s="535"/>
      <c r="G76" s="538"/>
      <c r="H76" s="538"/>
      <c r="I76" s="535">
        <f>SUM(I77:I78)</f>
        <v>5360000</v>
      </c>
      <c r="J76" s="538"/>
      <c r="K76" s="538"/>
      <c r="L76" s="535">
        <f>SUM(L77:L78)</f>
        <v>5360000</v>
      </c>
      <c r="M76" s="538"/>
      <c r="N76" s="538"/>
      <c r="O76" s="535">
        <f>SUM(O77:O78)</f>
        <v>5360000</v>
      </c>
      <c r="P76" s="538"/>
      <c r="Q76" s="538"/>
      <c r="R76" s="535">
        <f>SUM(R77:R78)</f>
        <v>5256746</v>
      </c>
      <c r="S76" s="875">
        <v>5201</v>
      </c>
    </row>
    <row r="77" spans="1:19" x14ac:dyDescent="0.25">
      <c r="A77" s="378"/>
      <c r="B77" s="365" t="s">
        <v>292</v>
      </c>
      <c r="C77" s="444"/>
      <c r="D77" s="444"/>
      <c r="E77" s="443">
        <f>400000+4860000+100000</f>
        <v>5360000</v>
      </c>
      <c r="F77" s="443"/>
      <c r="G77" s="444"/>
      <c r="H77" s="444"/>
      <c r="I77" s="443">
        <f>400000+4860000+100000</f>
        <v>5360000</v>
      </c>
      <c r="J77" s="444"/>
      <c r="K77" s="444"/>
      <c r="L77" s="443">
        <f>400000+4860000+100000</f>
        <v>5360000</v>
      </c>
      <c r="M77" s="444"/>
      <c r="N77" s="444"/>
      <c r="O77" s="495">
        <f>400000+4860000+100000-34900</f>
        <v>5325100</v>
      </c>
      <c r="P77" s="496"/>
      <c r="Q77" s="496"/>
      <c r="R77" s="495">
        <v>5221846</v>
      </c>
    </row>
    <row r="78" spans="1:19" x14ac:dyDescent="0.25">
      <c r="A78" s="378"/>
      <c r="B78" s="365" t="s">
        <v>351</v>
      </c>
      <c r="C78" s="444"/>
      <c r="D78" s="444"/>
      <c r="E78" s="443">
        <v>0</v>
      </c>
      <c r="F78" s="443"/>
      <c r="G78" s="444"/>
      <c r="H78" s="444"/>
      <c r="I78" s="443">
        <v>0</v>
      </c>
      <c r="J78" s="444"/>
      <c r="K78" s="444"/>
      <c r="L78" s="443">
        <v>0</v>
      </c>
      <c r="M78" s="444"/>
      <c r="N78" s="444"/>
      <c r="O78" s="495">
        <v>34900</v>
      </c>
      <c r="P78" s="496"/>
      <c r="Q78" s="496"/>
      <c r="R78" s="495">
        <v>34900</v>
      </c>
    </row>
    <row r="79" spans="1:19" s="875" customFormat="1" x14ac:dyDescent="0.25">
      <c r="A79" s="536" t="s">
        <v>322</v>
      </c>
      <c r="B79" s="537" t="s">
        <v>703</v>
      </c>
      <c r="C79" s="538"/>
      <c r="D79" s="538"/>
      <c r="E79" s="535">
        <f>+E81+E80</f>
        <v>1000000</v>
      </c>
      <c r="F79" s="535"/>
      <c r="G79" s="538"/>
      <c r="H79" s="538"/>
      <c r="I79" s="535">
        <f>+I81+I80</f>
        <v>1000000</v>
      </c>
      <c r="J79" s="538"/>
      <c r="K79" s="538"/>
      <c r="L79" s="535">
        <f>+L81+L80</f>
        <v>1000000</v>
      </c>
      <c r="M79" s="538"/>
      <c r="N79" s="538"/>
      <c r="O79" s="535">
        <f>+O81+O80</f>
        <v>1000000</v>
      </c>
      <c r="P79" s="538"/>
      <c r="Q79" s="538"/>
      <c r="R79" s="535">
        <f>+R81+R80</f>
        <v>0</v>
      </c>
      <c r="S79" s="875">
        <v>5202</v>
      </c>
    </row>
    <row r="80" spans="1:19" x14ac:dyDescent="0.25">
      <c r="A80" s="378"/>
      <c r="B80" s="365" t="s">
        <v>292</v>
      </c>
      <c r="C80" s="444"/>
      <c r="D80" s="444"/>
      <c r="E80" s="443">
        <v>1000000</v>
      </c>
      <c r="F80" s="443"/>
      <c r="G80" s="444"/>
      <c r="H80" s="444"/>
      <c r="I80" s="443">
        <v>1000000</v>
      </c>
      <c r="J80" s="444"/>
      <c r="K80" s="444"/>
      <c r="L80" s="443">
        <v>1000000</v>
      </c>
      <c r="M80" s="444"/>
      <c r="N80" s="444"/>
      <c r="O80" s="495">
        <v>1000000</v>
      </c>
      <c r="P80" s="496"/>
      <c r="Q80" s="496"/>
      <c r="R80" s="495">
        <v>0</v>
      </c>
    </row>
    <row r="81" spans="1:19" x14ac:dyDescent="0.25">
      <c r="A81" s="378"/>
      <c r="B81" s="365" t="s">
        <v>351</v>
      </c>
      <c r="C81" s="444"/>
      <c r="D81" s="444"/>
      <c r="E81" s="443"/>
      <c r="F81" s="443"/>
      <c r="G81" s="444"/>
      <c r="H81" s="444"/>
      <c r="I81" s="443"/>
      <c r="J81" s="444"/>
      <c r="K81" s="444"/>
      <c r="L81" s="443"/>
      <c r="M81" s="444"/>
      <c r="N81" s="444"/>
      <c r="O81" s="495"/>
      <c r="P81" s="496"/>
      <c r="Q81" s="496"/>
      <c r="R81" s="495"/>
    </row>
    <row r="82" spans="1:19" s="875" customFormat="1" x14ac:dyDescent="0.25">
      <c r="A82" s="536" t="s">
        <v>315</v>
      </c>
      <c r="B82" s="883" t="s">
        <v>704</v>
      </c>
      <c r="C82" s="884"/>
      <c r="D82" s="884"/>
      <c r="E82" s="885">
        <f>+E83+E84+E85</f>
        <v>1500000</v>
      </c>
      <c r="F82" s="885"/>
      <c r="G82" s="884"/>
      <c r="H82" s="884"/>
      <c r="I82" s="885">
        <f>+I83+I84+I85</f>
        <v>1500000</v>
      </c>
      <c r="J82" s="884"/>
      <c r="K82" s="884"/>
      <c r="L82" s="885">
        <f>+L83+L84+L85</f>
        <v>1500000</v>
      </c>
      <c r="M82" s="884"/>
      <c r="N82" s="884"/>
      <c r="O82" s="885">
        <f>+O83+O84+O85</f>
        <v>1500000</v>
      </c>
      <c r="P82" s="884"/>
      <c r="Q82" s="884"/>
      <c r="R82" s="885">
        <f>+R83+R84+R85</f>
        <v>81960</v>
      </c>
      <c r="S82" s="875">
        <v>5203</v>
      </c>
    </row>
    <row r="83" spans="1:19" x14ac:dyDescent="0.25">
      <c r="A83" s="378"/>
      <c r="B83" s="380" t="s">
        <v>286</v>
      </c>
      <c r="C83" s="446"/>
      <c r="D83" s="446"/>
      <c r="E83" s="445">
        <v>500000</v>
      </c>
      <c r="F83" s="445"/>
      <c r="G83" s="446"/>
      <c r="H83" s="446"/>
      <c r="I83" s="445">
        <v>500000</v>
      </c>
      <c r="J83" s="446"/>
      <c r="K83" s="446"/>
      <c r="L83" s="445">
        <v>500000</v>
      </c>
      <c r="M83" s="446"/>
      <c r="N83" s="446"/>
      <c r="O83" s="704">
        <v>500000</v>
      </c>
      <c r="P83" s="705"/>
      <c r="Q83" s="705"/>
      <c r="R83" s="704">
        <v>0</v>
      </c>
    </row>
    <row r="84" spans="1:19" x14ac:dyDescent="0.25">
      <c r="A84" s="378"/>
      <c r="B84" s="380" t="s">
        <v>287</v>
      </c>
      <c r="C84" s="446"/>
      <c r="D84" s="446"/>
      <c r="E84" s="445">
        <v>250000</v>
      </c>
      <c r="F84" s="445"/>
      <c r="G84" s="446"/>
      <c r="H84" s="446"/>
      <c r="I84" s="445">
        <v>250000</v>
      </c>
      <c r="J84" s="446"/>
      <c r="K84" s="446"/>
      <c r="L84" s="445">
        <v>250000</v>
      </c>
      <c r="M84" s="446"/>
      <c r="N84" s="446"/>
      <c r="O84" s="704">
        <v>250000</v>
      </c>
      <c r="P84" s="705"/>
      <c r="Q84" s="705"/>
      <c r="R84" s="704">
        <v>67990</v>
      </c>
    </row>
    <row r="85" spans="1:19" x14ac:dyDescent="0.25">
      <c r="A85" s="378"/>
      <c r="B85" s="380" t="s">
        <v>292</v>
      </c>
      <c r="C85" s="446"/>
      <c r="D85" s="446"/>
      <c r="E85" s="445">
        <f>400000+100000+250000</f>
        <v>750000</v>
      </c>
      <c r="F85" s="445"/>
      <c r="G85" s="446"/>
      <c r="H85" s="446"/>
      <c r="I85" s="445">
        <f>400000+100000+250000</f>
        <v>750000</v>
      </c>
      <c r="J85" s="446"/>
      <c r="K85" s="446"/>
      <c r="L85" s="445">
        <f>400000+100000+250000</f>
        <v>750000</v>
      </c>
      <c r="M85" s="446"/>
      <c r="N85" s="446"/>
      <c r="O85" s="704">
        <f>400000+100000+250000</f>
        <v>750000</v>
      </c>
      <c r="P85" s="705"/>
      <c r="Q85" s="705"/>
      <c r="R85" s="704">
        <v>13970</v>
      </c>
    </row>
    <row r="86" spans="1:19" s="875" customFormat="1" x14ac:dyDescent="0.25">
      <c r="A86" s="536" t="s">
        <v>336</v>
      </c>
      <c r="B86" s="537" t="s">
        <v>1163</v>
      </c>
      <c r="C86" s="538"/>
      <c r="D86" s="538"/>
      <c r="E86" s="535">
        <f>+E87+E88+E89</f>
        <v>4000000</v>
      </c>
      <c r="F86" s="535"/>
      <c r="G86" s="538"/>
      <c r="H86" s="538"/>
      <c r="I86" s="535">
        <f>+I87+I88+I89</f>
        <v>4000000</v>
      </c>
      <c r="J86" s="538"/>
      <c r="K86" s="538"/>
      <c r="L86" s="535">
        <f>+L87+L88+L89</f>
        <v>4000000</v>
      </c>
      <c r="M86" s="538"/>
      <c r="N86" s="538"/>
      <c r="O86" s="535">
        <f>+O87+O88+O89</f>
        <v>4000000</v>
      </c>
      <c r="P86" s="538"/>
      <c r="Q86" s="538"/>
      <c r="R86" s="535">
        <f>+R87+R88+R89</f>
        <v>1481184</v>
      </c>
      <c r="S86" s="875">
        <v>5204</v>
      </c>
    </row>
    <row r="87" spans="1:19" x14ac:dyDescent="0.25">
      <c r="A87" s="378"/>
      <c r="B87" s="365" t="s">
        <v>286</v>
      </c>
      <c r="C87" s="444"/>
      <c r="D87" s="444"/>
      <c r="E87" s="443">
        <v>1500000</v>
      </c>
      <c r="F87" s="443"/>
      <c r="G87" s="444"/>
      <c r="H87" s="444"/>
      <c r="I87" s="443">
        <v>1500000</v>
      </c>
      <c r="J87" s="444"/>
      <c r="K87" s="444"/>
      <c r="L87" s="443">
        <v>1500000</v>
      </c>
      <c r="M87" s="444"/>
      <c r="N87" s="444"/>
      <c r="O87" s="495">
        <v>1500000</v>
      </c>
      <c r="P87" s="496"/>
      <c r="Q87" s="496"/>
      <c r="R87" s="495">
        <v>581184</v>
      </c>
    </row>
    <row r="88" spans="1:19" x14ac:dyDescent="0.25">
      <c r="A88" s="378"/>
      <c r="B88" s="365" t="s">
        <v>287</v>
      </c>
      <c r="C88" s="444"/>
      <c r="D88" s="444"/>
      <c r="E88" s="443"/>
      <c r="F88" s="443"/>
      <c r="G88" s="444"/>
      <c r="H88" s="444"/>
      <c r="I88" s="443"/>
      <c r="J88" s="444"/>
      <c r="K88" s="444"/>
      <c r="L88" s="443"/>
      <c r="M88" s="444"/>
      <c r="N88" s="444"/>
      <c r="O88" s="495"/>
      <c r="P88" s="496"/>
      <c r="Q88" s="496"/>
      <c r="R88" s="495"/>
    </row>
    <row r="89" spans="1:19" x14ac:dyDescent="0.25">
      <c r="A89" s="378"/>
      <c r="B89" s="365" t="s">
        <v>1272</v>
      </c>
      <c r="C89" s="444"/>
      <c r="D89" s="444"/>
      <c r="E89" s="443">
        <v>2500000</v>
      </c>
      <c r="F89" s="443"/>
      <c r="G89" s="444"/>
      <c r="H89" s="444"/>
      <c r="I89" s="443">
        <v>2500000</v>
      </c>
      <c r="J89" s="444"/>
      <c r="K89" s="444"/>
      <c r="L89" s="443">
        <v>2500000</v>
      </c>
      <c r="M89" s="444"/>
      <c r="N89" s="444"/>
      <c r="O89" s="495">
        <v>2500000</v>
      </c>
      <c r="P89" s="496"/>
      <c r="Q89" s="496"/>
      <c r="R89" s="495">
        <v>900000</v>
      </c>
    </row>
    <row r="90" spans="1:19" s="875" customFormat="1" x14ac:dyDescent="0.25">
      <c r="A90" s="536" t="s">
        <v>338</v>
      </c>
      <c r="B90" s="537" t="s">
        <v>705</v>
      </c>
      <c r="C90" s="538"/>
      <c r="D90" s="538"/>
      <c r="E90" s="535">
        <f>+E91</f>
        <v>6308000</v>
      </c>
      <c r="F90" s="535"/>
      <c r="G90" s="538"/>
      <c r="H90" s="538"/>
      <c r="I90" s="535">
        <f>+I91</f>
        <v>6308000</v>
      </c>
      <c r="J90" s="538"/>
      <c r="K90" s="538"/>
      <c r="L90" s="535">
        <f>+L91</f>
        <v>6308000</v>
      </c>
      <c r="M90" s="538"/>
      <c r="N90" s="538"/>
      <c r="O90" s="535">
        <f>+O91</f>
        <v>6308000</v>
      </c>
      <c r="P90" s="538"/>
      <c r="Q90" s="538"/>
      <c r="R90" s="535">
        <f>+R91</f>
        <v>0</v>
      </c>
      <c r="S90" s="875">
        <v>5205</v>
      </c>
    </row>
    <row r="91" spans="1:19" x14ac:dyDescent="0.25">
      <c r="A91" s="378"/>
      <c r="B91" s="365" t="s">
        <v>292</v>
      </c>
      <c r="C91" s="444"/>
      <c r="D91" s="444"/>
      <c r="E91" s="443">
        <v>6308000</v>
      </c>
      <c r="F91" s="443"/>
      <c r="G91" s="444"/>
      <c r="H91" s="444"/>
      <c r="I91" s="443">
        <v>6308000</v>
      </c>
      <c r="J91" s="444"/>
      <c r="K91" s="444"/>
      <c r="L91" s="443">
        <v>6308000</v>
      </c>
      <c r="M91" s="444"/>
      <c r="N91" s="444"/>
      <c r="O91" s="495">
        <v>6308000</v>
      </c>
      <c r="P91" s="496"/>
      <c r="Q91" s="496"/>
      <c r="R91" s="495">
        <v>0</v>
      </c>
    </row>
    <row r="92" spans="1:19" s="875" customFormat="1" x14ac:dyDescent="0.25">
      <c r="A92" s="536" t="s">
        <v>557</v>
      </c>
      <c r="B92" s="537" t="s">
        <v>706</v>
      </c>
      <c r="C92" s="538"/>
      <c r="D92" s="538"/>
      <c r="E92" s="535">
        <f>+E93</f>
        <v>5000000</v>
      </c>
      <c r="F92" s="535"/>
      <c r="G92" s="538"/>
      <c r="H92" s="538"/>
      <c r="I92" s="535">
        <f>+I93</f>
        <v>5000000</v>
      </c>
      <c r="J92" s="538"/>
      <c r="K92" s="538"/>
      <c r="L92" s="535">
        <f>+L93</f>
        <v>5000000</v>
      </c>
      <c r="M92" s="538"/>
      <c r="N92" s="538"/>
      <c r="O92" s="535">
        <f>+O93</f>
        <v>5000000</v>
      </c>
      <c r="P92" s="538"/>
      <c r="Q92" s="538"/>
      <c r="R92" s="535">
        <f>+R93</f>
        <v>3900000</v>
      </c>
      <c r="S92" s="875">
        <v>5206</v>
      </c>
    </row>
    <row r="93" spans="1:19" x14ac:dyDescent="0.25">
      <c r="A93" s="378"/>
      <c r="B93" s="365" t="s">
        <v>292</v>
      </c>
      <c r="C93" s="444"/>
      <c r="D93" s="444"/>
      <c r="E93" s="443">
        <v>5000000</v>
      </c>
      <c r="F93" s="443"/>
      <c r="G93" s="444"/>
      <c r="H93" s="444"/>
      <c r="I93" s="443">
        <v>5000000</v>
      </c>
      <c r="J93" s="444"/>
      <c r="K93" s="444"/>
      <c r="L93" s="443">
        <v>5000000</v>
      </c>
      <c r="M93" s="444"/>
      <c r="N93" s="444"/>
      <c r="O93" s="495">
        <v>5000000</v>
      </c>
      <c r="P93" s="496"/>
      <c r="Q93" s="496"/>
      <c r="R93" s="495">
        <v>3900000</v>
      </c>
    </row>
    <row r="94" spans="1:19" s="876" customFormat="1" x14ac:dyDescent="0.25">
      <c r="A94" s="536" t="s">
        <v>559</v>
      </c>
      <c r="B94" s="537" t="s">
        <v>707</v>
      </c>
      <c r="C94" s="538"/>
      <c r="D94" s="538"/>
      <c r="E94" s="535">
        <f>+E95</f>
        <v>5810400</v>
      </c>
      <c r="F94" s="535"/>
      <c r="G94" s="538"/>
      <c r="H94" s="538"/>
      <c r="I94" s="535">
        <f>+I95</f>
        <v>5810400</v>
      </c>
      <c r="J94" s="538"/>
      <c r="K94" s="538"/>
      <c r="L94" s="535">
        <f>+L95</f>
        <v>5810400</v>
      </c>
      <c r="M94" s="538"/>
      <c r="N94" s="538"/>
      <c r="O94" s="535">
        <f>+O95</f>
        <v>5810400</v>
      </c>
      <c r="P94" s="538"/>
      <c r="Q94" s="538"/>
      <c r="R94" s="535">
        <f>+R95</f>
        <v>2246400</v>
      </c>
      <c r="S94" s="876">
        <v>5207</v>
      </c>
    </row>
    <row r="95" spans="1:19" x14ac:dyDescent="0.25">
      <c r="A95" s="378"/>
      <c r="B95" s="365" t="s">
        <v>292</v>
      </c>
      <c r="C95" s="444"/>
      <c r="D95" s="444"/>
      <c r="E95" s="443">
        <f>3550000+1032000+1228400</f>
        <v>5810400</v>
      </c>
      <c r="F95" s="443"/>
      <c r="G95" s="444"/>
      <c r="H95" s="444"/>
      <c r="I95" s="443">
        <f>3550000+1032000+1228400</f>
        <v>5810400</v>
      </c>
      <c r="J95" s="444"/>
      <c r="K95" s="444"/>
      <c r="L95" s="443">
        <f>3550000+1032000+1228400</f>
        <v>5810400</v>
      </c>
      <c r="M95" s="444"/>
      <c r="N95" s="444"/>
      <c r="O95" s="495">
        <f>3550000+1032000+1228400</f>
        <v>5810400</v>
      </c>
      <c r="P95" s="496"/>
      <c r="Q95" s="496"/>
      <c r="R95" s="495">
        <v>2246400</v>
      </c>
    </row>
    <row r="96" spans="1:19" s="877" customFormat="1" x14ac:dyDescent="0.25">
      <c r="A96" s="536" t="s">
        <v>561</v>
      </c>
      <c r="B96" s="883" t="s">
        <v>708</v>
      </c>
      <c r="C96" s="884"/>
      <c r="D96" s="884"/>
      <c r="E96" s="885">
        <f>+E97</f>
        <v>1080000</v>
      </c>
      <c r="F96" s="885"/>
      <c r="G96" s="884"/>
      <c r="H96" s="884"/>
      <c r="I96" s="885">
        <f>+I97</f>
        <v>1080000</v>
      </c>
      <c r="J96" s="884"/>
      <c r="K96" s="884"/>
      <c r="L96" s="885">
        <f>+L97</f>
        <v>1080000</v>
      </c>
      <c r="M96" s="884"/>
      <c r="N96" s="884"/>
      <c r="O96" s="885">
        <f>+O97</f>
        <v>1080000</v>
      </c>
      <c r="P96" s="884"/>
      <c r="Q96" s="884"/>
      <c r="R96" s="885">
        <f>+R97</f>
        <v>0</v>
      </c>
      <c r="S96" s="877">
        <v>5208</v>
      </c>
    </row>
    <row r="97" spans="1:19" s="382" customFormat="1" x14ac:dyDescent="0.25">
      <c r="A97" s="378"/>
      <c r="B97" s="380" t="s">
        <v>292</v>
      </c>
      <c r="C97" s="446"/>
      <c r="D97" s="446"/>
      <c r="E97" s="445">
        <v>1080000</v>
      </c>
      <c r="F97" s="445"/>
      <c r="G97" s="446"/>
      <c r="H97" s="446"/>
      <c r="I97" s="445">
        <v>1080000</v>
      </c>
      <c r="J97" s="446"/>
      <c r="K97" s="446"/>
      <c r="L97" s="445">
        <v>1080000</v>
      </c>
      <c r="M97" s="446"/>
      <c r="N97" s="446"/>
      <c r="O97" s="704">
        <v>1080000</v>
      </c>
      <c r="P97" s="705"/>
      <c r="Q97" s="705"/>
      <c r="R97" s="704">
        <v>0</v>
      </c>
    </row>
    <row r="98" spans="1:19" s="381" customFormat="1" x14ac:dyDescent="0.25">
      <c r="A98" s="375" t="s">
        <v>562</v>
      </c>
      <c r="B98" s="376" t="s">
        <v>709</v>
      </c>
      <c r="C98" s="442"/>
      <c r="D98" s="442"/>
      <c r="E98" s="441">
        <f>+E99</f>
        <v>0</v>
      </c>
      <c r="F98" s="441"/>
      <c r="G98" s="442"/>
      <c r="H98" s="442"/>
      <c r="I98" s="441">
        <f>+I99</f>
        <v>0</v>
      </c>
      <c r="J98" s="442"/>
      <c r="K98" s="442"/>
      <c r="L98" s="441">
        <f>+L99</f>
        <v>0</v>
      </c>
      <c r="M98" s="442"/>
      <c r="N98" s="442"/>
      <c r="O98" s="535">
        <f>+O99</f>
        <v>0</v>
      </c>
      <c r="P98" s="538"/>
      <c r="Q98" s="538"/>
      <c r="R98" s="535">
        <f>+R99</f>
        <v>0</v>
      </c>
    </row>
    <row r="99" spans="1:19" x14ac:dyDescent="0.25">
      <c r="A99" s="378"/>
      <c r="B99" s="365" t="s">
        <v>292</v>
      </c>
      <c r="C99" s="444"/>
      <c r="D99" s="444"/>
      <c r="E99" s="443"/>
      <c r="F99" s="443"/>
      <c r="G99" s="444"/>
      <c r="H99" s="444"/>
      <c r="I99" s="443"/>
      <c r="J99" s="444"/>
      <c r="K99" s="444"/>
      <c r="L99" s="443"/>
      <c r="M99" s="444"/>
      <c r="N99" s="444"/>
      <c r="O99" s="495"/>
      <c r="P99" s="496"/>
      <c r="Q99" s="496"/>
      <c r="R99" s="495"/>
    </row>
    <row r="100" spans="1:19" s="875" customFormat="1" x14ac:dyDescent="0.25">
      <c r="A100" s="536" t="s">
        <v>564</v>
      </c>
      <c r="B100" s="537" t="s">
        <v>710</v>
      </c>
      <c r="C100" s="538"/>
      <c r="D100" s="538"/>
      <c r="E100" s="535">
        <f>+E101</f>
        <v>2286000</v>
      </c>
      <c r="F100" s="535"/>
      <c r="G100" s="538"/>
      <c r="H100" s="538"/>
      <c r="I100" s="535">
        <f>+I101</f>
        <v>2286000</v>
      </c>
      <c r="J100" s="538"/>
      <c r="K100" s="538"/>
      <c r="L100" s="535">
        <f>+L101</f>
        <v>2286000</v>
      </c>
      <c r="M100" s="538"/>
      <c r="N100" s="538"/>
      <c r="O100" s="535">
        <f>+O101</f>
        <v>2286000</v>
      </c>
      <c r="P100" s="538"/>
      <c r="Q100" s="538"/>
      <c r="R100" s="535">
        <f>+R101</f>
        <v>2286000</v>
      </c>
      <c r="S100" s="875">
        <v>5210</v>
      </c>
    </row>
    <row r="101" spans="1:19" x14ac:dyDescent="0.25">
      <c r="A101" s="378"/>
      <c r="B101" s="365" t="s">
        <v>292</v>
      </c>
      <c r="C101" s="444"/>
      <c r="D101" s="444"/>
      <c r="E101" s="443">
        <f>1800000+486000</f>
        <v>2286000</v>
      </c>
      <c r="F101" s="443"/>
      <c r="G101" s="444"/>
      <c r="H101" s="444"/>
      <c r="I101" s="443">
        <f>1800000+486000</f>
        <v>2286000</v>
      </c>
      <c r="J101" s="444"/>
      <c r="K101" s="444"/>
      <c r="L101" s="443">
        <f>1800000+486000</f>
        <v>2286000</v>
      </c>
      <c r="M101" s="444"/>
      <c r="N101" s="444"/>
      <c r="O101" s="495">
        <f>1800000+486000</f>
        <v>2286000</v>
      </c>
      <c r="P101" s="496"/>
      <c r="Q101" s="496"/>
      <c r="R101" s="495">
        <f>1800000+486000</f>
        <v>2286000</v>
      </c>
    </row>
    <row r="102" spans="1:19" s="875" customFormat="1" x14ac:dyDescent="0.25">
      <c r="A102" s="536" t="s">
        <v>566</v>
      </c>
      <c r="B102" s="537" t="s">
        <v>711</v>
      </c>
      <c r="C102" s="538"/>
      <c r="D102" s="538"/>
      <c r="E102" s="535">
        <f>+E103</f>
        <v>2420000</v>
      </c>
      <c r="F102" s="535"/>
      <c r="G102" s="538"/>
      <c r="H102" s="538"/>
      <c r="I102" s="535">
        <f>+I103</f>
        <v>2420000</v>
      </c>
      <c r="J102" s="538"/>
      <c r="K102" s="538"/>
      <c r="L102" s="535">
        <f>+L103</f>
        <v>2420000</v>
      </c>
      <c r="M102" s="538"/>
      <c r="N102" s="538"/>
      <c r="O102" s="535">
        <f>+O103</f>
        <v>2420000</v>
      </c>
      <c r="P102" s="538"/>
      <c r="Q102" s="538"/>
      <c r="R102" s="535">
        <f>+R103</f>
        <v>2419608</v>
      </c>
      <c r="S102" s="875">
        <v>5211</v>
      </c>
    </row>
    <row r="103" spans="1:19" x14ac:dyDescent="0.25">
      <c r="A103" s="378"/>
      <c r="B103" s="365" t="s">
        <v>292</v>
      </c>
      <c r="C103" s="444"/>
      <c r="D103" s="444"/>
      <c r="E103" s="443">
        <f>1905000+515000</f>
        <v>2420000</v>
      </c>
      <c r="F103" s="443"/>
      <c r="G103" s="444"/>
      <c r="H103" s="444"/>
      <c r="I103" s="443">
        <f>1905000+515000</f>
        <v>2420000</v>
      </c>
      <c r="J103" s="444"/>
      <c r="K103" s="444"/>
      <c r="L103" s="443">
        <f>1905000+515000</f>
        <v>2420000</v>
      </c>
      <c r="M103" s="444"/>
      <c r="N103" s="444"/>
      <c r="O103" s="495">
        <f>1905000+515000</f>
        <v>2420000</v>
      </c>
      <c r="P103" s="496"/>
      <c r="Q103" s="496"/>
      <c r="R103" s="495">
        <v>2419608</v>
      </c>
    </row>
    <row r="104" spans="1:19" s="876" customFormat="1" x14ac:dyDescent="0.25">
      <c r="A104" s="536" t="s">
        <v>567</v>
      </c>
      <c r="B104" s="537" t="s">
        <v>712</v>
      </c>
      <c r="C104" s="538"/>
      <c r="D104" s="538"/>
      <c r="E104" s="535">
        <f>+E105</f>
        <v>2400000</v>
      </c>
      <c r="F104" s="535"/>
      <c r="G104" s="538"/>
      <c r="H104" s="538"/>
      <c r="I104" s="535">
        <f>+I105</f>
        <v>2400000</v>
      </c>
      <c r="J104" s="538"/>
      <c r="K104" s="538"/>
      <c r="L104" s="535">
        <f>+L105</f>
        <v>2400000</v>
      </c>
      <c r="M104" s="538"/>
      <c r="N104" s="538"/>
      <c r="O104" s="535">
        <f>+O105</f>
        <v>2400000</v>
      </c>
      <c r="P104" s="538"/>
      <c r="Q104" s="538"/>
      <c r="R104" s="535">
        <f>+R105</f>
        <v>610200</v>
      </c>
      <c r="S104" s="876">
        <v>5212</v>
      </c>
    </row>
    <row r="105" spans="1:19" s="532" customFormat="1" x14ac:dyDescent="0.25">
      <c r="A105" s="378"/>
      <c r="B105" s="539" t="s">
        <v>292</v>
      </c>
      <c r="C105" s="496"/>
      <c r="D105" s="496"/>
      <c r="E105" s="495">
        <v>2400000</v>
      </c>
      <c r="F105" s="495"/>
      <c r="G105" s="496"/>
      <c r="H105" s="496"/>
      <c r="I105" s="495">
        <v>2400000</v>
      </c>
      <c r="J105" s="496"/>
      <c r="K105" s="496"/>
      <c r="L105" s="495">
        <v>2400000</v>
      </c>
      <c r="M105" s="496"/>
      <c r="N105" s="496"/>
      <c r="O105" s="495">
        <v>2400000</v>
      </c>
      <c r="P105" s="496"/>
      <c r="Q105" s="496"/>
      <c r="R105" s="495">
        <v>610200</v>
      </c>
    </row>
    <row r="106" spans="1:19" s="875" customFormat="1" x14ac:dyDescent="0.25">
      <c r="A106" s="536" t="s">
        <v>569</v>
      </c>
      <c r="B106" s="537" t="s">
        <v>713</v>
      </c>
      <c r="C106" s="538"/>
      <c r="D106" s="538"/>
      <c r="E106" s="535">
        <f>+E107+E108+E109</f>
        <v>2540000</v>
      </c>
      <c r="F106" s="535"/>
      <c r="G106" s="538"/>
      <c r="H106" s="538"/>
      <c r="I106" s="535">
        <f>+I107+I108+I109</f>
        <v>2540000</v>
      </c>
      <c r="J106" s="538"/>
      <c r="K106" s="538"/>
      <c r="L106" s="535">
        <f>+L107+L108+L109</f>
        <v>2540000</v>
      </c>
      <c r="M106" s="538"/>
      <c r="N106" s="538"/>
      <c r="O106" s="535">
        <f>+O107+O108+O109</f>
        <v>2540000</v>
      </c>
      <c r="P106" s="538"/>
      <c r="Q106" s="538"/>
      <c r="R106" s="535">
        <f>+R107+R108+R109</f>
        <v>0</v>
      </c>
      <c r="S106" s="875">
        <v>5213</v>
      </c>
    </row>
    <row r="107" spans="1:19" s="381" customFormat="1" x14ac:dyDescent="0.25">
      <c r="A107" s="375"/>
      <c r="B107" s="365" t="s">
        <v>286</v>
      </c>
      <c r="C107" s="538"/>
      <c r="D107" s="538"/>
      <c r="E107" s="535"/>
      <c r="F107" s="535"/>
      <c r="G107" s="538"/>
      <c r="H107" s="538"/>
      <c r="I107" s="535"/>
      <c r="J107" s="538"/>
      <c r="K107" s="538"/>
      <c r="L107" s="535"/>
      <c r="M107" s="538"/>
      <c r="N107" s="538"/>
      <c r="O107" s="535"/>
      <c r="P107" s="538"/>
      <c r="Q107" s="538"/>
      <c r="R107" s="535"/>
    </row>
    <row r="108" spans="1:19" s="381" customFormat="1" x14ac:dyDescent="0.25">
      <c r="A108" s="375"/>
      <c r="B108" s="365" t="s">
        <v>287</v>
      </c>
      <c r="C108" s="538"/>
      <c r="D108" s="538"/>
      <c r="E108" s="535"/>
      <c r="F108" s="535"/>
      <c r="G108" s="538"/>
      <c r="H108" s="538"/>
      <c r="I108" s="535"/>
      <c r="J108" s="538"/>
      <c r="K108" s="538"/>
      <c r="L108" s="535"/>
      <c r="M108" s="538"/>
      <c r="N108" s="538"/>
      <c r="O108" s="535"/>
      <c r="P108" s="538"/>
      <c r="Q108" s="538"/>
      <c r="R108" s="535"/>
    </row>
    <row r="109" spans="1:19" x14ac:dyDescent="0.25">
      <c r="A109" s="378"/>
      <c r="B109" s="539" t="s">
        <v>292</v>
      </c>
      <c r="C109" s="496"/>
      <c r="D109" s="496"/>
      <c r="E109" s="495">
        <f>2000000+540000</f>
        <v>2540000</v>
      </c>
      <c r="F109" s="495"/>
      <c r="G109" s="496"/>
      <c r="H109" s="496"/>
      <c r="I109" s="495">
        <f>2000000+540000</f>
        <v>2540000</v>
      </c>
      <c r="J109" s="496"/>
      <c r="K109" s="496"/>
      <c r="L109" s="495">
        <f>2000000+540000</f>
        <v>2540000</v>
      </c>
      <c r="M109" s="496"/>
      <c r="N109" s="496"/>
      <c r="O109" s="495">
        <f>2000000+540000</f>
        <v>2540000</v>
      </c>
      <c r="P109" s="496"/>
      <c r="Q109" s="496"/>
      <c r="R109" s="495">
        <v>0</v>
      </c>
    </row>
    <row r="110" spans="1:19" s="876" customFormat="1" x14ac:dyDescent="0.25">
      <c r="A110" s="536" t="s">
        <v>570</v>
      </c>
      <c r="B110" s="537" t="s">
        <v>714</v>
      </c>
      <c r="C110" s="538"/>
      <c r="D110" s="538"/>
      <c r="E110" s="535">
        <f>SUM(E111:E114)</f>
        <v>17819045</v>
      </c>
      <c r="F110" s="535"/>
      <c r="G110" s="538"/>
      <c r="H110" s="538"/>
      <c r="I110" s="535">
        <f>SUM(I111:I114)</f>
        <v>19446133</v>
      </c>
      <c r="J110" s="538"/>
      <c r="K110" s="538"/>
      <c r="L110" s="535">
        <f>SUM(L111:L114)</f>
        <v>19446133</v>
      </c>
      <c r="M110" s="538"/>
      <c r="N110" s="538"/>
      <c r="O110" s="535">
        <f>SUM(O111:O114)</f>
        <v>19446133</v>
      </c>
      <c r="P110" s="538"/>
      <c r="Q110" s="538"/>
      <c r="R110" s="535">
        <f>SUM(R111:R114)</f>
        <v>18413298</v>
      </c>
      <c r="S110" s="876">
        <v>5214</v>
      </c>
    </row>
    <row r="111" spans="1:19" s="532" customFormat="1" x14ac:dyDescent="0.25">
      <c r="A111" s="378"/>
      <c r="B111" s="539" t="s">
        <v>286</v>
      </c>
      <c r="C111" s="496"/>
      <c r="D111" s="496"/>
      <c r="E111" s="495"/>
      <c r="F111" s="495"/>
      <c r="G111" s="496"/>
      <c r="H111" s="496"/>
      <c r="I111" s="495"/>
      <c r="J111" s="496"/>
      <c r="K111" s="496"/>
      <c r="L111" s="495"/>
      <c r="M111" s="496"/>
      <c r="N111" s="496"/>
      <c r="O111" s="495"/>
      <c r="P111" s="496"/>
      <c r="Q111" s="496"/>
      <c r="R111" s="495"/>
    </row>
    <row r="112" spans="1:19" s="532" customFormat="1" x14ac:dyDescent="0.25">
      <c r="A112" s="378"/>
      <c r="B112" s="539" t="s">
        <v>287</v>
      </c>
      <c r="C112" s="496"/>
      <c r="D112" s="496"/>
      <c r="E112" s="495"/>
      <c r="F112" s="495"/>
      <c r="G112" s="496"/>
      <c r="H112" s="496"/>
      <c r="I112" s="495"/>
      <c r="J112" s="496"/>
      <c r="K112" s="496"/>
      <c r="L112" s="495"/>
      <c r="M112" s="496"/>
      <c r="N112" s="496"/>
      <c r="O112" s="495"/>
      <c r="P112" s="496"/>
      <c r="Q112" s="496"/>
      <c r="R112" s="495"/>
    </row>
    <row r="113" spans="1:19" s="532" customFormat="1" x14ac:dyDescent="0.25">
      <c r="A113" s="533"/>
      <c r="B113" s="539" t="s">
        <v>292</v>
      </c>
      <c r="C113" s="496"/>
      <c r="D113" s="496"/>
      <c r="E113" s="495">
        <v>17819045</v>
      </c>
      <c r="F113" s="495"/>
      <c r="G113" s="496"/>
      <c r="H113" s="496"/>
      <c r="I113" s="495">
        <f>17819045+1281172+345916</f>
        <v>19446133</v>
      </c>
      <c r="J113" s="496"/>
      <c r="K113" s="496"/>
      <c r="L113" s="495">
        <f>17819045+1281172+345916</f>
        <v>19446133</v>
      </c>
      <c r="M113" s="496"/>
      <c r="N113" s="496"/>
      <c r="O113" s="495">
        <f>17819045+1281172+345916</f>
        <v>19446133</v>
      </c>
      <c r="P113" s="496"/>
      <c r="Q113" s="496"/>
      <c r="R113" s="495">
        <v>18413298</v>
      </c>
    </row>
    <row r="114" spans="1:19" s="532" customFormat="1" x14ac:dyDescent="0.25">
      <c r="A114" s="533"/>
      <c r="B114" s="539" t="s">
        <v>351</v>
      </c>
      <c r="C114" s="496"/>
      <c r="D114" s="496"/>
      <c r="E114" s="495"/>
      <c r="F114" s="495"/>
      <c r="G114" s="496"/>
      <c r="H114" s="496"/>
      <c r="I114" s="495"/>
      <c r="J114" s="496"/>
      <c r="K114" s="496"/>
      <c r="L114" s="495"/>
      <c r="M114" s="496"/>
      <c r="N114" s="496"/>
      <c r="O114" s="495"/>
      <c r="P114" s="496"/>
      <c r="Q114" s="496"/>
      <c r="R114" s="495"/>
    </row>
    <row r="115" spans="1:19" s="877" customFormat="1" ht="30" x14ac:dyDescent="0.25">
      <c r="A115" s="536" t="s">
        <v>571</v>
      </c>
      <c r="B115" s="883" t="s">
        <v>1271</v>
      </c>
      <c r="C115" s="884"/>
      <c r="D115" s="884"/>
      <c r="E115" s="885">
        <f>+E116</f>
        <v>8163000</v>
      </c>
      <c r="F115" s="885"/>
      <c r="G115" s="884"/>
      <c r="H115" s="884"/>
      <c r="I115" s="885">
        <f>+I116</f>
        <v>8163000</v>
      </c>
      <c r="J115" s="884"/>
      <c r="K115" s="884"/>
      <c r="L115" s="885">
        <f>+L116</f>
        <v>8163000</v>
      </c>
      <c r="M115" s="884"/>
      <c r="N115" s="884"/>
      <c r="O115" s="885">
        <f>+O116</f>
        <v>8163000</v>
      </c>
      <c r="P115" s="884"/>
      <c r="Q115" s="884"/>
      <c r="R115" s="885">
        <f>+R116</f>
        <v>8163000</v>
      </c>
      <c r="S115" s="893">
        <v>5215</v>
      </c>
    </row>
    <row r="116" spans="1:19" x14ac:dyDescent="0.25">
      <c r="A116" s="378"/>
      <c r="B116" s="365" t="s">
        <v>1272</v>
      </c>
      <c r="C116" s="444"/>
      <c r="D116" s="444"/>
      <c r="E116" s="443">
        <v>8163000</v>
      </c>
      <c r="F116" s="443"/>
      <c r="G116" s="444"/>
      <c r="H116" s="444"/>
      <c r="I116" s="443">
        <v>8163000</v>
      </c>
      <c r="J116" s="444"/>
      <c r="K116" s="444"/>
      <c r="L116" s="443">
        <v>8163000</v>
      </c>
      <c r="M116" s="444"/>
      <c r="N116" s="444"/>
      <c r="O116" s="495">
        <v>8163000</v>
      </c>
      <c r="P116" s="496"/>
      <c r="Q116" s="496"/>
      <c r="R116" s="495">
        <v>8163000</v>
      </c>
    </row>
    <row r="117" spans="1:19" s="875" customFormat="1" x14ac:dyDescent="0.25">
      <c r="A117" s="536" t="s">
        <v>715</v>
      </c>
      <c r="B117" s="537" t="s">
        <v>717</v>
      </c>
      <c r="C117" s="538"/>
      <c r="D117" s="538"/>
      <c r="E117" s="535">
        <f>+E118+E119</f>
        <v>3024000</v>
      </c>
      <c r="F117" s="535"/>
      <c r="G117" s="538"/>
      <c r="H117" s="538"/>
      <c r="I117" s="535">
        <f>+I118+I119</f>
        <v>3024000</v>
      </c>
      <c r="J117" s="538"/>
      <c r="K117" s="538"/>
      <c r="L117" s="535">
        <f>+L118+L119</f>
        <v>3024000</v>
      </c>
      <c r="M117" s="538"/>
      <c r="N117" s="538"/>
      <c r="O117" s="535">
        <f>+O118+O119</f>
        <v>3024000</v>
      </c>
      <c r="P117" s="538"/>
      <c r="Q117" s="538"/>
      <c r="R117" s="535">
        <f>+R118+R119</f>
        <v>0</v>
      </c>
      <c r="S117" s="875">
        <v>5216</v>
      </c>
    </row>
    <row r="118" spans="1:19" x14ac:dyDescent="0.25">
      <c r="A118" s="378"/>
      <c r="B118" s="539" t="s">
        <v>292</v>
      </c>
      <c r="C118" s="444"/>
      <c r="D118" s="444"/>
      <c r="E118" s="443"/>
      <c r="F118" s="443"/>
      <c r="G118" s="444"/>
      <c r="H118" s="444"/>
      <c r="I118" s="443"/>
      <c r="J118" s="444"/>
      <c r="K118" s="444"/>
      <c r="L118" s="443"/>
      <c r="M118" s="444"/>
      <c r="N118" s="444"/>
      <c r="O118" s="495"/>
      <c r="P118" s="496"/>
      <c r="Q118" s="496"/>
      <c r="R118" s="495"/>
    </row>
    <row r="119" spans="1:19" x14ac:dyDescent="0.25">
      <c r="A119" s="378"/>
      <c r="B119" s="365" t="s">
        <v>1272</v>
      </c>
      <c r="C119" s="444"/>
      <c r="D119" s="444"/>
      <c r="E119" s="443">
        <f>336000*9</f>
        <v>3024000</v>
      </c>
      <c r="F119" s="443"/>
      <c r="G119" s="444"/>
      <c r="H119" s="444"/>
      <c r="I119" s="443">
        <f>336000*9</f>
        <v>3024000</v>
      </c>
      <c r="J119" s="444"/>
      <c r="K119" s="444"/>
      <c r="L119" s="443">
        <f>336000*9</f>
        <v>3024000</v>
      </c>
      <c r="M119" s="444"/>
      <c r="N119" s="444"/>
      <c r="O119" s="495">
        <f>336000*9</f>
        <v>3024000</v>
      </c>
      <c r="P119" s="496"/>
      <c r="Q119" s="496"/>
      <c r="R119" s="495">
        <v>0</v>
      </c>
    </row>
    <row r="120" spans="1:19" s="875" customFormat="1" ht="31.5" customHeight="1" x14ac:dyDescent="0.25">
      <c r="A120" s="536" t="s">
        <v>716</v>
      </c>
      <c r="B120" s="883" t="s">
        <v>1346</v>
      </c>
      <c r="C120" s="538"/>
      <c r="D120" s="538"/>
      <c r="E120" s="535">
        <f>+E121</f>
        <v>32945000</v>
      </c>
      <c r="F120" s="535"/>
      <c r="G120" s="538"/>
      <c r="H120" s="538"/>
      <c r="I120" s="535">
        <f>+I121</f>
        <v>32945000</v>
      </c>
      <c r="J120" s="538"/>
      <c r="K120" s="538"/>
      <c r="L120" s="535">
        <f>+L121</f>
        <v>32945000</v>
      </c>
      <c r="M120" s="538"/>
      <c r="N120" s="538"/>
      <c r="O120" s="535">
        <f>+O121</f>
        <v>32945000</v>
      </c>
      <c r="P120" s="538"/>
      <c r="Q120" s="538"/>
      <c r="R120" s="535">
        <f>+R121</f>
        <v>32000000</v>
      </c>
      <c r="S120" s="875">
        <v>5217</v>
      </c>
    </row>
    <row r="121" spans="1:19" x14ac:dyDescent="0.25">
      <c r="A121" s="378"/>
      <c r="B121" s="365" t="s">
        <v>1272</v>
      </c>
      <c r="C121" s="444"/>
      <c r="D121" s="444"/>
      <c r="E121" s="443">
        <f>+E122+E123</f>
        <v>32945000</v>
      </c>
      <c r="F121" s="443"/>
      <c r="G121" s="444"/>
      <c r="H121" s="444"/>
      <c r="I121" s="443">
        <f>+I122+I123</f>
        <v>32945000</v>
      </c>
      <c r="J121" s="444"/>
      <c r="K121" s="444"/>
      <c r="L121" s="443">
        <f>+L122+L123</f>
        <v>32945000</v>
      </c>
      <c r="M121" s="444"/>
      <c r="N121" s="444"/>
      <c r="O121" s="495">
        <f>+O122+O123</f>
        <v>32945000</v>
      </c>
      <c r="P121" s="496"/>
      <c r="Q121" s="496"/>
      <c r="R121" s="495">
        <v>32000000</v>
      </c>
    </row>
    <row r="122" spans="1:19" x14ac:dyDescent="0.25">
      <c r="A122" s="378"/>
      <c r="B122" s="365" t="s">
        <v>1339</v>
      </c>
      <c r="C122" s="444"/>
      <c r="D122" s="444"/>
      <c r="E122" s="443">
        <v>5000000</v>
      </c>
      <c r="F122" s="443"/>
      <c r="G122" s="444"/>
      <c r="H122" s="444"/>
      <c r="I122" s="443">
        <v>5000000</v>
      </c>
      <c r="J122" s="444"/>
      <c r="K122" s="444"/>
      <c r="L122" s="443">
        <v>5000000</v>
      </c>
      <c r="M122" s="444"/>
      <c r="N122" s="444"/>
      <c r="O122" s="495">
        <v>5000000</v>
      </c>
      <c r="P122" s="496"/>
      <c r="Q122" s="496"/>
      <c r="R122" s="495">
        <v>5000000</v>
      </c>
    </row>
    <row r="123" spans="1:19" x14ac:dyDescent="0.25">
      <c r="A123" s="378"/>
      <c r="B123" s="365" t="s">
        <v>1340</v>
      </c>
      <c r="C123" s="444"/>
      <c r="D123" s="444"/>
      <c r="E123" s="443">
        <f>27000000+714000+231000</f>
        <v>27945000</v>
      </c>
      <c r="F123" s="443"/>
      <c r="G123" s="444"/>
      <c r="H123" s="444"/>
      <c r="I123" s="443">
        <f>27000000+714000+231000</f>
        <v>27945000</v>
      </c>
      <c r="J123" s="444"/>
      <c r="K123" s="444"/>
      <c r="L123" s="443">
        <f>27000000+714000+231000</f>
        <v>27945000</v>
      </c>
      <c r="M123" s="444"/>
      <c r="N123" s="444"/>
      <c r="O123" s="495">
        <f>27000000+714000+231000</f>
        <v>27945000</v>
      </c>
      <c r="P123" s="496"/>
      <c r="Q123" s="496"/>
      <c r="R123" s="495">
        <f>27000000+714000+231000-945000</f>
        <v>27000000</v>
      </c>
    </row>
    <row r="124" spans="1:19" s="875" customFormat="1" x14ac:dyDescent="0.25">
      <c r="A124" s="536" t="s">
        <v>718</v>
      </c>
      <c r="B124" s="537" t="s">
        <v>721</v>
      </c>
      <c r="C124" s="538"/>
      <c r="D124" s="538"/>
      <c r="E124" s="535">
        <f>+E125</f>
        <v>2000000</v>
      </c>
      <c r="F124" s="535"/>
      <c r="G124" s="538"/>
      <c r="H124" s="538"/>
      <c r="I124" s="535">
        <f>+I125</f>
        <v>2000000</v>
      </c>
      <c r="J124" s="538"/>
      <c r="K124" s="538"/>
      <c r="L124" s="535">
        <f>+L125</f>
        <v>2000000</v>
      </c>
      <c r="M124" s="538"/>
      <c r="N124" s="538"/>
      <c r="O124" s="535">
        <f>+O125</f>
        <v>2100000</v>
      </c>
      <c r="P124" s="538"/>
      <c r="Q124" s="538"/>
      <c r="R124" s="535">
        <f>+R125</f>
        <v>2100000</v>
      </c>
      <c r="S124" s="875">
        <v>5218</v>
      </c>
    </row>
    <row r="125" spans="1:19" x14ac:dyDescent="0.25">
      <c r="A125" s="378"/>
      <c r="B125" s="365" t="s">
        <v>1272</v>
      </c>
      <c r="C125" s="444"/>
      <c r="D125" s="444"/>
      <c r="E125" s="443">
        <v>2000000</v>
      </c>
      <c r="F125" s="443"/>
      <c r="G125" s="444"/>
      <c r="H125" s="444"/>
      <c r="I125" s="443">
        <v>2000000</v>
      </c>
      <c r="J125" s="444"/>
      <c r="K125" s="444"/>
      <c r="L125" s="443">
        <v>2000000</v>
      </c>
      <c r="M125" s="444"/>
      <c r="N125" s="444"/>
      <c r="O125" s="495">
        <f>2000000+100000</f>
        <v>2100000</v>
      </c>
      <c r="P125" s="496"/>
      <c r="Q125" s="496"/>
      <c r="R125" s="495">
        <f>2000000+100000</f>
        <v>2100000</v>
      </c>
    </row>
    <row r="126" spans="1:19" s="875" customFormat="1" x14ac:dyDescent="0.25">
      <c r="A126" s="536" t="s">
        <v>719</v>
      </c>
      <c r="B126" s="537" t="s">
        <v>723</v>
      </c>
      <c r="C126" s="538"/>
      <c r="D126" s="538"/>
      <c r="E126" s="535">
        <f>+E127</f>
        <v>200000</v>
      </c>
      <c r="F126" s="535"/>
      <c r="G126" s="538"/>
      <c r="H126" s="538"/>
      <c r="I126" s="535">
        <f>+I127</f>
        <v>200000</v>
      </c>
      <c r="J126" s="538"/>
      <c r="K126" s="538"/>
      <c r="L126" s="535">
        <f>+L127</f>
        <v>200000</v>
      </c>
      <c r="M126" s="538"/>
      <c r="N126" s="538"/>
      <c r="O126" s="535">
        <f>+O127</f>
        <v>200000</v>
      </c>
      <c r="P126" s="538"/>
      <c r="Q126" s="538"/>
      <c r="R126" s="535">
        <f>+R127</f>
        <v>200000</v>
      </c>
      <c r="S126" s="875">
        <v>5219</v>
      </c>
    </row>
    <row r="127" spans="1:19" x14ac:dyDescent="0.25">
      <c r="A127" s="378"/>
      <c r="B127" s="365" t="s">
        <v>1272</v>
      </c>
      <c r="C127" s="444"/>
      <c r="D127" s="444"/>
      <c r="E127" s="443">
        <v>200000</v>
      </c>
      <c r="F127" s="443"/>
      <c r="G127" s="444"/>
      <c r="H127" s="444"/>
      <c r="I127" s="443">
        <v>200000</v>
      </c>
      <c r="J127" s="444"/>
      <c r="K127" s="444"/>
      <c r="L127" s="443">
        <v>200000</v>
      </c>
      <c r="M127" s="444"/>
      <c r="N127" s="444"/>
      <c r="O127" s="495">
        <v>200000</v>
      </c>
      <c r="P127" s="496"/>
      <c r="Q127" s="496"/>
      <c r="R127" s="495">
        <v>200000</v>
      </c>
    </row>
    <row r="128" spans="1:19" s="875" customFormat="1" x14ac:dyDescent="0.25">
      <c r="A128" s="536" t="s">
        <v>720</v>
      </c>
      <c r="B128" s="537" t="s">
        <v>726</v>
      </c>
      <c r="C128" s="538"/>
      <c r="D128" s="538"/>
      <c r="E128" s="535">
        <f>+E129</f>
        <v>3000000</v>
      </c>
      <c r="F128" s="535"/>
      <c r="G128" s="538"/>
      <c r="H128" s="538"/>
      <c r="I128" s="535">
        <f>+I129</f>
        <v>3000000</v>
      </c>
      <c r="J128" s="538"/>
      <c r="K128" s="538"/>
      <c r="L128" s="535">
        <f>+L129</f>
        <v>3000000</v>
      </c>
      <c r="M128" s="538"/>
      <c r="N128" s="538"/>
      <c r="O128" s="535">
        <f>+O129</f>
        <v>6000000</v>
      </c>
      <c r="P128" s="538"/>
      <c r="Q128" s="538"/>
      <c r="R128" s="535">
        <f>+R129</f>
        <v>5999994</v>
      </c>
      <c r="S128" s="875">
        <v>5220</v>
      </c>
    </row>
    <row r="129" spans="1:19" x14ac:dyDescent="0.25">
      <c r="A129" s="378"/>
      <c r="B129" s="365" t="s">
        <v>1273</v>
      </c>
      <c r="C129" s="444"/>
      <c r="D129" s="444"/>
      <c r="E129" s="495">
        <v>3000000</v>
      </c>
      <c r="F129" s="495"/>
      <c r="G129" s="444"/>
      <c r="H129" s="444"/>
      <c r="I129" s="495">
        <v>3000000</v>
      </c>
      <c r="J129" s="444"/>
      <c r="K129" s="444"/>
      <c r="L129" s="495">
        <v>3000000</v>
      </c>
      <c r="M129" s="444"/>
      <c r="N129" s="444"/>
      <c r="O129" s="495">
        <f>3000000+3000000</f>
        <v>6000000</v>
      </c>
      <c r="P129" s="496"/>
      <c r="Q129" s="496"/>
      <c r="R129" s="495">
        <v>5999994</v>
      </c>
    </row>
    <row r="130" spans="1:19" s="875" customFormat="1" x14ac:dyDescent="0.25">
      <c r="A130" s="536" t="s">
        <v>722</v>
      </c>
      <c r="B130" s="537" t="s">
        <v>728</v>
      </c>
      <c r="C130" s="538"/>
      <c r="D130" s="538"/>
      <c r="E130" s="535">
        <f>+E131</f>
        <v>5400000</v>
      </c>
      <c r="F130" s="535"/>
      <c r="G130" s="538"/>
      <c r="H130" s="538"/>
      <c r="I130" s="535">
        <f>+I131</f>
        <v>5400000</v>
      </c>
      <c r="J130" s="538"/>
      <c r="K130" s="538"/>
      <c r="L130" s="535">
        <f>+L131</f>
        <v>5400000</v>
      </c>
      <c r="M130" s="538"/>
      <c r="N130" s="538"/>
      <c r="O130" s="535">
        <f>+O131</f>
        <v>6500000</v>
      </c>
      <c r="P130" s="538"/>
      <c r="Q130" s="538"/>
      <c r="R130" s="535">
        <f>+R131</f>
        <v>6500000</v>
      </c>
      <c r="S130" s="875">
        <v>5221</v>
      </c>
    </row>
    <row r="131" spans="1:19" x14ac:dyDescent="0.25">
      <c r="A131" s="378"/>
      <c r="B131" s="365" t="s">
        <v>1273</v>
      </c>
      <c r="C131" s="444"/>
      <c r="D131" s="444"/>
      <c r="E131" s="443">
        <v>5400000</v>
      </c>
      <c r="F131" s="443"/>
      <c r="G131" s="444"/>
      <c r="H131" s="444"/>
      <c r="I131" s="443">
        <v>5400000</v>
      </c>
      <c r="J131" s="444"/>
      <c r="K131" s="444"/>
      <c r="L131" s="443">
        <v>5400000</v>
      </c>
      <c r="M131" s="444"/>
      <c r="N131" s="444"/>
      <c r="O131" s="495">
        <f>5400000+1100000</f>
        <v>6500000</v>
      </c>
      <c r="P131" s="496"/>
      <c r="Q131" s="496"/>
      <c r="R131" s="495">
        <f>5400000+1100000</f>
        <v>6500000</v>
      </c>
    </row>
    <row r="132" spans="1:19" s="875" customFormat="1" x14ac:dyDescent="0.25">
      <c r="A132" s="536" t="s">
        <v>724</v>
      </c>
      <c r="B132" s="537" t="s">
        <v>730</v>
      </c>
      <c r="C132" s="538"/>
      <c r="D132" s="538"/>
      <c r="E132" s="535">
        <f>+E133</f>
        <v>400000</v>
      </c>
      <c r="F132" s="535"/>
      <c r="G132" s="538"/>
      <c r="H132" s="538"/>
      <c r="I132" s="535">
        <f>+I133</f>
        <v>400000</v>
      </c>
      <c r="J132" s="538"/>
      <c r="K132" s="538"/>
      <c r="L132" s="535">
        <f>+L133</f>
        <v>400000</v>
      </c>
      <c r="M132" s="538"/>
      <c r="N132" s="538"/>
      <c r="O132" s="535">
        <f>+O133</f>
        <v>400000</v>
      </c>
      <c r="P132" s="538"/>
      <c r="Q132" s="538"/>
      <c r="R132" s="535">
        <f>+R133</f>
        <v>400000</v>
      </c>
      <c r="S132" s="875">
        <v>5222</v>
      </c>
    </row>
    <row r="133" spans="1:19" x14ac:dyDescent="0.25">
      <c r="A133" s="378"/>
      <c r="B133" s="365" t="s">
        <v>1273</v>
      </c>
      <c r="C133" s="444"/>
      <c r="D133" s="444"/>
      <c r="E133" s="443">
        <v>400000</v>
      </c>
      <c r="F133" s="443"/>
      <c r="G133" s="444"/>
      <c r="H133" s="444"/>
      <c r="I133" s="443">
        <v>400000</v>
      </c>
      <c r="J133" s="444"/>
      <c r="K133" s="444"/>
      <c r="L133" s="443">
        <v>400000</v>
      </c>
      <c r="M133" s="444"/>
      <c r="N133" s="444"/>
      <c r="O133" s="495">
        <v>400000</v>
      </c>
      <c r="P133" s="496"/>
      <c r="Q133" s="496"/>
      <c r="R133" s="495">
        <v>400000</v>
      </c>
    </row>
    <row r="134" spans="1:19" s="875" customFormat="1" x14ac:dyDescent="0.25">
      <c r="A134" s="536" t="s">
        <v>725</v>
      </c>
      <c r="B134" s="537" t="s">
        <v>1371</v>
      </c>
      <c r="C134" s="538"/>
      <c r="D134" s="538"/>
      <c r="E134" s="535">
        <f>+E135+E136</f>
        <v>81300000</v>
      </c>
      <c r="F134" s="535"/>
      <c r="G134" s="538"/>
      <c r="H134" s="538"/>
      <c r="I134" s="535">
        <f>+I135+I136</f>
        <v>81300000</v>
      </c>
      <c r="J134" s="538"/>
      <c r="K134" s="538"/>
      <c r="L134" s="535">
        <f>+L135+L136</f>
        <v>81300000</v>
      </c>
      <c r="M134" s="538"/>
      <c r="N134" s="538"/>
      <c r="O134" s="535">
        <f>+O135+O136</f>
        <v>88053967</v>
      </c>
      <c r="P134" s="538"/>
      <c r="Q134" s="538"/>
      <c r="R134" s="535">
        <f>+R135+R136</f>
        <v>88053967</v>
      </c>
      <c r="S134" s="875">
        <v>5223</v>
      </c>
    </row>
    <row r="135" spans="1:19" x14ac:dyDescent="0.25">
      <c r="A135" s="378"/>
      <c r="B135" s="365" t="s">
        <v>292</v>
      </c>
      <c r="C135" s="444"/>
      <c r="D135" s="444"/>
      <c r="E135" s="443"/>
      <c r="F135" s="443"/>
      <c r="G135" s="444"/>
      <c r="H135" s="444"/>
      <c r="I135" s="443"/>
      <c r="J135" s="444"/>
      <c r="K135" s="444"/>
      <c r="L135" s="443"/>
      <c r="M135" s="444"/>
      <c r="N135" s="444"/>
      <c r="O135" s="495"/>
      <c r="P135" s="496"/>
      <c r="Q135" s="496"/>
      <c r="R135" s="495"/>
    </row>
    <row r="136" spans="1:19" x14ac:dyDescent="0.25">
      <c r="A136" s="378"/>
      <c r="B136" s="365" t="s">
        <v>1273</v>
      </c>
      <c r="C136" s="444"/>
      <c r="D136" s="444"/>
      <c r="E136" s="443">
        <v>81300000</v>
      </c>
      <c r="F136" s="443"/>
      <c r="G136" s="444"/>
      <c r="H136" s="444"/>
      <c r="I136" s="443">
        <v>81300000</v>
      </c>
      <c r="J136" s="444"/>
      <c r="K136" s="444"/>
      <c r="L136" s="443">
        <v>81300000</v>
      </c>
      <c r="M136" s="444"/>
      <c r="N136" s="444"/>
      <c r="O136" s="495">
        <f>81300000+6753967</f>
        <v>88053967</v>
      </c>
      <c r="P136" s="496"/>
      <c r="Q136" s="496"/>
      <c r="R136" s="495">
        <f>81300000+6753967</f>
        <v>88053967</v>
      </c>
    </row>
    <row r="137" spans="1:19" s="878" customFormat="1" x14ac:dyDescent="0.25">
      <c r="A137" s="536" t="s">
        <v>727</v>
      </c>
      <c r="B137" s="537" t="s">
        <v>733</v>
      </c>
      <c r="C137" s="538"/>
      <c r="D137" s="538"/>
      <c r="E137" s="535">
        <f>+E138+E139</f>
        <v>45380000</v>
      </c>
      <c r="F137" s="535"/>
      <c r="G137" s="538"/>
      <c r="H137" s="538"/>
      <c r="I137" s="535">
        <f>+I138+I139</f>
        <v>46861000</v>
      </c>
      <c r="J137" s="538"/>
      <c r="K137" s="538"/>
      <c r="L137" s="535">
        <f>+L138+L139</f>
        <v>46861000</v>
      </c>
      <c r="M137" s="538"/>
      <c r="N137" s="538"/>
      <c r="O137" s="535">
        <f>+O138+O139</f>
        <v>50642671</v>
      </c>
      <c r="P137" s="538"/>
      <c r="Q137" s="538"/>
      <c r="R137" s="535">
        <f>+R138+R139</f>
        <v>46861004</v>
      </c>
      <c r="S137" s="878">
        <v>5224</v>
      </c>
    </row>
    <row r="138" spans="1:19" s="534" customFormat="1" x14ac:dyDescent="0.25">
      <c r="A138" s="378"/>
      <c r="B138" s="365" t="s">
        <v>1273</v>
      </c>
      <c r="C138" s="444"/>
      <c r="D138" s="444"/>
      <c r="E138" s="443">
        <v>45380000</v>
      </c>
      <c r="F138" s="443"/>
      <c r="G138" s="444"/>
      <c r="H138" s="444"/>
      <c r="I138" s="443">
        <f>45380000+1481000</f>
        <v>46861000</v>
      </c>
      <c r="J138" s="444"/>
      <c r="K138" s="444"/>
      <c r="L138" s="443">
        <f>45380000+1481000</f>
        <v>46861000</v>
      </c>
      <c r="M138" s="444"/>
      <c r="N138" s="444"/>
      <c r="O138" s="495">
        <f>45380000+1481000+3781671</f>
        <v>50642671</v>
      </c>
      <c r="P138" s="496"/>
      <c r="Q138" s="496"/>
      <c r="R138" s="495">
        <f>45380000+1481000+4</f>
        <v>46861004</v>
      </c>
    </row>
    <row r="139" spans="1:19" s="534" customFormat="1" x14ac:dyDescent="0.25">
      <c r="A139" s="378"/>
      <c r="B139" s="365" t="s">
        <v>292</v>
      </c>
      <c r="C139" s="444"/>
      <c r="D139" s="444"/>
      <c r="E139" s="443">
        <v>0</v>
      </c>
      <c r="F139" s="443"/>
      <c r="G139" s="444"/>
      <c r="H139" s="444"/>
      <c r="I139" s="443">
        <v>0</v>
      </c>
      <c r="J139" s="444"/>
      <c r="K139" s="444"/>
      <c r="L139" s="443">
        <v>0</v>
      </c>
      <c r="M139" s="444"/>
      <c r="N139" s="444"/>
      <c r="O139" s="495">
        <v>0</v>
      </c>
      <c r="P139" s="496"/>
      <c r="Q139" s="496"/>
      <c r="R139" s="495">
        <v>0</v>
      </c>
    </row>
    <row r="140" spans="1:19" s="875" customFormat="1" x14ac:dyDescent="0.25">
      <c r="A140" s="536" t="s">
        <v>729</v>
      </c>
      <c r="B140" s="537" t="s">
        <v>736</v>
      </c>
      <c r="C140" s="538"/>
      <c r="D140" s="538"/>
      <c r="E140" s="535">
        <f>+E141</f>
        <v>6500000</v>
      </c>
      <c r="F140" s="535"/>
      <c r="G140" s="538"/>
      <c r="H140" s="538"/>
      <c r="I140" s="535">
        <f>+I141</f>
        <v>6200000</v>
      </c>
      <c r="J140" s="538"/>
      <c r="K140" s="538"/>
      <c r="L140" s="535">
        <f>+L141</f>
        <v>6200000</v>
      </c>
      <c r="M140" s="538"/>
      <c r="N140" s="538"/>
      <c r="O140" s="535">
        <f>+O141</f>
        <v>11300000</v>
      </c>
      <c r="P140" s="538"/>
      <c r="Q140" s="538"/>
      <c r="R140" s="535">
        <f>+R141</f>
        <v>8540000</v>
      </c>
      <c r="S140" s="875">
        <v>5225</v>
      </c>
    </row>
    <row r="141" spans="1:19" x14ac:dyDescent="0.25">
      <c r="A141" s="378"/>
      <c r="B141" s="365" t="s">
        <v>1273</v>
      </c>
      <c r="C141" s="444"/>
      <c r="D141" s="444"/>
      <c r="E141" s="443">
        <v>6500000</v>
      </c>
      <c r="F141" s="443"/>
      <c r="G141" s="444"/>
      <c r="H141" s="444"/>
      <c r="I141" s="443">
        <f>6500000+900000+1000000+400000-2600000</f>
        <v>6200000</v>
      </c>
      <c r="J141" s="444"/>
      <c r="K141" s="444"/>
      <c r="L141" s="443">
        <f>6500000+900000+1000000+400000-2600000</f>
        <v>6200000</v>
      </c>
      <c r="M141" s="444"/>
      <c r="N141" s="444"/>
      <c r="O141" s="495">
        <f>6500000+900000+1000000+400000-2600000+5100000</f>
        <v>11300000</v>
      </c>
      <c r="P141" s="496"/>
      <c r="Q141" s="496"/>
      <c r="R141" s="495">
        <f>6500000+900000+1000000+400000-2600000+2340000</f>
        <v>8540000</v>
      </c>
    </row>
    <row r="142" spans="1:19" x14ac:dyDescent="0.25">
      <c r="A142" s="378"/>
      <c r="B142" s="365" t="s">
        <v>1702</v>
      </c>
      <c r="C142" s="444"/>
      <c r="D142" s="444"/>
      <c r="E142" s="443"/>
      <c r="F142" s="443"/>
      <c r="G142" s="444"/>
      <c r="H142" s="444"/>
      <c r="I142" s="443"/>
      <c r="J142" s="444"/>
      <c r="K142" s="444"/>
      <c r="L142" s="443"/>
      <c r="M142" s="444"/>
      <c r="N142" s="444"/>
      <c r="O142" s="495"/>
      <c r="P142" s="496"/>
      <c r="Q142" s="496"/>
      <c r="R142" s="495"/>
    </row>
    <row r="143" spans="1:19" s="875" customFormat="1" x14ac:dyDescent="0.25">
      <c r="A143" s="536" t="s">
        <v>731</v>
      </c>
      <c r="B143" s="537" t="s">
        <v>738</v>
      </c>
      <c r="C143" s="538"/>
      <c r="D143" s="538"/>
      <c r="E143" s="535">
        <f>+E144</f>
        <v>2000000</v>
      </c>
      <c r="F143" s="535"/>
      <c r="G143" s="538"/>
      <c r="H143" s="538"/>
      <c r="I143" s="535">
        <f>+I144</f>
        <v>2000000</v>
      </c>
      <c r="J143" s="538"/>
      <c r="K143" s="538"/>
      <c r="L143" s="535">
        <f>+L144</f>
        <v>2000000</v>
      </c>
      <c r="M143" s="538"/>
      <c r="N143" s="538"/>
      <c r="O143" s="535">
        <f>+O144</f>
        <v>2000000</v>
      </c>
      <c r="P143" s="538"/>
      <c r="Q143" s="538"/>
      <c r="R143" s="535">
        <f>+R144</f>
        <v>250000</v>
      </c>
      <c r="S143" s="875">
        <v>5226</v>
      </c>
    </row>
    <row r="144" spans="1:19" x14ac:dyDescent="0.25">
      <c r="A144" s="378"/>
      <c r="B144" s="365" t="s">
        <v>1273</v>
      </c>
      <c r="C144" s="444"/>
      <c r="D144" s="444"/>
      <c r="E144" s="443">
        <v>2000000</v>
      </c>
      <c r="F144" s="443"/>
      <c r="G144" s="444"/>
      <c r="H144" s="444"/>
      <c r="I144" s="443">
        <v>2000000</v>
      </c>
      <c r="J144" s="444"/>
      <c r="K144" s="444"/>
      <c r="L144" s="443">
        <v>2000000</v>
      </c>
      <c r="M144" s="444"/>
      <c r="N144" s="444"/>
      <c r="O144" s="495">
        <v>2000000</v>
      </c>
      <c r="P144" s="496"/>
      <c r="Q144" s="496"/>
      <c r="R144" s="495">
        <v>250000</v>
      </c>
    </row>
    <row r="145" spans="1:19" s="876" customFormat="1" x14ac:dyDescent="0.25">
      <c r="A145" s="536" t="s">
        <v>732</v>
      </c>
      <c r="B145" s="537" t="s">
        <v>740</v>
      </c>
      <c r="C145" s="538"/>
      <c r="D145" s="538"/>
      <c r="E145" s="535">
        <f>+E146</f>
        <v>41500000</v>
      </c>
      <c r="F145" s="535"/>
      <c r="G145" s="538"/>
      <c r="H145" s="538"/>
      <c r="I145" s="535">
        <f>+I146</f>
        <v>13300000</v>
      </c>
      <c r="J145" s="538"/>
      <c r="K145" s="538"/>
      <c r="L145" s="535">
        <f>+L146</f>
        <v>13300000</v>
      </c>
      <c r="M145" s="538"/>
      <c r="N145" s="538"/>
      <c r="O145" s="535">
        <f>+O146+O147</f>
        <v>24500000</v>
      </c>
      <c r="P145" s="538"/>
      <c r="Q145" s="538"/>
      <c r="R145" s="535">
        <f>+R146+R147</f>
        <v>39100000</v>
      </c>
      <c r="S145" s="875">
        <v>5227</v>
      </c>
    </row>
    <row r="146" spans="1:19" x14ac:dyDescent="0.25">
      <c r="A146" s="378"/>
      <c r="B146" s="365" t="s">
        <v>1273</v>
      </c>
      <c r="C146" s="444"/>
      <c r="D146" s="444"/>
      <c r="E146" s="443">
        <v>41500000</v>
      </c>
      <c r="F146" s="443"/>
      <c r="G146" s="444"/>
      <c r="H146" s="444"/>
      <c r="I146" s="443">
        <f>41500000-28200000</f>
        <v>13300000</v>
      </c>
      <c r="J146" s="444"/>
      <c r="K146" s="444"/>
      <c r="L146" s="443">
        <f>41500000-28200000</f>
        <v>13300000</v>
      </c>
      <c r="M146" s="444"/>
      <c r="N146" s="444"/>
      <c r="O146" s="495">
        <f>41500000-28200000+25200000-14000000</f>
        <v>24500000</v>
      </c>
      <c r="P146" s="496"/>
      <c r="Q146" s="496"/>
      <c r="R146" s="495">
        <f>41500000-28200000+15800000</f>
        <v>29100000</v>
      </c>
    </row>
    <row r="147" spans="1:19" x14ac:dyDescent="0.25">
      <c r="A147" s="378"/>
      <c r="B147" s="365" t="s">
        <v>1702</v>
      </c>
      <c r="C147" s="444"/>
      <c r="D147" s="444"/>
      <c r="E147" s="443"/>
      <c r="F147" s="443"/>
      <c r="G147" s="444"/>
      <c r="H147" s="444"/>
      <c r="I147" s="443"/>
      <c r="J147" s="444"/>
      <c r="K147" s="444"/>
      <c r="L147" s="443"/>
      <c r="M147" s="444"/>
      <c r="N147" s="444"/>
      <c r="O147" s="495"/>
      <c r="P147" s="496"/>
      <c r="Q147" s="496"/>
      <c r="R147" s="495">
        <v>10000000</v>
      </c>
    </row>
    <row r="148" spans="1:19" x14ac:dyDescent="0.25">
      <c r="A148" s="375" t="s">
        <v>1781</v>
      </c>
      <c r="B148" s="376" t="s">
        <v>1782</v>
      </c>
      <c r="C148" s="444"/>
      <c r="D148" s="444"/>
      <c r="E148" s="443"/>
      <c r="F148" s="443"/>
      <c r="G148" s="444"/>
      <c r="H148" s="444"/>
      <c r="I148" s="441">
        <f>+I149</f>
        <v>24000000</v>
      </c>
      <c r="J148" s="444"/>
      <c r="K148" s="444"/>
      <c r="L148" s="441">
        <f>+L149</f>
        <v>24000000</v>
      </c>
      <c r="M148" s="444"/>
      <c r="N148" s="444"/>
      <c r="O148" s="535">
        <f>+O149+O150</f>
        <v>24000000</v>
      </c>
      <c r="P148" s="496"/>
      <c r="Q148" s="496"/>
      <c r="R148" s="535">
        <f>+R149</f>
        <v>0</v>
      </c>
    </row>
    <row r="149" spans="1:19" x14ac:dyDescent="0.25">
      <c r="A149" s="378"/>
      <c r="B149" s="365" t="s">
        <v>1273</v>
      </c>
      <c r="C149" s="444"/>
      <c r="D149" s="444"/>
      <c r="E149" s="443"/>
      <c r="F149" s="443"/>
      <c r="G149" s="444"/>
      <c r="H149" s="444"/>
      <c r="I149" s="443">
        <f>10000000+14000000</f>
        <v>24000000</v>
      </c>
      <c r="J149" s="444"/>
      <c r="K149" s="444"/>
      <c r="L149" s="443">
        <f>10000000+14000000</f>
        <v>24000000</v>
      </c>
      <c r="M149" s="444"/>
      <c r="N149" s="444"/>
      <c r="O149" s="495">
        <v>14000000</v>
      </c>
      <c r="P149" s="496"/>
      <c r="Q149" s="496"/>
      <c r="R149" s="898"/>
    </row>
    <row r="150" spans="1:19" x14ac:dyDescent="0.25">
      <c r="A150" s="378"/>
      <c r="B150" s="365" t="s">
        <v>1702</v>
      </c>
      <c r="C150" s="444"/>
      <c r="D150" s="444"/>
      <c r="E150" s="443"/>
      <c r="F150" s="443"/>
      <c r="G150" s="444"/>
      <c r="H150" s="444"/>
      <c r="I150" s="443"/>
      <c r="J150" s="444"/>
      <c r="K150" s="444"/>
      <c r="L150" s="443"/>
      <c r="M150" s="444"/>
      <c r="N150" s="444"/>
      <c r="O150" s="495">
        <v>10000000</v>
      </c>
      <c r="P150" s="496"/>
      <c r="Q150" s="496"/>
      <c r="R150" s="898"/>
    </row>
    <row r="151" spans="1:19" s="875" customFormat="1" x14ac:dyDescent="0.25">
      <c r="A151" s="536" t="s">
        <v>734</v>
      </c>
      <c r="B151" s="537" t="s">
        <v>742</v>
      </c>
      <c r="C151" s="538"/>
      <c r="D151" s="538"/>
      <c r="E151" s="535">
        <f>+E152</f>
        <v>12600000</v>
      </c>
      <c r="F151" s="535"/>
      <c r="G151" s="538"/>
      <c r="H151" s="538"/>
      <c r="I151" s="535">
        <f>+I152</f>
        <v>12600000</v>
      </c>
      <c r="J151" s="538"/>
      <c r="K151" s="538"/>
      <c r="L151" s="535">
        <f>+L152</f>
        <v>12600000</v>
      </c>
      <c r="M151" s="538"/>
      <c r="N151" s="538"/>
      <c r="O151" s="535">
        <f>+O152</f>
        <v>12600000</v>
      </c>
      <c r="P151" s="538"/>
      <c r="Q151" s="538"/>
      <c r="R151" s="535">
        <f>+R152</f>
        <v>12600000</v>
      </c>
      <c r="S151" s="875">
        <v>5228</v>
      </c>
    </row>
    <row r="152" spans="1:19" x14ac:dyDescent="0.25">
      <c r="A152" s="378"/>
      <c r="B152" s="365" t="s">
        <v>1273</v>
      </c>
      <c r="C152" s="444"/>
      <c r="D152" s="444"/>
      <c r="E152" s="443">
        <v>12600000</v>
      </c>
      <c r="F152" s="443"/>
      <c r="G152" s="444"/>
      <c r="H152" s="444"/>
      <c r="I152" s="443">
        <v>12600000</v>
      </c>
      <c r="J152" s="444"/>
      <c r="K152" s="444"/>
      <c r="L152" s="443">
        <v>12600000</v>
      </c>
      <c r="M152" s="444"/>
      <c r="N152" s="444"/>
      <c r="O152" s="495">
        <v>12600000</v>
      </c>
      <c r="P152" s="496"/>
      <c r="Q152" s="496"/>
      <c r="R152" s="495">
        <v>12600000</v>
      </c>
    </row>
    <row r="153" spans="1:19" s="875" customFormat="1" x14ac:dyDescent="0.25">
      <c r="A153" s="536" t="s">
        <v>735</v>
      </c>
      <c r="B153" s="537" t="s">
        <v>743</v>
      </c>
      <c r="C153" s="538"/>
      <c r="D153" s="538"/>
      <c r="E153" s="535">
        <f>+E154</f>
        <v>3190000</v>
      </c>
      <c r="F153" s="535"/>
      <c r="G153" s="538"/>
      <c r="H153" s="538"/>
      <c r="I153" s="535">
        <f>+I154</f>
        <v>3687000</v>
      </c>
      <c r="J153" s="538"/>
      <c r="K153" s="538"/>
      <c r="L153" s="535">
        <f>+L154</f>
        <v>3687000</v>
      </c>
      <c r="M153" s="538"/>
      <c r="N153" s="538"/>
      <c r="O153" s="535">
        <f>+O154</f>
        <v>3687000</v>
      </c>
      <c r="P153" s="538"/>
      <c r="Q153" s="538"/>
      <c r="R153" s="535">
        <f>+R154</f>
        <v>1249500</v>
      </c>
      <c r="S153" s="875">
        <v>5229</v>
      </c>
    </row>
    <row r="154" spans="1:19" x14ac:dyDescent="0.25">
      <c r="A154" s="378"/>
      <c r="B154" s="365" t="s">
        <v>292</v>
      </c>
      <c r="C154" s="444"/>
      <c r="D154" s="444"/>
      <c r="E154" s="443">
        <v>3190000</v>
      </c>
      <c r="F154" s="443"/>
      <c r="G154" s="444"/>
      <c r="H154" s="444"/>
      <c r="I154" s="443">
        <f>3190000+497000</f>
        <v>3687000</v>
      </c>
      <c r="J154" s="444"/>
      <c r="K154" s="444"/>
      <c r="L154" s="443">
        <f>3190000+497000</f>
        <v>3687000</v>
      </c>
      <c r="M154" s="444"/>
      <c r="N154" s="444"/>
      <c r="O154" s="495">
        <f>3190000+497000</f>
        <v>3687000</v>
      </c>
      <c r="P154" s="496"/>
      <c r="Q154" s="496"/>
      <c r="R154" s="495">
        <v>1249500</v>
      </c>
    </row>
    <row r="155" spans="1:19" s="875" customFormat="1" x14ac:dyDescent="0.25">
      <c r="A155" s="536" t="s">
        <v>737</v>
      </c>
      <c r="B155" s="537" t="s">
        <v>745</v>
      </c>
      <c r="C155" s="538"/>
      <c r="D155" s="538"/>
      <c r="E155" s="535">
        <f>+E156+E157</f>
        <v>16000000</v>
      </c>
      <c r="F155" s="535"/>
      <c r="G155" s="538"/>
      <c r="H155" s="538"/>
      <c r="I155" s="535">
        <f>+I156+I157</f>
        <v>16484500</v>
      </c>
      <c r="J155" s="538"/>
      <c r="K155" s="538"/>
      <c r="L155" s="535">
        <f>+L156+L157</f>
        <v>16484500</v>
      </c>
      <c r="M155" s="538"/>
      <c r="N155" s="538"/>
      <c r="O155" s="535">
        <f>+O156+O157</f>
        <v>16484500</v>
      </c>
      <c r="P155" s="538"/>
      <c r="Q155" s="538"/>
      <c r="R155" s="535">
        <f>+R156+R157</f>
        <v>7923374</v>
      </c>
      <c r="S155" s="875">
        <v>5230</v>
      </c>
    </row>
    <row r="156" spans="1:19" x14ac:dyDescent="0.25">
      <c r="A156" s="378"/>
      <c r="B156" s="365" t="s">
        <v>1319</v>
      </c>
      <c r="C156" s="444"/>
      <c r="D156" s="444"/>
      <c r="E156" s="443"/>
      <c r="F156" s="443"/>
      <c r="G156" s="444"/>
      <c r="H156" s="444"/>
      <c r="I156" s="443"/>
      <c r="J156" s="444"/>
      <c r="K156" s="444"/>
      <c r="L156" s="443"/>
      <c r="M156" s="444"/>
      <c r="N156" s="444"/>
      <c r="O156" s="495"/>
      <c r="P156" s="496"/>
      <c r="Q156" s="496"/>
      <c r="R156" s="495"/>
    </row>
    <row r="157" spans="1:19" x14ac:dyDescent="0.25">
      <c r="A157" s="378"/>
      <c r="B157" s="365" t="s">
        <v>337</v>
      </c>
      <c r="C157" s="444"/>
      <c r="D157" s="444"/>
      <c r="E157" s="443">
        <v>16000000</v>
      </c>
      <c r="F157" s="443"/>
      <c r="G157" s="444"/>
      <c r="H157" s="444"/>
      <c r="I157" s="443">
        <f>16000000+484500</f>
        <v>16484500</v>
      </c>
      <c r="J157" s="444"/>
      <c r="K157" s="444"/>
      <c r="L157" s="443">
        <f>16000000+484500</f>
        <v>16484500</v>
      </c>
      <c r="M157" s="444"/>
      <c r="N157" s="444"/>
      <c r="O157" s="495">
        <f>16000000+484500</f>
        <v>16484500</v>
      </c>
      <c r="P157" s="496"/>
      <c r="Q157" s="496"/>
      <c r="R157" s="495">
        <v>7923374</v>
      </c>
    </row>
    <row r="158" spans="1:19" s="875" customFormat="1" x14ac:dyDescent="0.25">
      <c r="A158" s="536" t="s">
        <v>739</v>
      </c>
      <c r="B158" s="537" t="s">
        <v>747</v>
      </c>
      <c r="C158" s="538"/>
      <c r="D158" s="538"/>
      <c r="E158" s="535">
        <f>SUM(E159:E165)</f>
        <v>67457320</v>
      </c>
      <c r="F158" s="535"/>
      <c r="G158" s="538"/>
      <c r="H158" s="538"/>
      <c r="I158" s="535">
        <f>SUM(I159:I165)</f>
        <v>75622087</v>
      </c>
      <c r="J158" s="538"/>
      <c r="K158" s="538"/>
      <c r="L158" s="535">
        <f>SUM(L159:L165)</f>
        <v>86598987</v>
      </c>
      <c r="M158" s="538"/>
      <c r="N158" s="538"/>
      <c r="O158" s="535">
        <f>SUM(O159:O165)</f>
        <v>174438130</v>
      </c>
      <c r="P158" s="538"/>
      <c r="Q158" s="538"/>
      <c r="R158" s="535">
        <f>SUM(R159:R165)</f>
        <v>47530412</v>
      </c>
      <c r="S158" s="875">
        <v>5231</v>
      </c>
    </row>
    <row r="159" spans="1:19" x14ac:dyDescent="0.25">
      <c r="A159" s="378"/>
      <c r="B159" s="365" t="s">
        <v>286</v>
      </c>
      <c r="C159" s="444"/>
      <c r="D159" s="444"/>
      <c r="E159" s="443">
        <f>9348320+18800000-1000000</f>
        <v>27148320</v>
      </c>
      <c r="F159" s="443"/>
      <c r="G159" s="444"/>
      <c r="H159" s="444"/>
      <c r="I159" s="443">
        <f>9348320+18800000-1000000+335687</f>
        <v>27484007</v>
      </c>
      <c r="J159" s="444"/>
      <c r="K159" s="444"/>
      <c r="L159" s="443">
        <f>9348320+18800000-1000000+335687</f>
        <v>27484007</v>
      </c>
      <c r="M159" s="444"/>
      <c r="N159" s="444"/>
      <c r="O159" s="495">
        <f>9348320+18800000-1000000+335687</f>
        <v>27484007</v>
      </c>
      <c r="P159" s="496"/>
      <c r="Q159" s="496"/>
      <c r="R159" s="495">
        <v>10265286</v>
      </c>
    </row>
    <row r="160" spans="1:19" x14ac:dyDescent="0.25">
      <c r="A160" s="378"/>
      <c r="B160" s="365" t="s">
        <v>287</v>
      </c>
      <c r="C160" s="444"/>
      <c r="D160" s="444"/>
      <c r="E160" s="443">
        <f>10083000-1000000</f>
        <v>9083000</v>
      </c>
      <c r="F160" s="443"/>
      <c r="G160" s="444"/>
      <c r="H160" s="444"/>
      <c r="I160" s="443">
        <f>10083000-1000000</f>
        <v>9083000</v>
      </c>
      <c r="J160" s="444"/>
      <c r="K160" s="444"/>
      <c r="L160" s="443">
        <f>10083000-1000000</f>
        <v>9083000</v>
      </c>
      <c r="M160" s="444"/>
      <c r="N160" s="444"/>
      <c r="O160" s="495">
        <f>10083000-1000000</f>
        <v>9083000</v>
      </c>
      <c r="P160" s="496"/>
      <c r="Q160" s="496"/>
      <c r="R160" s="495">
        <v>2278063</v>
      </c>
    </row>
    <row r="161" spans="1:19" x14ac:dyDescent="0.25">
      <c r="A161" s="378"/>
      <c r="B161" s="365" t="s">
        <v>292</v>
      </c>
      <c r="C161" s="444"/>
      <c r="D161" s="444"/>
      <c r="E161" s="443">
        <f>3800000+500000+3000000+5800000+5236000+1000000+1000000+5490000+5400000</f>
        <v>31226000</v>
      </c>
      <c r="F161" s="443"/>
      <c r="G161" s="444"/>
      <c r="H161" s="444"/>
      <c r="I161" s="443">
        <f>3800000+500000+3000000+5800000+5236000+1000000+1000000+5490000+5400000+1120748+40000+28500+30000+1351000+608832+650000+4000000</f>
        <v>39055080</v>
      </c>
      <c r="J161" s="444"/>
      <c r="K161" s="444"/>
      <c r="L161" s="443">
        <f>3800000+500000+3000000+5800000+5236000+1000000+1000000+5490000+5400000+1120748+40000+28500+30000+1351000+608832+650000+4000000+5000000+5976900</f>
        <v>50031980</v>
      </c>
      <c r="M161" s="444"/>
      <c r="N161" s="444"/>
      <c r="O161" s="495">
        <f>3800000+500000+3000000+5800000+5236000+1000000+1000000+5490000+5400000+1120748+40000+28500+30000+1351000+608832+650000+4000000+5000000+5976900+3339143+1000000-1500000</f>
        <v>52871123</v>
      </c>
      <c r="P161" s="496"/>
      <c r="Q161" s="496"/>
      <c r="R161" s="495">
        <f>30748563+3238500+1000000</f>
        <v>34987063</v>
      </c>
    </row>
    <row r="162" spans="1:19" x14ac:dyDescent="0.25">
      <c r="A162" s="378"/>
      <c r="B162" s="365" t="s">
        <v>337</v>
      </c>
      <c r="C162" s="444"/>
      <c r="D162" s="444"/>
      <c r="E162" s="443"/>
      <c r="F162" s="443"/>
      <c r="G162" s="444"/>
      <c r="H162" s="444"/>
      <c r="I162" s="443"/>
      <c r="J162" s="444"/>
      <c r="K162" s="444"/>
      <c r="L162" s="443"/>
      <c r="M162" s="444"/>
      <c r="N162" s="444"/>
      <c r="O162" s="495"/>
      <c r="P162" s="496"/>
      <c r="Q162" s="496"/>
      <c r="R162" s="495"/>
    </row>
    <row r="163" spans="1:19" x14ac:dyDescent="0.25">
      <c r="A163" s="378"/>
      <c r="B163" s="365" t="s">
        <v>339</v>
      </c>
      <c r="C163" s="444"/>
      <c r="D163" s="444"/>
      <c r="E163" s="443"/>
      <c r="F163" s="443"/>
      <c r="G163" s="444"/>
      <c r="H163" s="444"/>
      <c r="I163" s="443"/>
      <c r="J163" s="444"/>
      <c r="K163" s="444"/>
      <c r="L163" s="443"/>
      <c r="M163" s="444"/>
      <c r="N163" s="444"/>
      <c r="O163" s="495"/>
      <c r="P163" s="496"/>
      <c r="Q163" s="496"/>
      <c r="R163" s="495"/>
    </row>
    <row r="164" spans="1:19" x14ac:dyDescent="0.25">
      <c r="A164" s="378"/>
      <c r="B164" s="365" t="s">
        <v>1443</v>
      </c>
      <c r="C164" s="444"/>
      <c r="D164" s="444"/>
      <c r="E164" s="443"/>
      <c r="F164" s="443"/>
      <c r="G164" s="444"/>
      <c r="H164" s="444"/>
      <c r="I164" s="443"/>
      <c r="J164" s="444"/>
      <c r="K164" s="444"/>
      <c r="L164" s="443"/>
      <c r="M164" s="444"/>
      <c r="N164" s="444"/>
      <c r="O164" s="495">
        <v>85000000</v>
      </c>
      <c r="P164" s="496"/>
      <c r="Q164" s="496"/>
      <c r="R164" s="495">
        <v>0</v>
      </c>
      <c r="S164" s="370">
        <v>5232603</v>
      </c>
    </row>
    <row r="165" spans="1:19" x14ac:dyDescent="0.25">
      <c r="A165" s="378"/>
      <c r="B165" s="365" t="s">
        <v>351</v>
      </c>
      <c r="C165" s="444"/>
      <c r="D165" s="444"/>
      <c r="E165" s="443"/>
      <c r="F165" s="443"/>
      <c r="G165" s="444"/>
      <c r="H165" s="444"/>
      <c r="I165" s="443"/>
      <c r="J165" s="444"/>
      <c r="K165" s="444"/>
      <c r="L165" s="443"/>
      <c r="M165" s="444"/>
      <c r="N165" s="444"/>
      <c r="O165" s="495"/>
      <c r="P165" s="496"/>
      <c r="Q165" s="496"/>
      <c r="R165" s="495"/>
    </row>
    <row r="166" spans="1:19" s="381" customFormat="1" x14ac:dyDescent="0.25">
      <c r="A166" s="375" t="s">
        <v>741</v>
      </c>
      <c r="B166" s="376" t="s">
        <v>749</v>
      </c>
      <c r="C166" s="442"/>
      <c r="D166" s="442"/>
      <c r="E166" s="441">
        <f>SUM(E167:E171)</f>
        <v>392408000</v>
      </c>
      <c r="F166" s="441"/>
      <c r="G166" s="442"/>
      <c r="H166" s="442"/>
      <c r="I166" s="441">
        <f>SUM(I167:I171)</f>
        <v>619682477</v>
      </c>
      <c r="J166" s="442"/>
      <c r="K166" s="442"/>
      <c r="L166" s="441">
        <f>SUM(L167:L171)</f>
        <v>626999513</v>
      </c>
      <c r="M166" s="442"/>
      <c r="N166" s="442"/>
      <c r="O166" s="535">
        <f>SUM(O167:O171)</f>
        <v>393225369</v>
      </c>
      <c r="P166" s="538"/>
      <c r="Q166" s="538"/>
      <c r="R166" s="535">
        <f>SUM(R167:R171)</f>
        <v>80466960</v>
      </c>
      <c r="S166" s="381">
        <v>5232</v>
      </c>
    </row>
    <row r="167" spans="1:19" s="381" customFormat="1" x14ac:dyDescent="0.25">
      <c r="A167" s="375"/>
      <c r="B167" s="365" t="s">
        <v>286</v>
      </c>
      <c r="C167" s="442"/>
      <c r="D167" s="442"/>
      <c r="E167" s="441"/>
      <c r="F167" s="441"/>
      <c r="G167" s="442"/>
      <c r="H167" s="442"/>
      <c r="I167" s="441"/>
      <c r="J167" s="442"/>
      <c r="K167" s="442"/>
      <c r="L167" s="441"/>
      <c r="M167" s="442"/>
      <c r="N167" s="442"/>
      <c r="O167" s="535"/>
      <c r="P167" s="538"/>
      <c r="Q167" s="538"/>
      <c r="R167" s="535"/>
    </row>
    <row r="168" spans="1:19" s="381" customFormat="1" x14ac:dyDescent="0.25">
      <c r="A168" s="375"/>
      <c r="B168" s="365" t="s">
        <v>287</v>
      </c>
      <c r="C168" s="442"/>
      <c r="D168" s="442"/>
      <c r="E168" s="441"/>
      <c r="F168" s="441"/>
      <c r="G168" s="442"/>
      <c r="H168" s="442"/>
      <c r="I168" s="441"/>
      <c r="J168" s="442"/>
      <c r="K168" s="442"/>
      <c r="L168" s="441"/>
      <c r="M168" s="442"/>
      <c r="N168" s="442"/>
      <c r="O168" s="535"/>
      <c r="P168" s="538"/>
      <c r="Q168" s="538"/>
      <c r="R168" s="535"/>
    </row>
    <row r="169" spans="1:19" s="381" customFormat="1" x14ac:dyDescent="0.25">
      <c r="A169" s="375"/>
      <c r="B169" s="365" t="s">
        <v>292</v>
      </c>
      <c r="C169" s="442"/>
      <c r="D169" s="442"/>
      <c r="E169" s="443"/>
      <c r="F169" s="443"/>
      <c r="G169" s="442"/>
      <c r="H169" s="442"/>
      <c r="I169" s="443">
        <f>118110+5934083+972591+1896691+10078740+2721260+450000+121500</f>
        <v>22292975</v>
      </c>
      <c r="J169" s="442"/>
      <c r="K169" s="442"/>
      <c r="L169" s="443">
        <f>118110+5934083+972591+1896691+10078740+2721260+450000+121500+508000</f>
        <v>22800975</v>
      </c>
      <c r="M169" s="442"/>
      <c r="N169" s="442"/>
      <c r="O169" s="495">
        <f>150800+3860800+782300+1111500+9021475+762000+1128900</f>
        <v>16817775</v>
      </c>
      <c r="P169" s="538"/>
      <c r="Q169" s="538"/>
      <c r="R169" s="495">
        <f>658800+210800+984500+672199+762000</f>
        <v>3288299</v>
      </c>
    </row>
    <row r="170" spans="1:19" x14ac:dyDescent="0.25">
      <c r="A170" s="378"/>
      <c r="B170" s="365" t="s">
        <v>351</v>
      </c>
      <c r="C170" s="444"/>
      <c r="D170" s="444"/>
      <c r="E170" s="443">
        <f>+'7. Fejlesztések'!F6+'7. Fejlesztések'!F7+'7. Fejlesztések'!F8+'7. Fejlesztések'!F10+'7. Fejlesztések'!F14+'7. Fejlesztések'!F15+'7. Fejlesztések'!F16+'7. Fejlesztések'!F17+'7. Fejlesztések'!F18+'7. Fejlesztések'!F19+'7. Fejlesztések'!F20+'7. Fejlesztések'!F28+'7. Fejlesztések'!F29</f>
        <v>392408000</v>
      </c>
      <c r="F170" s="443"/>
      <c r="G170" s="444"/>
      <c r="H170" s="444"/>
      <c r="I170" s="443">
        <f>+'7. Fejlesztések'!I6+'7. Fejlesztések'!I7+'7. Fejlesztések'!I8+'7. Fejlesztések'!I10+'7. Fejlesztések'!I14+'7. Fejlesztések'!I15+'7. Fejlesztések'!I16+'7. Fejlesztések'!I17+'7. Fejlesztések'!I18+'7. Fejlesztések'!I19+'7. Fejlesztések'!I20+'7. Fejlesztések'!I28+'7. Fejlesztések'!I29+'7. Fejlesztések'!I30+'7. Fejlesztések'!I31+'7. Fejlesztések'!I32+'7. Fejlesztések'!I34+'7. Fejlesztések'!I38+'7. Fejlesztések'!I39+'7. Fejlesztések'!I40+'7. Fejlesztések'!I43+'7. Fejlesztések'!I44</f>
        <v>569243901</v>
      </c>
      <c r="J170" s="444"/>
      <c r="K170" s="444"/>
      <c r="L170" s="443">
        <f>+'7. Fejlesztések'!L6+'7. Fejlesztések'!L7+'7. Fejlesztések'!L8+'7. Fejlesztések'!L10+'7. Fejlesztések'!L14+'7. Fejlesztések'!L15+'7. Fejlesztések'!L16+'7. Fejlesztések'!L17+'7. Fejlesztések'!L18+'7. Fejlesztések'!L19+'7. Fejlesztések'!L20+'7. Fejlesztések'!L28+'7. Fejlesztések'!L29+'7. Fejlesztések'!L30+'7. Fejlesztések'!L31+'7. Fejlesztések'!L32+'7. Fejlesztések'!L34+'7. Fejlesztések'!L38+'7. Fejlesztések'!L39+'7. Fejlesztések'!L40+'7. Fejlesztések'!L43</f>
        <v>572843901</v>
      </c>
      <c r="M170" s="444"/>
      <c r="N170" s="444"/>
      <c r="O170" s="495">
        <f>+'7. Fejlesztések'!O6+'7. Fejlesztések'!O7+'7. Fejlesztések'!O8+'7. Fejlesztések'!O10+'7. Fejlesztések'!O14+'7. Fejlesztések'!O15+'7. Fejlesztések'!O16+'7. Fejlesztések'!O17+'7. Fejlesztések'!O18+'7. Fejlesztések'!O19+'7. Fejlesztések'!O20+'7. Fejlesztések'!O28+'7. Fejlesztések'!O29+'7. Fejlesztések'!O36+'7. Fejlesztések'!O37+'7. Fejlesztések'!O38+'7. Fejlesztések'!O39+'7. Fejlesztések'!O43+'7. Fejlesztések'!O48</f>
        <v>362832957</v>
      </c>
      <c r="P170" s="496"/>
      <c r="Q170" s="496"/>
      <c r="R170" s="495">
        <f>+'7. Fejlesztések'!R6+'7. Fejlesztések'!R7+'7. Fejlesztések'!R8+'7. Fejlesztések'!R10+'7. Fejlesztések'!R14+'7. Fejlesztések'!R15+'7. Fejlesztések'!R16+'7. Fejlesztések'!R17+'7. Fejlesztések'!R18+'7. Fejlesztések'!R19+'7. Fejlesztések'!R20+'7. Fejlesztések'!R28+'7. Fejlesztések'!R29+'7. Fejlesztések'!R36+'7. Fejlesztések'!R37+'7. Fejlesztések'!R38+'7. Fejlesztések'!R39+'7. Fejlesztések'!R43+'7. Fejlesztések'!R48</f>
        <v>73969625</v>
      </c>
    </row>
    <row r="171" spans="1:19" x14ac:dyDescent="0.25">
      <c r="A171" s="378"/>
      <c r="B171" s="365" t="s">
        <v>342</v>
      </c>
      <c r="C171" s="444"/>
      <c r="D171" s="444"/>
      <c r="E171" s="443"/>
      <c r="F171" s="443"/>
      <c r="G171" s="444"/>
      <c r="H171" s="444"/>
      <c r="I171" s="443">
        <f>8161890+2203711+14000000+3780000</f>
        <v>28145601</v>
      </c>
      <c r="J171" s="444"/>
      <c r="K171" s="444"/>
      <c r="L171" s="443">
        <f>8161890+2203711+14000000+3780000+'7. Fejlesztések'!L66</f>
        <v>31354637</v>
      </c>
      <c r="M171" s="444"/>
      <c r="N171" s="444"/>
      <c r="O171" s="495">
        <f>8161890+2203711+'7. Fejlesztések'!O66</f>
        <v>13574637</v>
      </c>
      <c r="P171" s="496"/>
      <c r="Q171" s="496"/>
      <c r="R171" s="495">
        <f>+'7. Fejlesztések'!R66</f>
        <v>3209036</v>
      </c>
    </row>
    <row r="172" spans="1:19" x14ac:dyDescent="0.25">
      <c r="A172" s="378"/>
      <c r="B172" s="365" t="s">
        <v>1698</v>
      </c>
      <c r="C172" s="444"/>
      <c r="D172" s="444"/>
      <c r="E172" s="443"/>
      <c r="F172" s="443"/>
      <c r="G172" s="444"/>
      <c r="H172" s="444"/>
      <c r="I172" s="443"/>
      <c r="J172" s="444"/>
      <c r="K172" s="444"/>
      <c r="L172" s="443"/>
      <c r="M172" s="444"/>
      <c r="N172" s="444"/>
      <c r="O172" s="495"/>
      <c r="P172" s="496"/>
      <c r="Q172" s="496"/>
      <c r="R172" s="495"/>
    </row>
    <row r="173" spans="1:19" s="381" customFormat="1" x14ac:dyDescent="0.25">
      <c r="A173" s="375" t="s">
        <v>1343</v>
      </c>
      <c r="B173" s="376" t="s">
        <v>1663</v>
      </c>
      <c r="C173" s="442"/>
      <c r="D173" s="442"/>
      <c r="E173" s="441">
        <f>SUM(E174:E179)</f>
        <v>0</v>
      </c>
      <c r="F173" s="441"/>
      <c r="G173" s="442"/>
      <c r="H173" s="442"/>
      <c r="I173" s="441">
        <f>SUM(I174:I179)</f>
        <v>0</v>
      </c>
      <c r="J173" s="442"/>
      <c r="K173" s="442"/>
      <c r="L173" s="441">
        <f>SUM(L174:L179)</f>
        <v>0</v>
      </c>
      <c r="M173" s="442"/>
      <c r="N173" s="442"/>
      <c r="O173" s="535">
        <f>SUM(O174:O179)</f>
        <v>0</v>
      </c>
      <c r="P173" s="538"/>
      <c r="Q173" s="538"/>
      <c r="R173" s="535">
        <f>SUM(R174:R179)</f>
        <v>0</v>
      </c>
    </row>
    <row r="174" spans="1:19" x14ac:dyDescent="0.25">
      <c r="A174" s="378"/>
      <c r="B174" s="365" t="s">
        <v>286</v>
      </c>
      <c r="C174" s="444"/>
      <c r="D174" s="444"/>
      <c r="E174" s="443"/>
      <c r="F174" s="443"/>
      <c r="G174" s="444"/>
      <c r="H174" s="444"/>
      <c r="I174" s="443"/>
      <c r="J174" s="444"/>
      <c r="K174" s="444"/>
      <c r="L174" s="443"/>
      <c r="M174" s="444"/>
      <c r="N174" s="444"/>
      <c r="O174" s="495"/>
      <c r="P174" s="496"/>
      <c r="Q174" s="496"/>
      <c r="R174" s="495"/>
    </row>
    <row r="175" spans="1:19" x14ac:dyDescent="0.25">
      <c r="A175" s="378"/>
      <c r="B175" s="365" t="s">
        <v>287</v>
      </c>
      <c r="C175" s="444"/>
      <c r="D175" s="444"/>
      <c r="E175" s="443"/>
      <c r="F175" s="443"/>
      <c r="G175" s="444"/>
      <c r="H175" s="444"/>
      <c r="I175" s="443"/>
      <c r="J175" s="444"/>
      <c r="K175" s="444"/>
      <c r="L175" s="443"/>
      <c r="M175" s="444"/>
      <c r="N175" s="444"/>
      <c r="O175" s="495"/>
      <c r="P175" s="496"/>
      <c r="Q175" s="496"/>
      <c r="R175" s="495"/>
    </row>
    <row r="176" spans="1:19" x14ac:dyDescent="0.25">
      <c r="A176" s="378"/>
      <c r="B176" s="365" t="s">
        <v>1319</v>
      </c>
      <c r="C176" s="444"/>
      <c r="D176" s="444"/>
      <c r="E176" s="443"/>
      <c r="F176" s="443"/>
      <c r="G176" s="444"/>
      <c r="H176" s="444"/>
      <c r="I176" s="443"/>
      <c r="J176" s="444"/>
      <c r="K176" s="444"/>
      <c r="L176" s="443"/>
      <c r="M176" s="444"/>
      <c r="N176" s="444"/>
      <c r="O176" s="495"/>
      <c r="P176" s="496"/>
      <c r="Q176" s="496"/>
      <c r="R176" s="495"/>
    </row>
    <row r="177" spans="1:19" x14ac:dyDescent="0.25">
      <c r="A177" s="378"/>
      <c r="B177" s="365" t="s">
        <v>1448</v>
      </c>
      <c r="C177" s="444"/>
      <c r="D177" s="444"/>
      <c r="E177" s="443"/>
      <c r="F177" s="443"/>
      <c r="G177" s="444"/>
      <c r="H177" s="444"/>
      <c r="I177" s="443"/>
      <c r="J177" s="444"/>
      <c r="K177" s="444"/>
      <c r="L177" s="443"/>
      <c r="M177" s="444"/>
      <c r="N177" s="444"/>
      <c r="O177" s="495"/>
      <c r="P177" s="496"/>
      <c r="Q177" s="496"/>
      <c r="R177" s="495"/>
    </row>
    <row r="178" spans="1:19" x14ac:dyDescent="0.25">
      <c r="A178" s="378"/>
      <c r="B178" s="365" t="s">
        <v>351</v>
      </c>
      <c r="C178" s="444"/>
      <c r="D178" s="444"/>
      <c r="E178" s="443"/>
      <c r="F178" s="443"/>
      <c r="G178" s="444"/>
      <c r="H178" s="444"/>
      <c r="I178" s="443"/>
      <c r="J178" s="444"/>
      <c r="K178" s="444"/>
      <c r="L178" s="443"/>
      <c r="M178" s="444"/>
      <c r="N178" s="444"/>
      <c r="O178" s="495"/>
      <c r="P178" s="496"/>
      <c r="Q178" s="496"/>
      <c r="R178" s="495"/>
    </row>
    <row r="179" spans="1:19" x14ac:dyDescent="0.25">
      <c r="A179" s="378"/>
      <c r="B179" s="365" t="s">
        <v>342</v>
      </c>
      <c r="C179" s="496"/>
      <c r="D179" s="496"/>
      <c r="E179" s="443"/>
      <c r="F179" s="443"/>
      <c r="G179" s="496"/>
      <c r="H179" s="496"/>
      <c r="I179" s="443"/>
      <c r="J179" s="496"/>
      <c r="K179" s="496"/>
      <c r="L179" s="443"/>
      <c r="M179" s="496"/>
      <c r="N179" s="496"/>
      <c r="O179" s="495"/>
      <c r="P179" s="496"/>
      <c r="Q179" s="496"/>
      <c r="R179" s="495"/>
    </row>
    <row r="180" spans="1:19" s="875" customFormat="1" x14ac:dyDescent="0.25">
      <c r="A180" s="536" t="s">
        <v>744</v>
      </c>
      <c r="B180" s="537" t="s">
        <v>751</v>
      </c>
      <c r="C180" s="538"/>
      <c r="D180" s="538"/>
      <c r="E180" s="535">
        <f>SUM(E181:E183)</f>
        <v>30000000</v>
      </c>
      <c r="F180" s="535"/>
      <c r="G180" s="538"/>
      <c r="H180" s="538"/>
      <c r="I180" s="535">
        <f>SUM(I181:I183)</f>
        <v>26000000</v>
      </c>
      <c r="J180" s="538"/>
      <c r="K180" s="538"/>
      <c r="L180" s="535">
        <f>SUM(L181:L183)</f>
        <v>26000000</v>
      </c>
      <c r="M180" s="538"/>
      <c r="N180" s="538"/>
      <c r="O180" s="535">
        <f>SUM(O181:O183)</f>
        <v>19549836</v>
      </c>
      <c r="P180" s="538"/>
      <c r="Q180" s="538"/>
      <c r="R180" s="535">
        <f>SUM(R181:R183)</f>
        <v>8794193</v>
      </c>
      <c r="S180" s="875">
        <v>5236</v>
      </c>
    </row>
    <row r="181" spans="1:19" ht="14.25" customHeight="1" x14ac:dyDescent="0.25">
      <c r="A181" s="378"/>
      <c r="B181" s="365" t="s">
        <v>286</v>
      </c>
      <c r="C181" s="444"/>
      <c r="D181" s="444"/>
      <c r="E181" s="443">
        <v>30000000</v>
      </c>
      <c r="F181" s="443"/>
      <c r="G181" s="444"/>
      <c r="H181" s="444"/>
      <c r="I181" s="443">
        <f>30000000-4000000</f>
        <v>26000000</v>
      </c>
      <c r="J181" s="444"/>
      <c r="K181" s="444"/>
      <c r="L181" s="443">
        <f>30000000-4000000</f>
        <v>26000000</v>
      </c>
      <c r="M181" s="444"/>
      <c r="N181" s="444"/>
      <c r="O181" s="495">
        <f>30000000-4000000-6450164</f>
        <v>19549836</v>
      </c>
      <c r="P181" s="496"/>
      <c r="Q181" s="496"/>
      <c r="R181" s="495">
        <v>8794193</v>
      </c>
    </row>
    <row r="182" spans="1:19" x14ac:dyDescent="0.25">
      <c r="A182" s="378"/>
      <c r="B182" s="365" t="s">
        <v>287</v>
      </c>
      <c r="C182" s="444"/>
      <c r="D182" s="444"/>
      <c r="E182" s="443"/>
      <c r="F182" s="443"/>
      <c r="G182" s="444"/>
      <c r="H182" s="444"/>
      <c r="I182" s="443"/>
      <c r="J182" s="444"/>
      <c r="K182" s="444"/>
      <c r="L182" s="443"/>
      <c r="M182" s="444"/>
      <c r="N182" s="444"/>
      <c r="O182" s="495"/>
      <c r="P182" s="496"/>
      <c r="Q182" s="496"/>
      <c r="R182" s="495"/>
    </row>
    <row r="183" spans="1:19" x14ac:dyDescent="0.25">
      <c r="A183" s="378"/>
      <c r="B183" s="365" t="s">
        <v>292</v>
      </c>
      <c r="C183" s="444"/>
      <c r="D183" s="444"/>
      <c r="E183" s="443"/>
      <c r="F183" s="443"/>
      <c r="G183" s="444"/>
      <c r="H183" s="444"/>
      <c r="I183" s="443"/>
      <c r="J183" s="444"/>
      <c r="K183" s="444"/>
      <c r="L183" s="443"/>
      <c r="M183" s="444"/>
      <c r="N183" s="444"/>
      <c r="O183" s="495"/>
      <c r="P183" s="496"/>
      <c r="Q183" s="496"/>
      <c r="R183" s="495"/>
    </row>
    <row r="184" spans="1:19" s="875" customFormat="1" x14ac:dyDescent="0.25">
      <c r="A184" s="536" t="s">
        <v>746</v>
      </c>
      <c r="B184" s="537" t="s">
        <v>1152</v>
      </c>
      <c r="C184" s="538"/>
      <c r="D184" s="538"/>
      <c r="E184" s="535">
        <f>+E185</f>
        <v>5300000</v>
      </c>
      <c r="F184" s="535"/>
      <c r="G184" s="538"/>
      <c r="H184" s="538"/>
      <c r="I184" s="535">
        <f>+I185</f>
        <v>5300000</v>
      </c>
      <c r="J184" s="538"/>
      <c r="K184" s="538"/>
      <c r="L184" s="535">
        <f>+L185</f>
        <v>5300000</v>
      </c>
      <c r="M184" s="538"/>
      <c r="N184" s="538"/>
      <c r="O184" s="535">
        <f>+O185</f>
        <v>5300000</v>
      </c>
      <c r="P184" s="538"/>
      <c r="Q184" s="538"/>
      <c r="R184" s="535">
        <f>+R185</f>
        <v>3331250</v>
      </c>
      <c r="S184" s="875">
        <v>5240</v>
      </c>
    </row>
    <row r="185" spans="1:19" x14ac:dyDescent="0.25">
      <c r="A185" s="378"/>
      <c r="B185" s="365" t="s">
        <v>292</v>
      </c>
      <c r="C185" s="444"/>
      <c r="D185" s="444"/>
      <c r="E185" s="443">
        <f>4180000+1120000</f>
        <v>5300000</v>
      </c>
      <c r="F185" s="443"/>
      <c r="G185" s="444"/>
      <c r="H185" s="444"/>
      <c r="I185" s="443">
        <f>4180000+1120000</f>
        <v>5300000</v>
      </c>
      <c r="J185" s="444"/>
      <c r="K185" s="444"/>
      <c r="L185" s="443">
        <f>4180000+1120000</f>
        <v>5300000</v>
      </c>
      <c r="M185" s="444"/>
      <c r="N185" s="444"/>
      <c r="O185" s="495">
        <f>4180000+1120000</f>
        <v>5300000</v>
      </c>
      <c r="P185" s="496"/>
      <c r="Q185" s="496"/>
      <c r="R185" s="495">
        <v>3331250</v>
      </c>
    </row>
    <row r="186" spans="1:19" s="879" customFormat="1" x14ac:dyDescent="0.25">
      <c r="A186" s="536" t="s">
        <v>748</v>
      </c>
      <c r="B186" s="537" t="s">
        <v>656</v>
      </c>
      <c r="C186" s="538"/>
      <c r="D186" s="538"/>
      <c r="E186" s="535">
        <f>SUM(E187:E189)</f>
        <v>8512000</v>
      </c>
      <c r="F186" s="535"/>
      <c r="G186" s="538"/>
      <c r="H186" s="538"/>
      <c r="I186" s="535">
        <f>SUM(I187:I189)</f>
        <v>8512000</v>
      </c>
      <c r="J186" s="538"/>
      <c r="K186" s="538"/>
      <c r="L186" s="535">
        <f>SUM(L187:L189)</f>
        <v>8512000</v>
      </c>
      <c r="M186" s="538"/>
      <c r="N186" s="538"/>
      <c r="O186" s="535">
        <f>SUM(O187:O189)</f>
        <v>8512000</v>
      </c>
      <c r="P186" s="538"/>
      <c r="Q186" s="538"/>
      <c r="R186" s="535">
        <f>SUM(R187:R189)</f>
        <v>1627601</v>
      </c>
      <c r="S186" s="879">
        <v>5234</v>
      </c>
    </row>
    <row r="187" spans="1:19" x14ac:dyDescent="0.25">
      <c r="A187" s="378"/>
      <c r="B187" s="365" t="s">
        <v>286</v>
      </c>
      <c r="C187" s="444"/>
      <c r="D187" s="444"/>
      <c r="E187" s="443">
        <v>8000000</v>
      </c>
      <c r="F187" s="443"/>
      <c r="G187" s="444"/>
      <c r="H187" s="444"/>
      <c r="I187" s="443">
        <v>8000000</v>
      </c>
      <c r="J187" s="444"/>
      <c r="K187" s="444"/>
      <c r="L187" s="443">
        <v>8000000</v>
      </c>
      <c r="M187" s="444"/>
      <c r="N187" s="444"/>
      <c r="O187" s="495">
        <f>8000000-188401</f>
        <v>7811599</v>
      </c>
      <c r="P187" s="496"/>
      <c r="Q187" s="496"/>
      <c r="R187" s="495">
        <v>1289200</v>
      </c>
    </row>
    <row r="188" spans="1:19" x14ac:dyDescent="0.25">
      <c r="A188" s="378"/>
      <c r="B188" s="365" t="s">
        <v>287</v>
      </c>
      <c r="C188" s="444"/>
      <c r="D188" s="444"/>
      <c r="E188" s="443"/>
      <c r="F188" s="443"/>
      <c r="G188" s="444"/>
      <c r="H188" s="444"/>
      <c r="I188" s="443"/>
      <c r="J188" s="444"/>
      <c r="K188" s="444"/>
      <c r="L188" s="443"/>
      <c r="M188" s="444"/>
      <c r="N188" s="444"/>
      <c r="O188" s="495">
        <v>188401</v>
      </c>
      <c r="P188" s="496"/>
      <c r="Q188" s="496"/>
      <c r="R188" s="495">
        <v>188401</v>
      </c>
    </row>
    <row r="189" spans="1:19" x14ac:dyDescent="0.25">
      <c r="A189" s="378"/>
      <c r="B189" s="365" t="s">
        <v>292</v>
      </c>
      <c r="C189" s="444"/>
      <c r="D189" s="444"/>
      <c r="E189" s="443">
        <v>512000</v>
      </c>
      <c r="F189" s="443"/>
      <c r="G189" s="444"/>
      <c r="H189" s="444"/>
      <c r="I189" s="443">
        <v>512000</v>
      </c>
      <c r="J189" s="444"/>
      <c r="K189" s="444"/>
      <c r="L189" s="443">
        <v>512000</v>
      </c>
      <c r="M189" s="444"/>
      <c r="N189" s="444"/>
      <c r="O189" s="495">
        <v>512000</v>
      </c>
      <c r="P189" s="496"/>
      <c r="Q189" s="496"/>
      <c r="R189" s="495">
        <v>150000</v>
      </c>
    </row>
    <row r="190" spans="1:19" s="875" customFormat="1" x14ac:dyDescent="0.25">
      <c r="A190" s="536" t="s">
        <v>750</v>
      </c>
      <c r="B190" s="537" t="s">
        <v>1402</v>
      </c>
      <c r="C190" s="538"/>
      <c r="D190" s="538"/>
      <c r="E190" s="535">
        <f>SUM(E191:E193)</f>
        <v>80000000</v>
      </c>
      <c r="F190" s="535"/>
      <c r="G190" s="538"/>
      <c r="H190" s="538"/>
      <c r="I190" s="535">
        <f>SUM(I191:I193)</f>
        <v>81324000</v>
      </c>
      <c r="J190" s="538"/>
      <c r="K190" s="538"/>
      <c r="L190" s="535">
        <f>SUM(L191:L193)</f>
        <v>81324000</v>
      </c>
      <c r="M190" s="538"/>
      <c r="N190" s="538"/>
      <c r="O190" s="535">
        <f>SUM(O191:O193)</f>
        <v>141324000</v>
      </c>
      <c r="P190" s="538"/>
      <c r="Q190" s="538"/>
      <c r="R190" s="535">
        <f>SUM(R191:R193)</f>
        <v>127769000</v>
      </c>
      <c r="S190" s="875">
        <v>5239</v>
      </c>
    </row>
    <row r="191" spans="1:19" x14ac:dyDescent="0.25">
      <c r="A191" s="378"/>
      <c r="B191" s="365" t="s">
        <v>1273</v>
      </c>
      <c r="C191" s="444"/>
      <c r="D191" s="444"/>
      <c r="E191" s="443">
        <v>60000000</v>
      </c>
      <c r="F191" s="443"/>
      <c r="G191" s="444"/>
      <c r="H191" s="444"/>
      <c r="I191" s="443">
        <v>60000000</v>
      </c>
      <c r="J191" s="444"/>
      <c r="K191" s="444"/>
      <c r="L191" s="443">
        <v>60000000</v>
      </c>
      <c r="M191" s="444"/>
      <c r="N191" s="444"/>
      <c r="O191" s="495">
        <f>60000000+60000000</f>
        <v>120000000</v>
      </c>
      <c r="P191" s="496"/>
      <c r="Q191" s="496"/>
      <c r="R191" s="495">
        <f>60000000+60000000</f>
        <v>120000000</v>
      </c>
    </row>
    <row r="192" spans="1:19" x14ac:dyDescent="0.25">
      <c r="A192" s="378"/>
      <c r="B192" s="365" t="s">
        <v>1319</v>
      </c>
      <c r="C192" s="444"/>
      <c r="D192" s="444"/>
      <c r="E192" s="443">
        <f>15750000+4250000</f>
        <v>20000000</v>
      </c>
      <c r="F192" s="443"/>
      <c r="G192" s="444"/>
      <c r="H192" s="444"/>
      <c r="I192" s="443">
        <f>15750000+4250000+1324000</f>
        <v>21324000</v>
      </c>
      <c r="J192" s="444"/>
      <c r="K192" s="444"/>
      <c r="L192" s="443">
        <f>15750000+4250000+1324000</f>
        <v>21324000</v>
      </c>
      <c r="M192" s="444"/>
      <c r="N192" s="444"/>
      <c r="O192" s="495">
        <f>15750000+4250000+1324000</f>
        <v>21324000</v>
      </c>
      <c r="P192" s="496"/>
      <c r="Q192" s="496"/>
      <c r="R192" s="495">
        <v>7769000</v>
      </c>
    </row>
    <row r="193" spans="1:19" x14ac:dyDescent="0.25">
      <c r="A193" s="378"/>
      <c r="B193" s="365" t="s">
        <v>351</v>
      </c>
      <c r="C193" s="444"/>
      <c r="D193" s="444"/>
      <c r="E193" s="443"/>
      <c r="F193" s="443"/>
      <c r="G193" s="444"/>
      <c r="H193" s="444"/>
      <c r="I193" s="443"/>
      <c r="J193" s="444"/>
      <c r="K193" s="444"/>
      <c r="L193" s="443"/>
      <c r="M193" s="444"/>
      <c r="N193" s="444"/>
      <c r="O193" s="495"/>
      <c r="P193" s="496"/>
      <c r="Q193" s="496"/>
      <c r="R193" s="495"/>
    </row>
    <row r="194" spans="1:19" s="880" customFormat="1" x14ac:dyDescent="0.25">
      <c r="A194" s="536" t="s">
        <v>1666</v>
      </c>
      <c r="B194" s="537" t="s">
        <v>1669</v>
      </c>
      <c r="C194" s="538"/>
      <c r="D194" s="538"/>
      <c r="E194" s="535">
        <f>+E197</f>
        <v>3000000</v>
      </c>
      <c r="F194" s="535"/>
      <c r="G194" s="538"/>
      <c r="H194" s="538"/>
      <c r="I194" s="535">
        <f>+I197</f>
        <v>3000000</v>
      </c>
      <c r="J194" s="538"/>
      <c r="K194" s="538"/>
      <c r="L194" s="535">
        <f>+L197</f>
        <v>3000000</v>
      </c>
      <c r="M194" s="538"/>
      <c r="N194" s="538"/>
      <c r="O194" s="535">
        <f>+O195+O196+O197</f>
        <v>3000000</v>
      </c>
      <c r="P194" s="538"/>
      <c r="Q194" s="538"/>
      <c r="R194" s="535">
        <f>+R195+R196+R197</f>
        <v>0</v>
      </c>
      <c r="S194" s="880">
        <v>5246</v>
      </c>
    </row>
    <row r="195" spans="1:19" s="880" customFormat="1" x14ac:dyDescent="0.25">
      <c r="A195" s="536"/>
      <c r="B195" s="365" t="s">
        <v>286</v>
      </c>
      <c r="C195" s="538"/>
      <c r="D195" s="538"/>
      <c r="E195" s="535"/>
      <c r="F195" s="535"/>
      <c r="G195" s="538"/>
      <c r="H195" s="538"/>
      <c r="I195" s="535"/>
      <c r="J195" s="538"/>
      <c r="K195" s="538"/>
      <c r="L195" s="535"/>
      <c r="M195" s="538"/>
      <c r="N195" s="538"/>
      <c r="O195" s="495">
        <v>400000</v>
      </c>
      <c r="P195" s="538"/>
      <c r="Q195" s="538"/>
      <c r="R195" s="535"/>
    </row>
    <row r="196" spans="1:19" s="880" customFormat="1" x14ac:dyDescent="0.25">
      <c r="A196" s="536"/>
      <c r="B196" s="365" t="s">
        <v>287</v>
      </c>
      <c r="C196" s="538"/>
      <c r="D196" s="538"/>
      <c r="E196" s="535"/>
      <c r="F196" s="535"/>
      <c r="G196" s="538"/>
      <c r="H196" s="538"/>
      <c r="I196" s="535"/>
      <c r="J196" s="538"/>
      <c r="K196" s="538"/>
      <c r="L196" s="535"/>
      <c r="M196" s="538"/>
      <c r="N196" s="538"/>
      <c r="O196" s="495">
        <v>200000</v>
      </c>
      <c r="P196" s="538"/>
      <c r="Q196" s="538"/>
      <c r="R196" s="535"/>
    </row>
    <row r="197" spans="1:19" x14ac:dyDescent="0.25">
      <c r="A197" s="378"/>
      <c r="B197" s="365" t="s">
        <v>292</v>
      </c>
      <c r="C197" s="444"/>
      <c r="D197" s="444"/>
      <c r="E197" s="443">
        <v>3000000</v>
      </c>
      <c r="F197" s="443"/>
      <c r="G197" s="444"/>
      <c r="H197" s="444"/>
      <c r="I197" s="443">
        <v>3000000</v>
      </c>
      <c r="J197" s="444"/>
      <c r="K197" s="444"/>
      <c r="L197" s="443">
        <v>3000000</v>
      </c>
      <c r="M197" s="444"/>
      <c r="N197" s="444"/>
      <c r="O197" s="495">
        <v>2400000</v>
      </c>
      <c r="P197" s="496"/>
      <c r="Q197" s="496"/>
      <c r="R197" s="495">
        <v>0</v>
      </c>
    </row>
    <row r="198" spans="1:19" s="880" customFormat="1" x14ac:dyDescent="0.25">
      <c r="A198" s="536" t="s">
        <v>1668</v>
      </c>
      <c r="B198" s="537" t="s">
        <v>1667</v>
      </c>
      <c r="C198" s="538"/>
      <c r="D198" s="538"/>
      <c r="E198" s="535">
        <f>SUM(E199:E201)</f>
        <v>1000000</v>
      </c>
      <c r="F198" s="535"/>
      <c r="G198" s="538"/>
      <c r="H198" s="538"/>
      <c r="I198" s="535">
        <f>SUM(I199:I201)</f>
        <v>1000000</v>
      </c>
      <c r="J198" s="538"/>
      <c r="K198" s="538"/>
      <c r="L198" s="535">
        <f>SUM(L199:L201)</f>
        <v>1000000</v>
      </c>
      <c r="M198" s="538"/>
      <c r="N198" s="538"/>
      <c r="O198" s="535">
        <f>SUM(O199:O201)</f>
        <v>1000000</v>
      </c>
      <c r="P198" s="538"/>
      <c r="Q198" s="538"/>
      <c r="R198" s="535">
        <f>SUM(R199:R201)</f>
        <v>0</v>
      </c>
      <c r="S198" s="880">
        <v>5243</v>
      </c>
    </row>
    <row r="199" spans="1:19" x14ac:dyDescent="0.25">
      <c r="A199" s="378"/>
      <c r="B199" s="365" t="s">
        <v>286</v>
      </c>
      <c r="C199" s="444"/>
      <c r="D199" s="444"/>
      <c r="E199" s="443">
        <v>400000</v>
      </c>
      <c r="F199" s="443"/>
      <c r="G199" s="444"/>
      <c r="H199" s="444"/>
      <c r="I199" s="443">
        <v>400000</v>
      </c>
      <c r="J199" s="444"/>
      <c r="K199" s="444"/>
      <c r="L199" s="443">
        <v>400000</v>
      </c>
      <c r="M199" s="444"/>
      <c r="N199" s="444"/>
      <c r="O199" s="495">
        <v>400000</v>
      </c>
      <c r="P199" s="496"/>
      <c r="Q199" s="496"/>
      <c r="R199" s="495">
        <v>0</v>
      </c>
    </row>
    <row r="200" spans="1:19" x14ac:dyDescent="0.25">
      <c r="A200" s="378"/>
      <c r="B200" s="365" t="s">
        <v>287</v>
      </c>
      <c r="C200" s="444"/>
      <c r="D200" s="444"/>
      <c r="E200" s="443">
        <v>200000</v>
      </c>
      <c r="F200" s="443"/>
      <c r="G200" s="444"/>
      <c r="H200" s="444"/>
      <c r="I200" s="443">
        <v>200000</v>
      </c>
      <c r="J200" s="444"/>
      <c r="K200" s="444"/>
      <c r="L200" s="443">
        <v>200000</v>
      </c>
      <c r="M200" s="444"/>
      <c r="N200" s="444"/>
      <c r="O200" s="495">
        <v>200000</v>
      </c>
      <c r="P200" s="496"/>
      <c r="Q200" s="496"/>
      <c r="R200" s="495">
        <v>0</v>
      </c>
    </row>
    <row r="201" spans="1:19" x14ac:dyDescent="0.25">
      <c r="A201" s="378"/>
      <c r="B201" s="365" t="s">
        <v>1319</v>
      </c>
      <c r="C201" s="444"/>
      <c r="D201" s="444"/>
      <c r="E201" s="443">
        <v>400000</v>
      </c>
      <c r="F201" s="443"/>
      <c r="G201" s="444"/>
      <c r="H201" s="444"/>
      <c r="I201" s="443">
        <v>400000</v>
      </c>
      <c r="J201" s="444"/>
      <c r="K201" s="444"/>
      <c r="L201" s="443">
        <v>400000</v>
      </c>
      <c r="M201" s="444"/>
      <c r="N201" s="444"/>
      <c r="O201" s="495">
        <v>400000</v>
      </c>
      <c r="P201" s="496"/>
      <c r="Q201" s="496"/>
      <c r="R201" s="495">
        <v>0</v>
      </c>
    </row>
    <row r="202" spans="1:19" s="880" customFormat="1" x14ac:dyDescent="0.25">
      <c r="A202" s="536" t="s">
        <v>1670</v>
      </c>
      <c r="B202" s="537" t="s">
        <v>1721</v>
      </c>
      <c r="C202" s="538"/>
      <c r="D202" s="538"/>
      <c r="E202" s="535">
        <f>+E203+E204+E205</f>
        <v>26000000</v>
      </c>
      <c r="F202" s="535"/>
      <c r="G202" s="538"/>
      <c r="H202" s="538"/>
      <c r="I202" s="535">
        <f>+I203+I204+I205</f>
        <v>26000000</v>
      </c>
      <c r="J202" s="538"/>
      <c r="K202" s="538"/>
      <c r="L202" s="535">
        <f>+L203+L204+L205</f>
        <v>26000000</v>
      </c>
      <c r="M202" s="538"/>
      <c r="N202" s="538"/>
      <c r="O202" s="535">
        <f>+O203+O204+O205</f>
        <v>26000000</v>
      </c>
      <c r="P202" s="538"/>
      <c r="Q202" s="538"/>
      <c r="R202" s="535">
        <f>+R203+R204+R205</f>
        <v>0</v>
      </c>
      <c r="S202" s="880">
        <v>5247</v>
      </c>
    </row>
    <row r="203" spans="1:19" x14ac:dyDescent="0.25">
      <c r="A203" s="378"/>
      <c r="B203" s="365" t="s">
        <v>286</v>
      </c>
      <c r="C203" s="444"/>
      <c r="D203" s="444"/>
      <c r="E203" s="443"/>
      <c r="F203" s="443"/>
      <c r="G203" s="444"/>
      <c r="H203" s="444"/>
      <c r="I203" s="443"/>
      <c r="J203" s="444"/>
      <c r="K203" s="444"/>
      <c r="L203" s="443"/>
      <c r="M203" s="444"/>
      <c r="N203" s="444"/>
      <c r="O203" s="495"/>
      <c r="P203" s="496"/>
      <c r="Q203" s="496"/>
      <c r="R203" s="495"/>
    </row>
    <row r="204" spans="1:19" x14ac:dyDescent="0.25">
      <c r="A204" s="378"/>
      <c r="B204" s="365" t="s">
        <v>287</v>
      </c>
      <c r="C204" s="444"/>
      <c r="D204" s="444"/>
      <c r="E204" s="443"/>
      <c r="F204" s="443"/>
      <c r="G204" s="444"/>
      <c r="H204" s="444"/>
      <c r="I204" s="443"/>
      <c r="J204" s="444"/>
      <c r="K204" s="444"/>
      <c r="L204" s="443"/>
      <c r="M204" s="444"/>
      <c r="N204" s="444"/>
      <c r="O204" s="495"/>
      <c r="P204" s="496"/>
      <c r="Q204" s="496"/>
      <c r="R204" s="495"/>
    </row>
    <row r="205" spans="1:19" x14ac:dyDescent="0.25">
      <c r="A205" s="378"/>
      <c r="B205" s="365" t="s">
        <v>1319</v>
      </c>
      <c r="C205" s="444"/>
      <c r="D205" s="444"/>
      <c r="E205" s="443">
        <v>26000000</v>
      </c>
      <c r="F205" s="443"/>
      <c r="G205" s="444"/>
      <c r="H205" s="444"/>
      <c r="I205" s="443">
        <v>26000000</v>
      </c>
      <c r="J205" s="444"/>
      <c r="K205" s="444"/>
      <c r="L205" s="443">
        <v>26000000</v>
      </c>
      <c r="M205" s="444"/>
      <c r="N205" s="444"/>
      <c r="O205" s="495">
        <v>26000000</v>
      </c>
      <c r="P205" s="496"/>
      <c r="Q205" s="496"/>
      <c r="R205" s="495">
        <v>0</v>
      </c>
    </row>
    <row r="206" spans="1:19" s="880" customFormat="1" x14ac:dyDescent="0.25">
      <c r="A206" s="536" t="s">
        <v>1695</v>
      </c>
      <c r="B206" s="537" t="s">
        <v>1722</v>
      </c>
      <c r="C206" s="496"/>
      <c r="D206" s="496"/>
      <c r="E206" s="535">
        <f>+E207+E208+E209</f>
        <v>0</v>
      </c>
      <c r="F206" s="535"/>
      <c r="G206" s="496"/>
      <c r="H206" s="496"/>
      <c r="I206" s="535">
        <f>+I207+I208+I209</f>
        <v>0</v>
      </c>
      <c r="J206" s="496"/>
      <c r="K206" s="496"/>
      <c r="L206" s="535">
        <f>+L207+L208+L209</f>
        <v>0</v>
      </c>
      <c r="M206" s="496"/>
      <c r="N206" s="496"/>
      <c r="O206" s="535">
        <f>+O207+O208+O209</f>
        <v>0</v>
      </c>
      <c r="P206" s="496"/>
      <c r="Q206" s="496"/>
      <c r="R206" s="535">
        <f>+R207+R208+R209</f>
        <v>0</v>
      </c>
    </row>
    <row r="207" spans="1:19" x14ac:dyDescent="0.25">
      <c r="A207" s="378"/>
      <c r="B207" s="365" t="s">
        <v>286</v>
      </c>
      <c r="C207" s="444"/>
      <c r="D207" s="444"/>
      <c r="E207" s="443"/>
      <c r="F207" s="443"/>
      <c r="G207" s="444"/>
      <c r="H207" s="444"/>
      <c r="I207" s="443"/>
      <c r="J207" s="444"/>
      <c r="K207" s="444"/>
      <c r="L207" s="443"/>
      <c r="M207" s="444"/>
      <c r="N207" s="444"/>
      <c r="O207" s="495"/>
      <c r="P207" s="496"/>
      <c r="Q207" s="496"/>
      <c r="R207" s="495"/>
    </row>
    <row r="208" spans="1:19" x14ac:dyDescent="0.25">
      <c r="A208" s="378"/>
      <c r="B208" s="365" t="s">
        <v>287</v>
      </c>
      <c r="C208" s="444"/>
      <c r="D208" s="444"/>
      <c r="E208" s="443"/>
      <c r="F208" s="443"/>
      <c r="G208" s="444"/>
      <c r="H208" s="444"/>
      <c r="I208" s="443"/>
      <c r="J208" s="444"/>
      <c r="K208" s="444"/>
      <c r="L208" s="443"/>
      <c r="M208" s="444"/>
      <c r="N208" s="444"/>
      <c r="O208" s="495"/>
      <c r="P208" s="496"/>
      <c r="Q208" s="496"/>
      <c r="R208" s="495"/>
    </row>
    <row r="209" spans="1:19" x14ac:dyDescent="0.25">
      <c r="A209" s="378"/>
      <c r="B209" s="365" t="s">
        <v>1319</v>
      </c>
      <c r="C209" s="444"/>
      <c r="D209" s="444"/>
      <c r="E209" s="443"/>
      <c r="F209" s="443"/>
      <c r="G209" s="444"/>
      <c r="H209" s="444"/>
      <c r="I209" s="443"/>
      <c r="J209" s="444"/>
      <c r="K209" s="444"/>
      <c r="L209" s="443"/>
      <c r="M209" s="444"/>
      <c r="N209" s="444"/>
      <c r="O209" s="495"/>
      <c r="P209" s="496"/>
      <c r="Q209" s="496"/>
      <c r="R209" s="495"/>
    </row>
    <row r="210" spans="1:19" s="880" customFormat="1" x14ac:dyDescent="0.25">
      <c r="A210" s="536" t="s">
        <v>1719</v>
      </c>
      <c r="B210" s="537" t="s">
        <v>1757</v>
      </c>
      <c r="C210" s="496"/>
      <c r="D210" s="496"/>
      <c r="E210" s="535">
        <f>+E211</f>
        <v>5000000</v>
      </c>
      <c r="F210" s="535"/>
      <c r="G210" s="496"/>
      <c r="H210" s="496"/>
      <c r="I210" s="535">
        <f>+I211</f>
        <v>5000000</v>
      </c>
      <c r="J210" s="496"/>
      <c r="K210" s="496"/>
      <c r="L210" s="535">
        <f>+L211</f>
        <v>5000000</v>
      </c>
      <c r="M210" s="496"/>
      <c r="N210" s="496"/>
      <c r="O210" s="535">
        <f>+O211</f>
        <v>5000000</v>
      </c>
      <c r="P210" s="496"/>
      <c r="Q210" s="496"/>
      <c r="R210" s="535">
        <f>+R211</f>
        <v>0</v>
      </c>
      <c r="S210" s="880">
        <v>5249</v>
      </c>
    </row>
    <row r="211" spans="1:19" x14ac:dyDescent="0.25">
      <c r="A211" s="378"/>
      <c r="B211" s="365" t="s">
        <v>1319</v>
      </c>
      <c r="C211" s="444"/>
      <c r="D211" s="444"/>
      <c r="E211" s="443">
        <v>5000000</v>
      </c>
      <c r="F211" s="443"/>
      <c r="G211" s="444"/>
      <c r="H211" s="444"/>
      <c r="I211" s="443">
        <v>5000000</v>
      </c>
      <c r="J211" s="444"/>
      <c r="K211" s="444"/>
      <c r="L211" s="443">
        <v>5000000</v>
      </c>
      <c r="M211" s="444"/>
      <c r="N211" s="444"/>
      <c r="O211" s="495">
        <v>5000000</v>
      </c>
      <c r="P211" s="496"/>
      <c r="Q211" s="496"/>
      <c r="R211" s="495">
        <v>0</v>
      </c>
    </row>
    <row r="212" spans="1:19" s="880" customFormat="1" x14ac:dyDescent="0.25">
      <c r="A212" s="536" t="s">
        <v>1720</v>
      </c>
      <c r="B212" s="537" t="s">
        <v>1723</v>
      </c>
      <c r="C212" s="496"/>
      <c r="D212" s="496"/>
      <c r="E212" s="535">
        <f>+E213+E214+E215</f>
        <v>2000000</v>
      </c>
      <c r="F212" s="535"/>
      <c r="G212" s="496"/>
      <c r="H212" s="496"/>
      <c r="I212" s="535">
        <f>+I213+I214+I215</f>
        <v>2000000</v>
      </c>
      <c r="J212" s="496"/>
      <c r="K212" s="496"/>
      <c r="L212" s="535">
        <f>+L213+L214+L215</f>
        <v>2000000</v>
      </c>
      <c r="M212" s="496"/>
      <c r="N212" s="496"/>
      <c r="O212" s="535">
        <f>+O213+O214+O215</f>
        <v>2000000</v>
      </c>
      <c r="P212" s="496"/>
      <c r="Q212" s="496"/>
      <c r="R212" s="535">
        <f>+R213+R214+R215</f>
        <v>0</v>
      </c>
      <c r="S212" s="880">
        <v>5250</v>
      </c>
    </row>
    <row r="213" spans="1:19" x14ac:dyDescent="0.25">
      <c r="A213" s="378"/>
      <c r="B213" s="365" t="s">
        <v>286</v>
      </c>
      <c r="C213" s="444"/>
      <c r="D213" s="444"/>
      <c r="E213" s="443"/>
      <c r="F213" s="443"/>
      <c r="G213" s="444"/>
      <c r="H213" s="444"/>
      <c r="I213" s="443"/>
      <c r="J213" s="444"/>
      <c r="K213" s="444"/>
      <c r="L213" s="443"/>
      <c r="M213" s="444"/>
      <c r="N213" s="444"/>
      <c r="O213" s="495"/>
      <c r="P213" s="496"/>
      <c r="Q213" s="496"/>
      <c r="R213" s="495"/>
    </row>
    <row r="214" spans="1:19" x14ac:dyDescent="0.25">
      <c r="A214" s="378"/>
      <c r="B214" s="365" t="s">
        <v>287</v>
      </c>
      <c r="C214" s="444"/>
      <c r="D214" s="444"/>
      <c r="E214" s="443"/>
      <c r="F214" s="443"/>
      <c r="G214" s="444"/>
      <c r="H214" s="444"/>
      <c r="I214" s="443"/>
      <c r="J214" s="444"/>
      <c r="K214" s="444"/>
      <c r="L214" s="443"/>
      <c r="M214" s="444"/>
      <c r="N214" s="444"/>
      <c r="O214" s="495"/>
      <c r="P214" s="496"/>
      <c r="Q214" s="496"/>
      <c r="R214" s="495"/>
    </row>
    <row r="215" spans="1:19" x14ac:dyDescent="0.25">
      <c r="A215" s="378"/>
      <c r="B215" s="365" t="s">
        <v>1319</v>
      </c>
      <c r="C215" s="444"/>
      <c r="D215" s="444"/>
      <c r="E215" s="443">
        <v>2000000</v>
      </c>
      <c r="F215" s="443"/>
      <c r="G215" s="444"/>
      <c r="H215" s="444"/>
      <c r="I215" s="443">
        <v>2000000</v>
      </c>
      <c r="J215" s="444"/>
      <c r="K215" s="444"/>
      <c r="L215" s="443">
        <v>2000000</v>
      </c>
      <c r="M215" s="444"/>
      <c r="N215" s="444"/>
      <c r="O215" s="495">
        <v>2000000</v>
      </c>
      <c r="P215" s="496"/>
      <c r="Q215" s="496"/>
      <c r="R215" s="495">
        <v>0</v>
      </c>
    </row>
    <row r="216" spans="1:19" s="880" customFormat="1" x14ac:dyDescent="0.25">
      <c r="A216" s="536" t="s">
        <v>1724</v>
      </c>
      <c r="B216" s="537" t="s">
        <v>1727</v>
      </c>
      <c r="C216" s="496"/>
      <c r="D216" s="496"/>
      <c r="E216" s="535">
        <f>SUM(E217:E219)</f>
        <v>1635000</v>
      </c>
      <c r="F216" s="535"/>
      <c r="G216" s="496"/>
      <c r="H216" s="496"/>
      <c r="I216" s="535">
        <f>SUM(I217:I219)</f>
        <v>1635000</v>
      </c>
      <c r="J216" s="496"/>
      <c r="K216" s="496"/>
      <c r="L216" s="535">
        <f>SUM(L217:L219)</f>
        <v>1635000</v>
      </c>
      <c r="M216" s="496"/>
      <c r="N216" s="496"/>
      <c r="O216" s="535">
        <f>SUM(O217:O219)</f>
        <v>1635000</v>
      </c>
      <c r="P216" s="496"/>
      <c r="Q216" s="496"/>
      <c r="R216" s="535">
        <f>SUM(R217:R219)</f>
        <v>38738</v>
      </c>
      <c r="S216" s="880">
        <v>5244</v>
      </c>
    </row>
    <row r="217" spans="1:19" x14ac:dyDescent="0.25">
      <c r="A217" s="378"/>
      <c r="B217" s="365" t="s">
        <v>286</v>
      </c>
      <c r="C217" s="444"/>
      <c r="D217" s="444"/>
      <c r="E217" s="443"/>
      <c r="F217" s="443"/>
      <c r="G217" s="444"/>
      <c r="H217" s="444"/>
      <c r="I217" s="443"/>
      <c r="J217" s="444"/>
      <c r="K217" s="444"/>
      <c r="L217" s="443"/>
      <c r="M217" s="444"/>
      <c r="N217" s="444"/>
      <c r="O217" s="495">
        <v>26686</v>
      </c>
      <c r="P217" s="496"/>
      <c r="Q217" s="496"/>
      <c r="R217" s="495">
        <v>26686</v>
      </c>
    </row>
    <row r="218" spans="1:19" x14ac:dyDescent="0.25">
      <c r="A218" s="378"/>
      <c r="B218" s="365" t="s">
        <v>287</v>
      </c>
      <c r="C218" s="444"/>
      <c r="D218" s="444"/>
      <c r="E218" s="443">
        <v>200000</v>
      </c>
      <c r="F218" s="443"/>
      <c r="G218" s="444"/>
      <c r="H218" s="444"/>
      <c r="I218" s="443">
        <v>200000</v>
      </c>
      <c r="J218" s="444"/>
      <c r="K218" s="444"/>
      <c r="L218" s="443">
        <v>200000</v>
      </c>
      <c r="M218" s="444"/>
      <c r="N218" s="444"/>
      <c r="O218" s="495">
        <f>200000-26686</f>
        <v>173314</v>
      </c>
      <c r="P218" s="496"/>
      <c r="Q218" s="496"/>
      <c r="R218" s="495">
        <v>10738</v>
      </c>
    </row>
    <row r="219" spans="1:19" x14ac:dyDescent="0.25">
      <c r="A219" s="378"/>
      <c r="B219" s="365" t="s">
        <v>1319</v>
      </c>
      <c r="C219" s="444"/>
      <c r="D219" s="444"/>
      <c r="E219" s="443">
        <v>1435000</v>
      </c>
      <c r="F219" s="443"/>
      <c r="G219" s="444"/>
      <c r="H219" s="444"/>
      <c r="I219" s="443">
        <v>1435000</v>
      </c>
      <c r="J219" s="444"/>
      <c r="K219" s="444"/>
      <c r="L219" s="443">
        <v>1435000</v>
      </c>
      <c r="M219" s="444"/>
      <c r="N219" s="444"/>
      <c r="O219" s="495">
        <v>1435000</v>
      </c>
      <c r="P219" s="496"/>
      <c r="Q219" s="496"/>
      <c r="R219" s="495">
        <v>1314</v>
      </c>
    </row>
    <row r="220" spans="1:19" s="880" customFormat="1" x14ac:dyDescent="0.25">
      <c r="A220" s="536" t="s">
        <v>1725</v>
      </c>
      <c r="B220" s="537" t="s">
        <v>1729</v>
      </c>
      <c r="C220" s="496"/>
      <c r="D220" s="496"/>
      <c r="E220" s="535">
        <f>+E221</f>
        <v>1000000</v>
      </c>
      <c r="F220" s="535"/>
      <c r="G220" s="496"/>
      <c r="H220" s="496"/>
      <c r="I220" s="535">
        <f>+I221</f>
        <v>1000000</v>
      </c>
      <c r="J220" s="496"/>
      <c r="K220" s="496"/>
      <c r="L220" s="535">
        <f>+L221</f>
        <v>1000000</v>
      </c>
      <c r="M220" s="496"/>
      <c r="N220" s="496"/>
      <c r="O220" s="535">
        <f>+O221+O222</f>
        <v>1000000</v>
      </c>
      <c r="P220" s="496"/>
      <c r="Q220" s="496"/>
      <c r="R220" s="535">
        <f>+R221+R222</f>
        <v>792836</v>
      </c>
      <c r="S220" s="880">
        <v>5251</v>
      </c>
    </row>
    <row r="221" spans="1:19" x14ac:dyDescent="0.25">
      <c r="A221" s="378"/>
      <c r="B221" s="365" t="s">
        <v>1319</v>
      </c>
      <c r="C221" s="444"/>
      <c r="D221" s="444"/>
      <c r="E221" s="443">
        <v>1000000</v>
      </c>
      <c r="F221" s="443"/>
      <c r="G221" s="444"/>
      <c r="H221" s="444"/>
      <c r="I221" s="443">
        <v>1000000</v>
      </c>
      <c r="J221" s="444"/>
      <c r="K221" s="444"/>
      <c r="L221" s="443">
        <v>1000000</v>
      </c>
      <c r="M221" s="444"/>
      <c r="N221" s="444"/>
      <c r="O221" s="495">
        <f>1000000-119736-89000</f>
        <v>791264</v>
      </c>
      <c r="P221" s="496"/>
      <c r="Q221" s="496"/>
      <c r="R221" s="495">
        <v>673100</v>
      </c>
    </row>
    <row r="222" spans="1:19" x14ac:dyDescent="0.25">
      <c r="A222" s="378"/>
      <c r="B222" s="365" t="s">
        <v>351</v>
      </c>
      <c r="C222" s="444"/>
      <c r="D222" s="444"/>
      <c r="E222" s="443"/>
      <c r="F222" s="443"/>
      <c r="G222" s="444"/>
      <c r="H222" s="444"/>
      <c r="I222" s="443"/>
      <c r="J222" s="444"/>
      <c r="K222" s="444"/>
      <c r="L222" s="443"/>
      <c r="M222" s="444"/>
      <c r="N222" s="444"/>
      <c r="O222" s="495">
        <f>119736+89000</f>
        <v>208736</v>
      </c>
      <c r="P222" s="496"/>
      <c r="Q222" s="496"/>
      <c r="R222" s="495">
        <v>119736</v>
      </c>
    </row>
    <row r="223" spans="1:19" s="880" customFormat="1" x14ac:dyDescent="0.25">
      <c r="A223" s="536" t="s">
        <v>1728</v>
      </c>
      <c r="B223" s="537" t="s">
        <v>1696</v>
      </c>
      <c r="C223" s="496"/>
      <c r="D223" s="496"/>
      <c r="E223" s="535">
        <f>+E224</f>
        <v>2160000</v>
      </c>
      <c r="F223" s="535"/>
      <c r="G223" s="496"/>
      <c r="H223" s="496"/>
      <c r="I223" s="535">
        <f>+I224</f>
        <v>2160000</v>
      </c>
      <c r="J223" s="496"/>
      <c r="K223" s="496"/>
      <c r="L223" s="535">
        <f>+L224</f>
        <v>2160000</v>
      </c>
      <c r="M223" s="496"/>
      <c r="N223" s="496"/>
      <c r="O223" s="535">
        <f>+O224</f>
        <v>2160000</v>
      </c>
      <c r="P223" s="496"/>
      <c r="Q223" s="496"/>
      <c r="R223" s="535">
        <f>+R224</f>
        <v>0</v>
      </c>
      <c r="S223" s="880">
        <v>5252</v>
      </c>
    </row>
    <row r="224" spans="1:19" x14ac:dyDescent="0.25">
      <c r="A224" s="378"/>
      <c r="B224" s="365" t="s">
        <v>1319</v>
      </c>
      <c r="C224" s="444"/>
      <c r="D224" s="444"/>
      <c r="E224" s="443">
        <v>2160000</v>
      </c>
      <c r="F224" s="443"/>
      <c r="G224" s="444"/>
      <c r="H224" s="444"/>
      <c r="I224" s="443">
        <v>2160000</v>
      </c>
      <c r="J224" s="444"/>
      <c r="K224" s="444"/>
      <c r="L224" s="443">
        <v>2160000</v>
      </c>
      <c r="M224" s="444"/>
      <c r="N224" s="444"/>
      <c r="O224" s="495">
        <v>2160000</v>
      </c>
      <c r="P224" s="496"/>
      <c r="Q224" s="496"/>
      <c r="R224" s="495">
        <v>0</v>
      </c>
    </row>
    <row r="225" spans="1:24" s="880" customFormat="1" x14ac:dyDescent="0.25">
      <c r="A225" s="536" t="s">
        <v>1762</v>
      </c>
      <c r="B225" s="537" t="s">
        <v>1763</v>
      </c>
      <c r="C225" s="496"/>
      <c r="D225" s="496"/>
      <c r="E225" s="495"/>
      <c r="F225" s="495"/>
      <c r="G225" s="496"/>
      <c r="H225" s="496"/>
      <c r="I225" s="535">
        <f>SUM(I228:I230)</f>
        <v>31119415</v>
      </c>
      <c r="J225" s="496"/>
      <c r="K225" s="496"/>
      <c r="L225" s="535">
        <f>SUM(L228:L230)</f>
        <v>51119415</v>
      </c>
      <c r="M225" s="496"/>
      <c r="N225" s="496"/>
      <c r="O225" s="535">
        <f>SUM(O226:O230)</f>
        <v>47296415</v>
      </c>
      <c r="P225" s="496"/>
      <c r="Q225" s="496"/>
      <c r="R225" s="535">
        <f>SUM(R226:R230)</f>
        <v>42398020</v>
      </c>
      <c r="S225" s="880">
        <v>5245</v>
      </c>
    </row>
    <row r="226" spans="1:24" x14ac:dyDescent="0.25">
      <c r="A226" s="375"/>
      <c r="B226" s="365" t="s">
        <v>286</v>
      </c>
      <c r="C226" s="444"/>
      <c r="D226" s="444"/>
      <c r="E226" s="443"/>
      <c r="F226" s="443"/>
      <c r="G226" s="444"/>
      <c r="H226" s="444"/>
      <c r="I226" s="441"/>
      <c r="J226" s="444"/>
      <c r="K226" s="444"/>
      <c r="L226" s="441"/>
      <c r="M226" s="444"/>
      <c r="N226" s="444"/>
      <c r="O226" s="495">
        <v>779587</v>
      </c>
      <c r="P226" s="496"/>
      <c r="Q226" s="496"/>
      <c r="R226" s="495">
        <v>779587</v>
      </c>
    </row>
    <row r="227" spans="1:24" x14ac:dyDescent="0.25">
      <c r="A227" s="375"/>
      <c r="B227" s="365" t="s">
        <v>287</v>
      </c>
      <c r="C227" s="444"/>
      <c r="D227" s="444"/>
      <c r="E227" s="443"/>
      <c r="F227" s="443"/>
      <c r="G227" s="444"/>
      <c r="H227" s="444"/>
      <c r="I227" s="441"/>
      <c r="J227" s="444"/>
      <c r="K227" s="444"/>
      <c r="L227" s="441"/>
      <c r="M227" s="444"/>
      <c r="N227" s="444"/>
      <c r="O227" s="495">
        <v>241919</v>
      </c>
      <c r="P227" s="496"/>
      <c r="Q227" s="496"/>
      <c r="R227" s="495">
        <v>241919</v>
      </c>
    </row>
    <row r="228" spans="1:24" x14ac:dyDescent="0.25">
      <c r="A228" s="375"/>
      <c r="B228" s="365" t="s">
        <v>1319</v>
      </c>
      <c r="C228" s="444"/>
      <c r="D228" s="444"/>
      <c r="E228" s="443"/>
      <c r="F228" s="443"/>
      <c r="G228" s="444"/>
      <c r="H228" s="444"/>
      <c r="I228" s="443">
        <f>10000000+296415+19000000</f>
        <v>29296415</v>
      </c>
      <c r="J228" s="444"/>
      <c r="K228" s="444"/>
      <c r="L228" s="443">
        <f>10000000+296415+19000000+20000000</f>
        <v>49296415</v>
      </c>
      <c r="M228" s="444"/>
      <c r="N228" s="444"/>
      <c r="O228" s="495">
        <f>10000000+296415+19000000+20000000-8592099-2946150-2000000-779587-241919-2142250</f>
        <v>32594410</v>
      </c>
      <c r="P228" s="496"/>
      <c r="Q228" s="496"/>
      <c r="R228" s="495">
        <v>27696017</v>
      </c>
    </row>
    <row r="229" spans="1:24" x14ac:dyDescent="0.25">
      <c r="A229" s="375"/>
      <c r="B229" s="365" t="s">
        <v>337</v>
      </c>
      <c r="C229" s="444"/>
      <c r="D229" s="444"/>
      <c r="E229" s="443"/>
      <c r="F229" s="443"/>
      <c r="G229" s="444"/>
      <c r="H229" s="444"/>
      <c r="I229" s="443"/>
      <c r="J229" s="444"/>
      <c r="K229" s="444"/>
      <c r="L229" s="443"/>
      <c r="M229" s="444"/>
      <c r="N229" s="444"/>
      <c r="O229" s="495">
        <f>2946150+2142250</f>
        <v>5088400</v>
      </c>
      <c r="P229" s="496"/>
      <c r="Q229" s="496"/>
      <c r="R229" s="495">
        <v>5088400</v>
      </c>
    </row>
    <row r="230" spans="1:24" x14ac:dyDescent="0.25">
      <c r="A230" s="375"/>
      <c r="B230" s="365" t="s">
        <v>351</v>
      </c>
      <c r="C230" s="444"/>
      <c r="D230" s="444"/>
      <c r="E230" s="443"/>
      <c r="F230" s="443"/>
      <c r="G230" s="444"/>
      <c r="H230" s="444"/>
      <c r="I230" s="443">
        <f>+'7. Fejlesztések'!I42</f>
        <v>1823000</v>
      </c>
      <c r="J230" s="444"/>
      <c r="K230" s="444"/>
      <c r="L230" s="443">
        <f>+'7. Fejlesztések'!L42</f>
        <v>1823000</v>
      </c>
      <c r="M230" s="444"/>
      <c r="N230" s="444"/>
      <c r="O230" s="495">
        <v>8592099</v>
      </c>
      <c r="P230" s="496"/>
      <c r="Q230" s="496"/>
      <c r="R230" s="495">
        <v>8592097</v>
      </c>
    </row>
    <row r="231" spans="1:24" x14ac:dyDescent="0.25">
      <c r="A231" s="460" t="s">
        <v>328</v>
      </c>
      <c r="B231" s="461" t="s">
        <v>657</v>
      </c>
      <c r="C231" s="374"/>
      <c r="D231" s="374"/>
      <c r="E231" s="374">
        <v>0</v>
      </c>
      <c r="F231" s="374"/>
      <c r="G231" s="374"/>
      <c r="H231" s="374"/>
      <c r="I231" s="374">
        <v>0</v>
      </c>
      <c r="J231" s="374"/>
      <c r="K231" s="374"/>
      <c r="L231" s="374">
        <v>0</v>
      </c>
      <c r="M231" s="374"/>
      <c r="N231" s="374"/>
      <c r="O231" s="374">
        <v>0</v>
      </c>
      <c r="P231" s="374"/>
      <c r="Q231" s="374"/>
      <c r="R231" s="374">
        <v>0</v>
      </c>
    </row>
    <row r="232" spans="1:24" s="381" customFormat="1" x14ac:dyDescent="0.25">
      <c r="A232" s="322" t="s">
        <v>1128</v>
      </c>
      <c r="B232" s="373" t="s">
        <v>593</v>
      </c>
      <c r="C232" s="440"/>
      <c r="D232" s="440"/>
      <c r="E232" s="439">
        <f>+E233+E234+E235+E236</f>
        <v>2929730345</v>
      </c>
      <c r="F232" s="439"/>
      <c r="G232" s="440"/>
      <c r="H232" s="440"/>
      <c r="I232" s="439">
        <f>+I233+I234+I235+I236</f>
        <v>3141279920</v>
      </c>
      <c r="J232" s="440"/>
      <c r="K232" s="440"/>
      <c r="L232" s="439">
        <f>+L233+L234+L235+L236</f>
        <v>3214222170</v>
      </c>
      <c r="M232" s="440"/>
      <c r="N232" s="440"/>
      <c r="O232" s="439">
        <f>+O233+O234+O235+O236</f>
        <v>3474127749</v>
      </c>
      <c r="P232" s="440"/>
      <c r="Q232" s="440"/>
      <c r="R232" s="439">
        <f>+R233+R234+R235+R236</f>
        <v>3278135943</v>
      </c>
    </row>
    <row r="233" spans="1:24" x14ac:dyDescent="0.25">
      <c r="A233" s="378"/>
      <c r="B233" s="365" t="s">
        <v>752</v>
      </c>
      <c r="C233" s="444"/>
      <c r="D233" s="444"/>
      <c r="E233" s="443">
        <f>+'3A PH'!F37+'4A Walla'!E34+'4B Nyitnikék'!E34+'4C Bóbita'!E34+'4D MMMH'!E34+'4E Könyvtár'!E34+'4F Segítő Kéz'!E34+'4G Szérüskert'!E34+'4H VG bev kiad'!E34</f>
        <v>2724269345</v>
      </c>
      <c r="F233" s="443"/>
      <c r="G233" s="444"/>
      <c r="H233" s="444"/>
      <c r="I233" s="443">
        <f>+'3A PH'!J37+'4A Walla'!H34+'4B Nyitnikék'!H34+'4C Bóbita'!H34+'4D MMMH'!H34+'4E Könyvtár'!H34+'4F Segítő Kéz'!H34+'4G Szérüskert'!H34+'4H VG bev kiad'!H34</f>
        <v>2749364545</v>
      </c>
      <c r="J233" s="444"/>
      <c r="K233" s="444"/>
      <c r="L233" s="443">
        <f>+'3A PH'!N37+'4A Walla'!K34+'4B Nyitnikék'!K34+'4C Bóbita'!K34+'4D MMMH'!K34+'4E Könyvtár'!K34+'4F Segítő Kéz'!K34+'4G Szérüskert'!K34+'4H VG bev kiad'!K34</f>
        <v>2672246954</v>
      </c>
      <c r="M233" s="444"/>
      <c r="N233" s="444"/>
      <c r="O233" s="443">
        <f>+'3A PH'!R37+'4A Walla'!N34+'4B Nyitnikék'!N34+'4C Bóbita'!N34+'4D MMMH'!N34+'4E Könyvtár'!N34+'4F Segítő Kéz'!N34+'4G Szérüskert'!N34+'4H VG bev kiad'!N34</f>
        <v>2674480262</v>
      </c>
      <c r="P233" s="444"/>
      <c r="Q233" s="444"/>
      <c r="R233" s="443">
        <f>+'3A PH'!V37+'4A Walla'!Q34+'4B Nyitnikék'!Q34+'4C Bóbita'!Q34+'4D MMMH'!Q34+'4E Könyvtár'!Q34+'4F Segítő Kéz'!Q34+'4G Szérüskert'!Q34+'4H VG bev kiad'!Q34</f>
        <v>2518986398</v>
      </c>
    </row>
    <row r="234" spans="1:24" s="873" customFormat="1" x14ac:dyDescent="0.25">
      <c r="A234" s="702"/>
      <c r="B234" s="539" t="s">
        <v>753</v>
      </c>
      <c r="C234" s="496"/>
      <c r="D234" s="496"/>
      <c r="E234" s="495">
        <f>24815492+508</f>
        <v>24816000</v>
      </c>
      <c r="F234" s="495"/>
      <c r="G234" s="496"/>
      <c r="H234" s="496"/>
      <c r="I234" s="495">
        <f>24815492+508+186454375</f>
        <v>211270375</v>
      </c>
      <c r="J234" s="496"/>
      <c r="K234" s="496"/>
      <c r="L234" s="495">
        <f>24815492+508+186454375+150059841</f>
        <v>361330216</v>
      </c>
      <c r="M234" s="496"/>
      <c r="N234" s="496"/>
      <c r="O234" s="495">
        <f>578504389+40497942</f>
        <v>619002331</v>
      </c>
      <c r="P234" s="496"/>
      <c r="Q234" s="496"/>
      <c r="R234" s="495">
        <v>578504389</v>
      </c>
      <c r="X234" s="906">
        <f>+L234+257672623-508</f>
        <v>619002331</v>
      </c>
    </row>
    <row r="235" spans="1:24" x14ac:dyDescent="0.25">
      <c r="A235" s="378"/>
      <c r="B235" s="365" t="s">
        <v>754</v>
      </c>
      <c r="C235" s="444"/>
      <c r="D235" s="444"/>
      <c r="E235" s="443">
        <v>180645000</v>
      </c>
      <c r="F235" s="443"/>
      <c r="G235" s="444"/>
      <c r="H235" s="444"/>
      <c r="I235" s="443">
        <v>180645000</v>
      </c>
      <c r="J235" s="444"/>
      <c r="K235" s="444"/>
      <c r="L235" s="443">
        <v>180645000</v>
      </c>
      <c r="M235" s="444"/>
      <c r="N235" s="444"/>
      <c r="O235" s="443">
        <f>180645000+156</f>
        <v>180645156</v>
      </c>
      <c r="P235" s="444"/>
      <c r="Q235" s="444"/>
      <c r="R235" s="443">
        <v>180645156</v>
      </c>
    </row>
    <row r="236" spans="1:24" x14ac:dyDescent="0.25">
      <c r="A236" s="378"/>
      <c r="B236" s="365" t="s">
        <v>755</v>
      </c>
      <c r="C236" s="444"/>
      <c r="D236" s="444"/>
      <c r="E236" s="443"/>
      <c r="F236" s="443"/>
      <c r="G236" s="444"/>
      <c r="H236" s="444"/>
      <c r="I236" s="443"/>
      <c r="J236" s="444"/>
      <c r="K236" s="444"/>
      <c r="L236" s="443"/>
      <c r="M236" s="444"/>
      <c r="N236" s="444"/>
      <c r="O236" s="443"/>
      <c r="P236" s="444"/>
      <c r="Q236" s="444"/>
      <c r="R236" s="443"/>
    </row>
    <row r="238" spans="1:24" x14ac:dyDescent="0.25">
      <c r="B238" s="367" t="s">
        <v>286</v>
      </c>
      <c r="E238" s="368">
        <f>+E8+E38+E199+E187+E181+E174+E167+E159+E111+E107+E87+E83+E68+E54+E44+E22+E17+E217</f>
        <v>199828320</v>
      </c>
      <c r="F238" s="368"/>
      <c r="I238" s="368">
        <f>+I8+I38+I199+I187+I181+I174+I167+I159+I111+I107+I87+I83+I68+I54+I44+I22+I17+I217</f>
        <v>196164007</v>
      </c>
      <c r="L238" s="767">
        <f>+L8+L38+L199+L187+L181+L174+L167+L159+L111+L107+L87+L83+L68+L54+L44+L22+L17+L217</f>
        <v>196215257</v>
      </c>
      <c r="O238" s="767">
        <f>+O8+O38+O199+O187+O181+O174+O167+O159+O111+O107+O87+O83+O68+O54+O44+O22+O17+O217+O226+O195</f>
        <v>197233129</v>
      </c>
      <c r="P238" s="767"/>
      <c r="R238" s="767">
        <f>+R8+R38+R199+R187+R181+R174+R167+R159+R111+R107+R87+R83+R68+R54+R44+R22+R17+R217+R226+R195</f>
        <v>133202713</v>
      </c>
      <c r="S238" s="767">
        <f>133202713-R238</f>
        <v>0</v>
      </c>
    </row>
    <row r="239" spans="1:24" x14ac:dyDescent="0.25">
      <c r="B239" s="367" t="s">
        <v>287</v>
      </c>
      <c r="E239" s="368">
        <f>+E9+E39+E61+E200+E188+E182+E175+E168+E160+E112+E108+E88+E84+E69+E55+E45+E23+E18+E218</f>
        <v>33746000</v>
      </c>
      <c r="F239" s="368"/>
      <c r="I239" s="368">
        <f>+I9+I39+I61+I200+I188+I182+I175+I168+I160+I112+I108+I88+I84+I69+I55+I45+I23+I18+I218</f>
        <v>33746000</v>
      </c>
      <c r="L239" s="767">
        <f>+L9+L39+L61+L200+L188+L182+L175+L168+L160+L112+L108+L88+L84+L69+L55+L45+L23+L18+L218</f>
        <v>33746000</v>
      </c>
      <c r="O239" s="767">
        <f>+O9+O39+O61+O200+O188+O182+O175+O168+O160+O112+O108+O88+O84+O69+O55+O45+O23+O18+O218+O227+O196</f>
        <v>34349634</v>
      </c>
      <c r="P239" s="767"/>
      <c r="R239" s="767">
        <f>+R9+R39+R61+R200+R188+R182+R175+R168+R160+R112+R108+R88+R84+R69+R55+R45+R23+R18+R218+R227+R196</f>
        <v>20337365</v>
      </c>
    </row>
    <row r="240" spans="1:24" x14ac:dyDescent="0.25">
      <c r="B240" s="367" t="s">
        <v>292</v>
      </c>
      <c r="E240" s="368">
        <f>+E10+E14+E19+E24+E27+E29+E31+E35+E40+E46+E56+E62+E77+E85+E91+E93+E95+E97+E101+E103+E105+E109+E113+E139+E154+E161+E185+E189+E192+E72+E169+E197+E201+E205+E211+E215+E219+E221+E64+E156+E176+E183+E224+E80</f>
        <v>453969045</v>
      </c>
      <c r="F240" s="368"/>
      <c r="I240" s="368">
        <f>+I10+I14+I19+I24+I27+I29+I31+I35+I40+I46+I56+I62+I77+I85+I91+I93+I95+I97+I101+I103+I105+I109+I113+I139+I154+I161+I185+I189+I192+I72+I169+I197+I201+I205+I211+I215+I219+I221+I64+I156+I176+I183+I224+I80+I228</f>
        <v>590511569</v>
      </c>
      <c r="L240" s="767">
        <f>+L10+L14+L19+L24+L27+L29+L31+L35+L40+L46+L56+L62+L77+L85+L91+L93+L95+L97+L101+L103+L105+L109+L113+L139+L154+L161+L185+L189+L192+L72+L169+L197+L201+L205+L211+L215+L219+L221+L64+L156+L176+L183+L224+L80+L228</f>
        <v>655149807</v>
      </c>
      <c r="O240" s="767">
        <f>+O10+O14+O19+O24+O27+O29+O31+O35+O40+O46+O56+O62+O77+O85+O91+O93+O95+O97+O101+O103+O105+O109+O113+O139+O154+O161+O185+O189+O192+O72+O169+O197+O201+O205+O211+O215+O219+O221+O64+O156+O176+O183+O224+O80+O228</f>
        <v>641697111</v>
      </c>
      <c r="P240" s="767"/>
      <c r="R240" s="767">
        <f>+R10+R14+R19+R24+R27+R29+R31+R35+R40+R46+R56+R62+R77+R85+R91+R93+R95+R97+R101+R103+R105+R109+R113+R139+R154+R161+R185+R189+R192+R72+R169+R197+R201+R205+R211+R215+R219+R221+R64+R156+R176+R183+R224+R80+R228</f>
        <v>386864064</v>
      </c>
      <c r="S240" s="767">
        <f>385864062-R240</f>
        <v>-1000002</v>
      </c>
    </row>
    <row r="241" spans="2:19" x14ac:dyDescent="0.25">
      <c r="B241" s="367" t="s">
        <v>337</v>
      </c>
      <c r="E241" s="368">
        <f>+E65+E157+E162</f>
        <v>34000000</v>
      </c>
      <c r="F241" s="368"/>
      <c r="I241" s="368">
        <f>+I65+I66+I157+I162</f>
        <v>64717500</v>
      </c>
      <c r="L241" s="767">
        <f>+L65+L66+L157+L162</f>
        <v>64717500</v>
      </c>
      <c r="O241" s="767">
        <f>+O65+O66+O157+O162+O229</f>
        <v>69539760</v>
      </c>
      <c r="P241" s="767"/>
      <c r="R241" s="767">
        <f>+R65+R66+R157+R162+R229</f>
        <v>47427220</v>
      </c>
      <c r="S241" s="767">
        <f>47427220-R241</f>
        <v>0</v>
      </c>
    </row>
    <row r="242" spans="2:19" x14ac:dyDescent="0.25">
      <c r="B242" s="367" t="s">
        <v>339</v>
      </c>
      <c r="E242" s="368">
        <f>+E47+E89+E116+E119+E121+E125+E127+E129+E131+E133+E136+E141+E144+E146+E152+E191+E138+E50</f>
        <v>943223006</v>
      </c>
      <c r="F242" s="368"/>
      <c r="I242" s="368">
        <f>+I47+I89+I116+I119+I121+I125+I127+I129+I131+I133+I136+I141+I144+I146+I149+I152+I191+I138+I50</f>
        <v>913950483</v>
      </c>
      <c r="L242" s="767">
        <f>+L47+L89+L116+L119+L121+L125+L127+L129+L131+L133+L136+L141+L144+L146+L149+L152+L191+L138+L50</f>
        <v>920475364</v>
      </c>
      <c r="O242" s="767">
        <f>+O47+O89+O116+O119+O121+O125+O127+O129+O131+O133+O136+O141+O144+O146+O149+O152+O191+O138+O50</f>
        <v>926397113</v>
      </c>
      <c r="P242" s="897"/>
      <c r="R242" s="767">
        <f>+R47+R89+R116+R119+R121+R125+R127+R129+R131+R133+R136+R141+R144+R146+R149+R152+R191+R138+R50</f>
        <v>797958079</v>
      </c>
      <c r="S242" s="767">
        <f>797958069-R242</f>
        <v>-10</v>
      </c>
    </row>
    <row r="243" spans="2:19" x14ac:dyDescent="0.25">
      <c r="B243" s="367" t="s">
        <v>351</v>
      </c>
      <c r="E243" s="368">
        <f>+E11+E15+E32+E57+E81+E170+E42+E51</f>
        <v>1136604350</v>
      </c>
      <c r="F243" s="368"/>
      <c r="I243" s="368">
        <f>+I11+I15+I32+I57+I81+I165+I170+I42+I51</f>
        <v>1368984827</v>
      </c>
      <c r="L243" s="767">
        <f>+L11+L15+L32+L57+L81+L165+L170+L42+L51</f>
        <v>1355581627</v>
      </c>
      <c r="O243" s="767">
        <f>+O11+O15+O20+O32+O57+O78+O81+O165+O170+O42+O51+O222+O230</f>
        <v>1281519444</v>
      </c>
      <c r="P243" s="767"/>
      <c r="R243" s="767">
        <f>+R11+R15+R20+R32+R57+R78+R81+R165+R170+R42+R51+R222+R230</f>
        <v>215378027</v>
      </c>
      <c r="S243" s="767">
        <f>215378027-R243</f>
        <v>0</v>
      </c>
    </row>
    <row r="244" spans="2:19" x14ac:dyDescent="0.25">
      <c r="B244" s="367" t="s">
        <v>1293</v>
      </c>
      <c r="E244" s="368">
        <f>+E58+E74+E171</f>
        <v>215509840</v>
      </c>
      <c r="F244" s="368"/>
      <c r="I244" s="368">
        <f>+I52+I58+I74+I171</f>
        <v>244392052</v>
      </c>
      <c r="L244" s="767">
        <f>+L52+L58+L74+L171</f>
        <v>247115088</v>
      </c>
      <c r="O244" s="767">
        <f>+O52+O58+O74+O171</f>
        <v>266825264</v>
      </c>
      <c r="R244" s="767">
        <f>+R52+R58+R74+R171</f>
        <v>105923249</v>
      </c>
      <c r="S244" s="767">
        <f>105923249-R244</f>
        <v>0</v>
      </c>
    </row>
    <row r="245" spans="2:19" ht="15.75" customHeight="1" x14ac:dyDescent="0.25">
      <c r="B245" s="367" t="s">
        <v>343</v>
      </c>
      <c r="E245" s="368">
        <f>+E12</f>
        <v>700000</v>
      </c>
      <c r="F245" s="368"/>
      <c r="I245" s="368">
        <f>+I12</f>
        <v>1400000</v>
      </c>
      <c r="L245" s="767">
        <f>+L12</f>
        <v>1400000</v>
      </c>
      <c r="O245" s="767">
        <f>+O12+O147+O150+O164</f>
        <v>96400000</v>
      </c>
      <c r="P245" s="767"/>
      <c r="R245" s="767">
        <f>+R12+R147+R164</f>
        <v>10000000</v>
      </c>
      <c r="S245" s="767">
        <f>10000000-R245</f>
        <v>0</v>
      </c>
    </row>
    <row r="246" spans="2:19" ht="15.75" customHeight="1" x14ac:dyDescent="0.25">
      <c r="B246" s="367" t="s">
        <v>1444</v>
      </c>
      <c r="E246" s="368">
        <f>+E232</f>
        <v>2929730345</v>
      </c>
      <c r="F246" s="368"/>
      <c r="I246" s="368">
        <f>+I232</f>
        <v>3141279920</v>
      </c>
      <c r="L246" s="767">
        <f>+L232</f>
        <v>3214222170</v>
      </c>
      <c r="O246" s="767">
        <f>+O232</f>
        <v>3474127749</v>
      </c>
      <c r="P246" s="767"/>
      <c r="R246" s="767">
        <f>+R232</f>
        <v>3278135943</v>
      </c>
      <c r="S246" s="767">
        <f>3278135943-R246</f>
        <v>0</v>
      </c>
    </row>
    <row r="247" spans="2:19" x14ac:dyDescent="0.25">
      <c r="B247" s="367" t="s">
        <v>975</v>
      </c>
      <c r="E247" s="368">
        <f>SUBTOTAL(9,E238:E246)</f>
        <v>5947310906</v>
      </c>
      <c r="F247" s="368"/>
      <c r="I247" s="368">
        <f>SUBTOTAL(9,I238:I246)</f>
        <v>6555146358</v>
      </c>
      <c r="L247" s="767">
        <f>SUBTOTAL(9,L238:L246)</f>
        <v>6688622813</v>
      </c>
      <c r="O247" s="767">
        <f>SUM(O238:O246)</f>
        <v>6988089204</v>
      </c>
      <c r="P247" s="767"/>
      <c r="R247" s="767">
        <f>SUM(R238:R246)</f>
        <v>4995226660</v>
      </c>
      <c r="S247" s="767">
        <f>4994226650-R247</f>
        <v>-1000010</v>
      </c>
    </row>
    <row r="248" spans="2:19" x14ac:dyDescent="0.25">
      <c r="B248" s="367" t="s">
        <v>1292</v>
      </c>
      <c r="E248" s="368"/>
      <c r="F248" s="368"/>
      <c r="I248" s="368">
        <f>+I5</f>
        <v>6556969358</v>
      </c>
      <c r="L248" s="767">
        <f>+L5</f>
        <v>6690445813</v>
      </c>
      <c r="O248" s="767">
        <f>+O5</f>
        <v>6993255544</v>
      </c>
      <c r="R248" s="767">
        <f>+R5</f>
        <v>4995226660</v>
      </c>
    </row>
    <row r="249" spans="2:19" x14ac:dyDescent="0.25">
      <c r="I249" s="767">
        <f>+I247-I248</f>
        <v>-1823000</v>
      </c>
      <c r="L249" s="767">
        <f>+L247-L248</f>
        <v>-1823000</v>
      </c>
      <c r="O249" s="767">
        <f>+O247-O248</f>
        <v>-5166340</v>
      </c>
      <c r="R249" s="767">
        <f>+R247-R248</f>
        <v>0</v>
      </c>
    </row>
  </sheetData>
  <mergeCells count="22">
    <mergeCell ref="O2:O3"/>
    <mergeCell ref="M4:O4"/>
    <mergeCell ref="P2:P3"/>
    <mergeCell ref="Q2:Q3"/>
    <mergeCell ref="R2:R3"/>
    <mergeCell ref="P4:R4"/>
    <mergeCell ref="A2:A4"/>
    <mergeCell ref="B2:B4"/>
    <mergeCell ref="D2:D3"/>
    <mergeCell ref="E2:E3"/>
    <mergeCell ref="C4:E4"/>
    <mergeCell ref="C2:C3"/>
    <mergeCell ref="G2:G3"/>
    <mergeCell ref="H2:H3"/>
    <mergeCell ref="I2:I3"/>
    <mergeCell ref="G4:I4"/>
    <mergeCell ref="J2:J3"/>
    <mergeCell ref="K2:K3"/>
    <mergeCell ref="L2:L3"/>
    <mergeCell ref="J4:L4"/>
    <mergeCell ref="M2:M3"/>
    <mergeCell ref="N2:N3"/>
  </mergeCells>
  <printOptions horizontalCentered="1"/>
  <pageMargins left="0.23622047244094491" right="0.23622047244094491" top="0.74803149606299213" bottom="0.59055118110236227" header="0.15748031496062992" footer="0.15748031496062992"/>
  <pageSetup paperSize="8" fitToWidth="2" fitToHeight="6" pageOrder="overThenDown" orientation="portrait" copies="4" r:id="rId1"/>
  <headerFooter>
    <oddHeader>&amp;L2/C.  melléklet a ......./2021. (.................) önkormányzati rendelethez&amp;C&amp;"-,Félkövér"&amp;16
Az Önkormányzat 2020. évi kiadásai feladatonként részletes bontásban</oddHeader>
    <oddFooter>&amp;C&amp;P</oddFooter>
  </headerFooter>
  <rowBreaks count="3" manualBreakCount="3">
    <brk id="74" max="17" man="1"/>
    <brk id="136" max="17" man="1"/>
    <brk id="201" max="17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IB170"/>
  <sheetViews>
    <sheetView showZeros="0" tabSelected="1" view="pageBreakPreview" zoomScale="90" zoomScaleNormal="100" zoomScaleSheetLayoutView="90" workbookViewId="0">
      <selection activeCell="E4" sqref="E4"/>
    </sheetView>
  </sheetViews>
  <sheetFormatPr defaultColWidth="11.85546875" defaultRowHeight="15" x14ac:dyDescent="0.25"/>
  <cols>
    <col min="1" max="1" width="38" style="174" customWidth="1"/>
    <col min="2" max="3" width="14.140625" style="174" bestFit="1" customWidth="1"/>
    <col min="4" max="4" width="16.7109375" style="174" customWidth="1"/>
    <col min="5" max="5" width="13.85546875" style="174" customWidth="1"/>
    <col min="6" max="6" width="15.28515625" style="174" hidden="1" customWidth="1"/>
    <col min="7" max="16384" width="11.85546875" style="174"/>
  </cols>
  <sheetData>
    <row r="1" spans="1:236" x14ac:dyDescent="0.25">
      <c r="B1" s="175"/>
      <c r="C1" s="175"/>
      <c r="D1" s="175"/>
      <c r="E1" s="175"/>
      <c r="F1" s="175" t="s">
        <v>1662</v>
      </c>
    </row>
    <row r="2" spans="1:236" s="177" customFormat="1" ht="54.75" customHeight="1" x14ac:dyDescent="0.25">
      <c r="A2" s="42" t="s">
        <v>306</v>
      </c>
      <c r="B2" s="176" t="s">
        <v>1654</v>
      </c>
      <c r="C2" s="176" t="s">
        <v>1760</v>
      </c>
      <c r="D2" s="176" t="s">
        <v>1795</v>
      </c>
      <c r="E2" s="176" t="s">
        <v>1803</v>
      </c>
      <c r="F2" s="176" t="s">
        <v>1803</v>
      </c>
      <c r="HK2" s="178"/>
      <c r="HL2" s="178"/>
      <c r="HM2" s="178"/>
      <c r="HN2" s="178"/>
      <c r="HO2" s="178"/>
      <c r="HP2" s="178"/>
      <c r="HQ2" s="178"/>
      <c r="HR2" s="174"/>
      <c r="HS2" s="174"/>
      <c r="HT2" s="174"/>
      <c r="HU2" s="174"/>
      <c r="HV2" s="174"/>
      <c r="HW2" s="174"/>
      <c r="HX2" s="174"/>
      <c r="HY2" s="174"/>
      <c r="HZ2" s="174"/>
      <c r="IA2" s="174"/>
      <c r="IB2" s="174"/>
    </row>
    <row r="3" spans="1:236" s="177" customFormat="1" ht="27.75" customHeight="1" x14ac:dyDescent="0.25">
      <c r="A3" s="179" t="s">
        <v>1004</v>
      </c>
      <c r="B3" s="180">
        <f>50000000+58000+30756628-30000000+28000000-1000000-3403302+6301162+10000000-(714000+231000)-1000000-1000000-1000000-6730000</f>
        <v>80037488</v>
      </c>
      <c r="C3" s="907">
        <f>50000000+58000+30756628-30000000+28000000-1000000-3403302+6301162+10000000-(714000+231000)-1000000-1000000-1000000-6730000+102205715+11724998-10000000-30000000-296415-650000-3968496-1823000-276000-100000-202500-2667000-906526-1701800-454000-184150-1771650-2400000-4370832-77550000+12800000-1500000</f>
        <v>65945832</v>
      </c>
      <c r="D3" s="180">
        <f>50000000+58000+30756628-30000000+28000000-1000000-3403302+6301162+10000000-(714000+231000)-1000000-1000000-1000000-6730000+102205715+11724998-10000000-30000000-296415-650000-3968496-1823000-276000-100000-202500-2667000-906526-1701800-454000-184150-1771650-2400000-4370832-77550000+12800000-1500000-871500-5000000-508000-508000-240000-2834646-765354-2526800-682236-886000-239200+91481+1431106+5498013+14987395-3116000+42180+119790-20000000+313000-12800000-1481000</f>
        <v>35970061</v>
      </c>
      <c r="E3" s="180">
        <f>50000000+58000+30756628-30000000+28000000-1000000-3403302+6301162+10000000-(714000+231000)-1000000-1000000-1000000-6730000+102205715+11724998-10000000-30000000-296415-650000-3968496-1823000-276000-100000-202500-2667000-906526-1701800-454000-184150-1771650-2400000-4370832-77550000+12800000-1500000-871500-5000000-508000-508000-240000-2834646-765354-2526800-682236-886000-239200+91481+1431106+5498013+14987395-3116000+42180+119790-20000000+313000-12800000-1481000+(-924000-271194-1038114-11000000-12000000-229934-27432-6000000-1098804-1412632-3211500-254000-6000000-142240-782300-560753-1100000-603250-6000000-1349997-3000000-543560-1000000+33432259+16248300-10443651+20000000+185)</f>
        <v>36657444</v>
      </c>
      <c r="F3" s="180">
        <f>50000000+58000+30756628-30000000+28000000-1000000-3403302+6301162+10000000-(714000+231000)-1000000-1000000-1000000-6730000+102205715+11724998-10000000-30000000-296415-650000-3968496-1823000-276000-100000-202500-2667000-906526-1701800-454000-184150-1771650-2400000-4370832-77550000+12800000-1500000-871500-5000000-508000-508000-240000-2834646-765354-2526800-682236-886000-239200+91481+1431106+5498013+14987395-3116000+42180+119790-20000000+313000-12800000-1481000</f>
        <v>35970061</v>
      </c>
      <c r="G3" s="905">
        <f>+D3-E3</f>
        <v>-687383</v>
      </c>
      <c r="H3" s="905"/>
      <c r="HK3" s="178"/>
      <c r="HL3" s="178"/>
      <c r="HM3" s="178"/>
      <c r="HN3" s="178"/>
      <c r="HO3" s="178"/>
      <c r="HP3" s="178"/>
      <c r="HQ3" s="178"/>
      <c r="HR3" s="174"/>
      <c r="HS3" s="174"/>
      <c r="HT3" s="174"/>
      <c r="HU3" s="174"/>
      <c r="HV3" s="174"/>
      <c r="HW3" s="174"/>
      <c r="HX3" s="174"/>
      <c r="HY3" s="174"/>
      <c r="HZ3" s="174"/>
      <c r="IA3" s="174"/>
      <c r="IB3" s="174"/>
    </row>
    <row r="4" spans="1:236" s="181" customFormat="1" ht="24" customHeight="1" x14ac:dyDescent="0.25">
      <c r="A4" s="179" t="s">
        <v>1005</v>
      </c>
      <c r="B4" s="180">
        <f>SUM(B5:B24)</f>
        <v>108960855</v>
      </c>
      <c r="C4" s="180">
        <f>SUM(C5:C25)</f>
        <v>94968877</v>
      </c>
      <c r="D4" s="180">
        <f>SUM(D5:D25)</f>
        <v>129988529</v>
      </c>
      <c r="E4" s="180">
        <f>SUM(E5:E25)</f>
        <v>55687257</v>
      </c>
      <c r="F4" s="180">
        <f>SUM(F5:F25)</f>
        <v>129988529</v>
      </c>
      <c r="HK4" s="182"/>
      <c r="HL4" s="182"/>
      <c r="HM4" s="182"/>
      <c r="HN4" s="182"/>
      <c r="HO4" s="182"/>
      <c r="HP4" s="182"/>
      <c r="HQ4" s="182"/>
      <c r="HR4" s="183"/>
      <c r="HS4" s="183"/>
      <c r="HT4" s="183"/>
      <c r="HU4" s="183"/>
      <c r="HV4" s="183"/>
      <c r="HW4" s="183"/>
      <c r="HX4" s="183"/>
      <c r="HY4" s="183"/>
      <c r="HZ4" s="183"/>
      <c r="IA4" s="183"/>
      <c r="IB4" s="174"/>
    </row>
    <row r="5" spans="1:236" s="186" customFormat="1" ht="24" customHeight="1" x14ac:dyDescent="0.25">
      <c r="A5" s="184" t="s">
        <v>1006</v>
      </c>
      <c r="B5" s="185">
        <v>4460855</v>
      </c>
      <c r="C5" s="185">
        <v>4460855</v>
      </c>
      <c r="D5" s="185">
        <v>4460855</v>
      </c>
      <c r="E5" s="185">
        <v>4460855</v>
      </c>
      <c r="F5" s="185">
        <v>4460855</v>
      </c>
      <c r="HG5" s="187"/>
      <c r="HH5" s="187"/>
      <c r="HI5" s="187"/>
      <c r="HJ5" s="187"/>
      <c r="HK5" s="174"/>
      <c r="HL5" s="174"/>
      <c r="HM5" s="174"/>
      <c r="HN5" s="174"/>
      <c r="HO5" s="174"/>
      <c r="HP5" s="174"/>
      <c r="HQ5" s="174"/>
      <c r="HR5" s="174"/>
      <c r="HS5" s="174"/>
      <c r="HT5" s="174"/>
      <c r="HU5" s="174"/>
      <c r="HV5" s="174"/>
      <c r="HW5" s="174"/>
      <c r="HX5" s="174"/>
      <c r="HY5" s="174"/>
      <c r="HZ5" s="174"/>
      <c r="IA5" s="174"/>
      <c r="IB5" s="174"/>
    </row>
    <row r="6" spans="1:236" s="186" customFormat="1" ht="24" customHeight="1" x14ac:dyDescent="0.25">
      <c r="A6" s="184" t="s">
        <v>1007</v>
      </c>
      <c r="B6" s="185">
        <v>4000000</v>
      </c>
      <c r="C6" s="185">
        <f>4000000-1000000</f>
        <v>3000000</v>
      </c>
      <c r="D6" s="185">
        <f>4000000-1000000-170688-100000</f>
        <v>2729312</v>
      </c>
      <c r="E6" s="185">
        <f>4000000-1000000-170688-100000-2553250</f>
        <v>176062</v>
      </c>
      <c r="F6" s="185">
        <f>4000000-1000000-170688-100000</f>
        <v>2729312</v>
      </c>
      <c r="HG6" s="187"/>
      <c r="HH6" s="187"/>
      <c r="HI6" s="187"/>
      <c r="HJ6" s="187"/>
      <c r="HK6" s="174"/>
      <c r="HL6" s="174"/>
      <c r="HM6" s="174"/>
      <c r="HN6" s="174"/>
      <c r="HO6" s="174"/>
      <c r="HP6" s="174"/>
      <c r="HQ6" s="174"/>
      <c r="HR6" s="174"/>
      <c r="HS6" s="174"/>
      <c r="HT6" s="174"/>
      <c r="HU6" s="174"/>
      <c r="HV6" s="174"/>
      <c r="HW6" s="174"/>
      <c r="HX6" s="174"/>
      <c r="HY6" s="174"/>
      <c r="HZ6" s="174"/>
      <c r="IA6" s="174"/>
      <c r="IB6" s="174"/>
    </row>
    <row r="7" spans="1:236" s="186" customFormat="1" ht="24" customHeight="1" x14ac:dyDescent="0.25">
      <c r="A7" s="184" t="s">
        <v>1008</v>
      </c>
      <c r="B7" s="185">
        <v>3500000</v>
      </c>
      <c r="C7" s="185">
        <f>3500000-400000</f>
        <v>3100000</v>
      </c>
      <c r="D7" s="185">
        <f>3500000-400000-100000</f>
        <v>3000000</v>
      </c>
      <c r="E7" s="185">
        <f>3500000-400000-100000-3000000</f>
        <v>0</v>
      </c>
      <c r="F7" s="185">
        <f>3500000-400000-100000</f>
        <v>3000000</v>
      </c>
      <c r="HG7" s="187"/>
      <c r="HH7" s="187"/>
      <c r="HI7" s="187"/>
      <c r="HJ7" s="187"/>
      <c r="HK7" s="174"/>
      <c r="HL7" s="174"/>
      <c r="HM7" s="174"/>
      <c r="HN7" s="174"/>
      <c r="HO7" s="174"/>
      <c r="HP7" s="174"/>
      <c r="HQ7" s="174"/>
      <c r="HR7" s="174"/>
      <c r="HS7" s="174"/>
      <c r="HT7" s="174"/>
      <c r="HU7" s="174"/>
      <c r="HV7" s="174"/>
      <c r="HW7" s="174"/>
      <c r="HX7" s="174"/>
      <c r="HY7" s="174"/>
      <c r="HZ7" s="174"/>
      <c r="IA7" s="174"/>
      <c r="IB7" s="174"/>
    </row>
    <row r="8" spans="1:236" s="186" customFormat="1" ht="24" hidden="1" customHeight="1" x14ac:dyDescent="0.25">
      <c r="A8" s="184" t="s">
        <v>1009</v>
      </c>
      <c r="B8" s="185"/>
      <c r="C8" s="185"/>
      <c r="D8" s="185"/>
      <c r="E8" s="185"/>
      <c r="F8" s="185"/>
      <c r="HG8" s="187"/>
      <c r="HH8" s="187"/>
      <c r="HI8" s="187"/>
      <c r="HJ8" s="187"/>
      <c r="HK8" s="174"/>
      <c r="HL8" s="174"/>
      <c r="HM8" s="174"/>
      <c r="HN8" s="174"/>
      <c r="HO8" s="174"/>
      <c r="HP8" s="174"/>
      <c r="HQ8" s="174"/>
      <c r="HR8" s="174"/>
      <c r="HS8" s="174"/>
      <c r="HT8" s="174"/>
      <c r="HU8" s="174"/>
      <c r="HV8" s="174"/>
      <c r="HW8" s="174"/>
      <c r="HX8" s="174"/>
      <c r="HY8" s="174"/>
      <c r="HZ8" s="174"/>
      <c r="IA8" s="174"/>
      <c r="IB8" s="174"/>
    </row>
    <row r="9" spans="1:236" s="186" customFormat="1" ht="24" customHeight="1" x14ac:dyDescent="0.25">
      <c r="A9" s="184" t="s">
        <v>1233</v>
      </c>
      <c r="B9" s="185">
        <v>1000000</v>
      </c>
      <c r="C9" s="185">
        <v>1000000</v>
      </c>
      <c r="D9" s="185">
        <v>1000000</v>
      </c>
      <c r="E9" s="185">
        <v>1000000</v>
      </c>
      <c r="F9" s="185">
        <v>1000000</v>
      </c>
      <c r="HG9" s="187"/>
      <c r="HH9" s="187"/>
      <c r="HI9" s="187"/>
      <c r="HJ9" s="187"/>
      <c r="HK9" s="174"/>
      <c r="HL9" s="174"/>
      <c r="HM9" s="174"/>
      <c r="HN9" s="174"/>
      <c r="HO9" s="174"/>
      <c r="HP9" s="174"/>
      <c r="HQ9" s="174"/>
      <c r="HR9" s="174"/>
      <c r="HS9" s="174"/>
      <c r="HT9" s="174"/>
      <c r="HU9" s="174"/>
      <c r="HV9" s="174"/>
      <c r="HW9" s="174"/>
      <c r="HX9" s="174"/>
      <c r="HY9" s="174"/>
      <c r="HZ9" s="174"/>
      <c r="IA9" s="174"/>
      <c r="IB9" s="174"/>
    </row>
    <row r="10" spans="1:236" s="186" customFormat="1" ht="24" customHeight="1" x14ac:dyDescent="0.25">
      <c r="A10" s="184" t="s">
        <v>1234</v>
      </c>
      <c r="B10" s="185">
        <v>1000000</v>
      </c>
      <c r="C10" s="185">
        <v>1000000</v>
      </c>
      <c r="D10" s="185">
        <v>1000000</v>
      </c>
      <c r="E10" s="185">
        <v>1000000</v>
      </c>
      <c r="F10" s="185">
        <v>1000000</v>
      </c>
      <c r="HG10" s="187"/>
      <c r="HH10" s="187"/>
      <c r="HI10" s="187"/>
      <c r="HJ10" s="187"/>
      <c r="HK10" s="174"/>
      <c r="HL10" s="174"/>
      <c r="HM10" s="174"/>
      <c r="HN10" s="174"/>
      <c r="HO10" s="174"/>
      <c r="HP10" s="174"/>
      <c r="HQ10" s="174"/>
      <c r="HR10" s="174"/>
      <c r="HS10" s="174"/>
      <c r="HT10" s="174"/>
      <c r="HU10" s="174"/>
      <c r="HV10" s="174"/>
      <c r="HW10" s="174"/>
      <c r="HX10" s="174"/>
      <c r="HY10" s="174"/>
      <c r="HZ10" s="174"/>
      <c r="IA10" s="174"/>
      <c r="IB10" s="174"/>
    </row>
    <row r="11" spans="1:236" s="186" customFormat="1" ht="24" customHeight="1" x14ac:dyDescent="0.25">
      <c r="A11" s="184" t="s">
        <v>1235</v>
      </c>
      <c r="B11" s="185">
        <v>1000000</v>
      </c>
      <c r="C11" s="185">
        <v>1000000</v>
      </c>
      <c r="D11" s="185">
        <v>1000000</v>
      </c>
      <c r="E11" s="185">
        <v>1000000</v>
      </c>
      <c r="F11" s="185">
        <v>1000000</v>
      </c>
      <c r="HG11" s="187"/>
      <c r="HH11" s="187"/>
      <c r="HI11" s="187"/>
      <c r="HJ11" s="187"/>
      <c r="HK11" s="174"/>
      <c r="HL11" s="174"/>
      <c r="HM11" s="174"/>
      <c r="HN11" s="174"/>
      <c r="HO11" s="174"/>
      <c r="HP11" s="174"/>
      <c r="HQ11" s="174"/>
      <c r="HR11" s="174"/>
      <c r="HS11" s="174"/>
      <c r="HT11" s="174"/>
      <c r="HU11" s="174"/>
      <c r="HV11" s="174"/>
      <c r="HW11" s="174"/>
      <c r="HX11" s="174"/>
      <c r="HY11" s="174"/>
      <c r="HZ11" s="174"/>
      <c r="IA11" s="174"/>
      <c r="IB11" s="174"/>
    </row>
    <row r="12" spans="1:236" s="186" customFormat="1" ht="24" customHeight="1" x14ac:dyDescent="0.25">
      <c r="A12" s="188" t="s">
        <v>1236</v>
      </c>
      <c r="B12" s="185">
        <v>25000000</v>
      </c>
      <c r="C12" s="185">
        <f>25000000-25000000</f>
        <v>0</v>
      </c>
      <c r="D12" s="185">
        <f>25000000-25000000</f>
        <v>0</v>
      </c>
      <c r="E12" s="185">
        <f>25000000-25000000</f>
        <v>0</v>
      </c>
      <c r="F12" s="185">
        <f>25000000-25000000</f>
        <v>0</v>
      </c>
      <c r="HG12" s="187"/>
      <c r="HH12" s="187"/>
      <c r="HI12" s="187"/>
      <c r="HJ12" s="187"/>
      <c r="HK12" s="174"/>
      <c r="HL12" s="174"/>
      <c r="HM12" s="174"/>
      <c r="HN12" s="174"/>
      <c r="HO12" s="174"/>
      <c r="HP12" s="174"/>
      <c r="HQ12" s="174"/>
      <c r="HR12" s="174"/>
      <c r="HS12" s="174"/>
      <c r="HT12" s="174"/>
      <c r="HU12" s="174"/>
      <c r="HV12" s="174"/>
      <c r="HW12" s="174"/>
      <c r="HX12" s="174"/>
      <c r="HY12" s="174"/>
      <c r="HZ12" s="174"/>
      <c r="IA12" s="174"/>
      <c r="IB12" s="174"/>
    </row>
    <row r="13" spans="1:236" s="186" customFormat="1" ht="24" hidden="1" customHeight="1" x14ac:dyDescent="0.25">
      <c r="A13" s="188" t="s">
        <v>1010</v>
      </c>
      <c r="B13" s="185"/>
      <c r="C13" s="185"/>
      <c r="D13" s="185"/>
      <c r="E13" s="185"/>
      <c r="F13" s="185"/>
      <c r="HG13" s="187"/>
      <c r="HH13" s="187"/>
      <c r="HI13" s="187"/>
      <c r="HJ13" s="187"/>
      <c r="HK13" s="174"/>
      <c r="HL13" s="174"/>
      <c r="HM13" s="174"/>
      <c r="HN13" s="174"/>
      <c r="HO13" s="174"/>
      <c r="HP13" s="174"/>
      <c r="HQ13" s="174"/>
      <c r="HR13" s="174"/>
      <c r="HS13" s="174"/>
      <c r="HT13" s="174"/>
      <c r="HU13" s="174"/>
      <c r="HV13" s="174"/>
      <c r="HW13" s="174"/>
      <c r="HX13" s="174"/>
      <c r="HY13" s="174"/>
      <c r="HZ13" s="174"/>
      <c r="IA13" s="174"/>
      <c r="IB13" s="174"/>
    </row>
    <row r="14" spans="1:236" s="186" customFormat="1" ht="24" hidden="1" customHeight="1" x14ac:dyDescent="0.25">
      <c r="A14" s="188" t="s">
        <v>1011</v>
      </c>
      <c r="B14" s="185"/>
      <c r="C14" s="185"/>
      <c r="D14" s="185"/>
      <c r="E14" s="185"/>
      <c r="F14" s="185"/>
      <c r="HG14" s="187"/>
      <c r="HH14" s="187"/>
      <c r="HI14" s="187"/>
      <c r="HJ14" s="187"/>
      <c r="HK14" s="174"/>
      <c r="HL14" s="174"/>
      <c r="HM14" s="174"/>
      <c r="HN14" s="174"/>
      <c r="HO14" s="174"/>
      <c r="HP14" s="174"/>
      <c r="HQ14" s="174"/>
      <c r="HR14" s="174"/>
      <c r="HS14" s="174"/>
      <c r="HT14" s="174"/>
      <c r="HU14" s="174"/>
      <c r="HV14" s="174"/>
      <c r="HW14" s="174"/>
      <c r="HX14" s="174"/>
      <c r="HY14" s="174"/>
      <c r="HZ14" s="174"/>
      <c r="IA14" s="174"/>
      <c r="IB14" s="174"/>
    </row>
    <row r="15" spans="1:236" s="186" customFormat="1" ht="24" customHeight="1" x14ac:dyDescent="0.25">
      <c r="A15" s="188" t="s">
        <v>1237</v>
      </c>
      <c r="B15" s="185">
        <v>6000000</v>
      </c>
      <c r="C15" s="185">
        <v>6000000</v>
      </c>
      <c r="D15" s="185">
        <f>6000000-6000000</f>
        <v>0</v>
      </c>
      <c r="E15" s="185">
        <f>6000000-6000000</f>
        <v>0</v>
      </c>
      <c r="F15" s="185">
        <f>6000000-6000000</f>
        <v>0</v>
      </c>
      <c r="HG15" s="187"/>
      <c r="HH15" s="187"/>
      <c r="HI15" s="187"/>
      <c r="HJ15" s="187"/>
      <c r="HK15" s="174"/>
      <c r="HL15" s="174"/>
      <c r="HM15" s="174"/>
      <c r="HN15" s="174"/>
      <c r="HO15" s="174"/>
      <c r="HP15" s="174"/>
      <c r="HQ15" s="174"/>
      <c r="HR15" s="174"/>
      <c r="HS15" s="174"/>
      <c r="HT15" s="174"/>
      <c r="HU15" s="174"/>
      <c r="HV15" s="174"/>
      <c r="HW15" s="174"/>
      <c r="HX15" s="174"/>
      <c r="HY15" s="174"/>
      <c r="HZ15" s="174"/>
      <c r="IA15" s="174"/>
      <c r="IB15" s="174"/>
    </row>
    <row r="16" spans="1:236" s="186" customFormat="1" ht="24" customHeight="1" x14ac:dyDescent="0.25">
      <c r="A16" s="188" t="s">
        <v>1238</v>
      </c>
      <c r="B16" s="185">
        <v>3000000</v>
      </c>
      <c r="C16" s="185">
        <v>3000000</v>
      </c>
      <c r="D16" s="185">
        <f>3000000-856900</f>
        <v>2143100</v>
      </c>
      <c r="E16" s="185">
        <f>3000000-856900-340000</f>
        <v>1803100</v>
      </c>
      <c r="F16" s="185">
        <f>3000000-856900</f>
        <v>2143100</v>
      </c>
      <c r="HG16" s="187"/>
      <c r="HH16" s="187"/>
      <c r="HI16" s="187"/>
      <c r="HJ16" s="187"/>
      <c r="HK16" s="174"/>
      <c r="HL16" s="174"/>
      <c r="HM16" s="174"/>
      <c r="HN16" s="174"/>
      <c r="HO16" s="174"/>
      <c r="HP16" s="174"/>
      <c r="HQ16" s="174"/>
      <c r="HR16" s="174"/>
      <c r="HS16" s="174"/>
      <c r="HT16" s="174"/>
      <c r="HU16" s="174"/>
      <c r="HV16" s="174"/>
      <c r="HW16" s="174"/>
      <c r="HX16" s="174"/>
      <c r="HY16" s="174"/>
      <c r="HZ16" s="174"/>
      <c r="IA16" s="174"/>
      <c r="IB16" s="174"/>
    </row>
    <row r="17" spans="1:236" s="186" customFormat="1" ht="24" customHeight="1" x14ac:dyDescent="0.25">
      <c r="A17" s="188" t="s">
        <v>1239</v>
      </c>
      <c r="B17" s="185"/>
      <c r="C17" s="185"/>
      <c r="D17" s="185"/>
      <c r="E17" s="185"/>
      <c r="F17" s="185"/>
      <c r="HG17" s="187"/>
      <c r="HH17" s="187"/>
      <c r="HI17" s="187"/>
      <c r="HJ17" s="187"/>
      <c r="HK17" s="174"/>
      <c r="HL17" s="174"/>
      <c r="HM17" s="174"/>
      <c r="HN17" s="174"/>
      <c r="HO17" s="174"/>
      <c r="HP17" s="174"/>
      <c r="HQ17" s="174"/>
      <c r="HR17" s="174"/>
      <c r="HS17" s="174"/>
      <c r="HT17" s="174"/>
      <c r="HU17" s="174"/>
      <c r="HV17" s="174"/>
      <c r="HW17" s="174"/>
      <c r="HX17" s="174"/>
      <c r="HY17" s="174"/>
      <c r="HZ17" s="174"/>
      <c r="IA17" s="174"/>
      <c r="IB17" s="174"/>
    </row>
    <row r="18" spans="1:236" s="186" customFormat="1" ht="24" customHeight="1" x14ac:dyDescent="0.25">
      <c r="A18" s="189" t="s">
        <v>1396</v>
      </c>
      <c r="B18" s="185"/>
      <c r="C18" s="185"/>
      <c r="D18" s="185"/>
      <c r="E18" s="185"/>
      <c r="F18" s="185"/>
      <c r="HG18" s="187"/>
      <c r="HH18" s="187"/>
      <c r="HI18" s="187"/>
      <c r="HJ18" s="187"/>
      <c r="HK18" s="174"/>
      <c r="HL18" s="174"/>
      <c r="HM18" s="174"/>
      <c r="HN18" s="174"/>
      <c r="HO18" s="174"/>
      <c r="HP18" s="174"/>
      <c r="HQ18" s="174"/>
      <c r="HR18" s="174"/>
      <c r="HS18" s="174"/>
      <c r="HT18" s="174"/>
      <c r="HU18" s="174"/>
      <c r="HV18" s="174"/>
      <c r="HW18" s="174"/>
      <c r="HX18" s="174"/>
      <c r="HY18" s="174"/>
      <c r="HZ18" s="174"/>
      <c r="IA18" s="174"/>
      <c r="IB18" s="174"/>
    </row>
    <row r="19" spans="1:236" s="186" customFormat="1" ht="24" customHeight="1" x14ac:dyDescent="0.25">
      <c r="A19" s="189" t="s">
        <v>1297</v>
      </c>
      <c r="B19" s="185"/>
      <c r="C19" s="185"/>
      <c r="D19" s="185"/>
      <c r="E19" s="185"/>
      <c r="F19" s="185"/>
      <c r="HG19" s="187"/>
      <c r="HH19" s="187"/>
      <c r="HI19" s="187"/>
      <c r="HJ19" s="187"/>
      <c r="HK19" s="174"/>
      <c r="HL19" s="174"/>
      <c r="HM19" s="174"/>
      <c r="HN19" s="174"/>
      <c r="HO19" s="174"/>
      <c r="HP19" s="174"/>
      <c r="HQ19" s="174"/>
      <c r="HR19" s="174"/>
      <c r="HS19" s="174"/>
      <c r="HT19" s="174"/>
      <c r="HU19" s="174"/>
      <c r="HV19" s="174"/>
      <c r="HW19" s="174"/>
      <c r="HX19" s="174"/>
      <c r="HY19" s="174"/>
      <c r="HZ19" s="174"/>
      <c r="IA19" s="174"/>
      <c r="IB19" s="174"/>
    </row>
    <row r="20" spans="1:236" s="186" customFormat="1" ht="24" customHeight="1" x14ac:dyDescent="0.25">
      <c r="A20" s="189" t="s">
        <v>1761</v>
      </c>
      <c r="B20" s="185"/>
      <c r="C20" s="185"/>
      <c r="D20" s="185"/>
      <c r="E20" s="185"/>
      <c r="F20" s="185"/>
      <c r="HG20" s="187"/>
      <c r="HH20" s="187"/>
      <c r="HI20" s="187"/>
      <c r="HJ20" s="187"/>
      <c r="HK20" s="174"/>
      <c r="HL20" s="174"/>
      <c r="HM20" s="174"/>
      <c r="HN20" s="174"/>
      <c r="HO20" s="174"/>
      <c r="HP20" s="174"/>
      <c r="HQ20" s="174"/>
      <c r="HR20" s="174"/>
      <c r="HS20" s="174"/>
      <c r="HT20" s="174"/>
      <c r="HU20" s="174"/>
      <c r="HV20" s="174"/>
      <c r="HW20" s="174"/>
      <c r="HX20" s="174"/>
      <c r="HY20" s="174"/>
      <c r="HZ20" s="174"/>
      <c r="IA20" s="174"/>
      <c r="IB20" s="174"/>
    </row>
    <row r="21" spans="1:236" s="186" customFormat="1" ht="24" customHeight="1" x14ac:dyDescent="0.25">
      <c r="A21" s="189" t="s">
        <v>1801</v>
      </c>
      <c r="B21" s="185"/>
      <c r="C21" s="185"/>
      <c r="D21" s="185">
        <f>42247240</f>
        <v>42247240</v>
      </c>
      <c r="E21" s="185">
        <f>42247240</f>
        <v>42247240</v>
      </c>
      <c r="F21" s="185">
        <f>42247240</f>
        <v>42247240</v>
      </c>
      <c r="HG21" s="187"/>
      <c r="HH21" s="187"/>
      <c r="HI21" s="187"/>
      <c r="HJ21" s="187"/>
      <c r="HK21" s="174"/>
      <c r="HL21" s="174"/>
      <c r="HM21" s="174"/>
      <c r="HN21" s="174"/>
      <c r="HO21" s="174"/>
      <c r="HP21" s="174"/>
      <c r="HQ21" s="174"/>
      <c r="HR21" s="174"/>
      <c r="HS21" s="174"/>
      <c r="HT21" s="174"/>
      <c r="HU21" s="174"/>
      <c r="HV21" s="174"/>
      <c r="HW21" s="174"/>
      <c r="HX21" s="174"/>
      <c r="HY21" s="174"/>
      <c r="HZ21" s="174"/>
      <c r="IA21" s="174"/>
      <c r="IB21" s="174"/>
    </row>
    <row r="22" spans="1:236" s="186" customFormat="1" ht="24" customHeight="1" x14ac:dyDescent="0.25">
      <c r="A22" s="189" t="s">
        <v>1299</v>
      </c>
      <c r="B22" s="185">
        <v>60000000</v>
      </c>
      <c r="C22" s="185">
        <v>60000000</v>
      </c>
      <c r="D22" s="185">
        <v>60000000</v>
      </c>
      <c r="E22" s="185">
        <v>0</v>
      </c>
      <c r="F22" s="185">
        <v>60000000</v>
      </c>
      <c r="HG22" s="187"/>
      <c r="HH22" s="187"/>
      <c r="HI22" s="187"/>
      <c r="HJ22" s="187"/>
      <c r="HK22" s="174"/>
      <c r="HL22" s="174"/>
      <c r="HM22" s="174"/>
      <c r="HN22" s="174"/>
      <c r="HO22" s="174"/>
      <c r="HP22" s="174"/>
      <c r="HQ22" s="174"/>
      <c r="HR22" s="174"/>
      <c r="HS22" s="174"/>
      <c r="HT22" s="174"/>
      <c r="HU22" s="174"/>
      <c r="HV22" s="174"/>
      <c r="HW22" s="174"/>
      <c r="HX22" s="174"/>
      <c r="HY22" s="174"/>
      <c r="HZ22" s="174"/>
      <c r="IA22" s="174"/>
      <c r="IB22" s="174"/>
    </row>
    <row r="23" spans="1:236" s="186" customFormat="1" ht="24" customHeight="1" x14ac:dyDescent="0.25">
      <c r="A23" s="189" t="s">
        <v>1787</v>
      </c>
      <c r="B23" s="185"/>
      <c r="C23" s="185">
        <v>4000000</v>
      </c>
      <c r="D23" s="185">
        <v>4000000</v>
      </c>
      <c r="E23" s="185">
        <v>4000000</v>
      </c>
      <c r="F23" s="185">
        <v>4000000</v>
      </c>
      <c r="HG23" s="187"/>
      <c r="HH23" s="187"/>
      <c r="HI23" s="187"/>
      <c r="HJ23" s="187"/>
      <c r="HK23" s="174"/>
      <c r="HL23" s="174"/>
      <c r="HM23" s="174"/>
      <c r="HN23" s="174"/>
      <c r="HO23" s="174"/>
      <c r="HP23" s="174"/>
      <c r="HQ23" s="174"/>
      <c r="HR23" s="174"/>
      <c r="HS23" s="174"/>
      <c r="HT23" s="174"/>
      <c r="HU23" s="174"/>
      <c r="HV23" s="174"/>
      <c r="HW23" s="174"/>
      <c r="HX23" s="174"/>
      <c r="HY23" s="174"/>
      <c r="HZ23" s="174"/>
      <c r="IA23" s="174"/>
      <c r="IB23" s="174"/>
    </row>
    <row r="24" spans="1:236" s="186" customFormat="1" ht="24" customHeight="1" x14ac:dyDescent="0.25">
      <c r="A24" s="189" t="s">
        <v>1393</v>
      </c>
      <c r="B24" s="185"/>
      <c r="C24" s="185">
        <v>8408022</v>
      </c>
      <c r="D24" s="185">
        <v>8408022</v>
      </c>
      <c r="E24" s="185">
        <v>0</v>
      </c>
      <c r="F24" s="185">
        <v>8408022</v>
      </c>
      <c r="HG24" s="187"/>
      <c r="HH24" s="187"/>
      <c r="HI24" s="187"/>
      <c r="HJ24" s="187"/>
      <c r="HK24" s="174"/>
      <c r="HL24" s="174"/>
      <c r="HM24" s="174"/>
      <c r="HN24" s="174"/>
      <c r="HO24" s="174"/>
      <c r="HP24" s="174"/>
      <c r="HQ24" s="174"/>
      <c r="HR24" s="174"/>
      <c r="HS24" s="174"/>
      <c r="HT24" s="174"/>
      <c r="HU24" s="174"/>
      <c r="HV24" s="174"/>
      <c r="HW24" s="174"/>
      <c r="HX24" s="174"/>
      <c r="HY24" s="174"/>
      <c r="HZ24" s="174"/>
      <c r="IA24" s="174"/>
      <c r="IB24" s="174"/>
    </row>
    <row r="25" spans="1:236" s="186" customFormat="1" ht="24" customHeight="1" x14ac:dyDescent="0.25">
      <c r="A25" s="189" t="s">
        <v>1701</v>
      </c>
      <c r="B25" s="185"/>
      <c r="C25" s="185"/>
      <c r="D25" s="185"/>
      <c r="E25" s="185"/>
      <c r="F25" s="185"/>
      <c r="HG25" s="187"/>
      <c r="HH25" s="187"/>
      <c r="HI25" s="187"/>
      <c r="HJ25" s="187"/>
      <c r="HK25" s="174"/>
      <c r="HL25" s="174"/>
      <c r="HM25" s="174"/>
      <c r="HN25" s="174"/>
      <c r="HO25" s="174"/>
      <c r="HP25" s="174"/>
      <c r="HQ25" s="174"/>
      <c r="HR25" s="174"/>
      <c r="HS25" s="174"/>
      <c r="HT25" s="174"/>
      <c r="HU25" s="174"/>
      <c r="HV25" s="174"/>
      <c r="HW25" s="174"/>
      <c r="HX25" s="174"/>
      <c r="HY25" s="174"/>
      <c r="HZ25" s="174"/>
      <c r="IA25" s="174"/>
      <c r="IB25" s="174"/>
    </row>
    <row r="26" spans="1:236" s="190" customFormat="1" ht="24" customHeight="1" x14ac:dyDescent="0.25">
      <c r="A26" s="179" t="s">
        <v>1012</v>
      </c>
      <c r="B26" s="180">
        <f>SUM(B27:B33)</f>
        <v>3000000</v>
      </c>
      <c r="C26" s="180">
        <f>SUM(C27:C33)</f>
        <v>3000000</v>
      </c>
      <c r="D26" s="180">
        <f>SUM(D27:D33)</f>
        <v>3000000</v>
      </c>
      <c r="E26" s="180">
        <f>SUM(E27:E33)</f>
        <v>3000000</v>
      </c>
      <c r="F26" s="180">
        <f>SUM(F27:F33)</f>
        <v>3000000</v>
      </c>
      <c r="HG26" s="191"/>
      <c r="HH26" s="191"/>
      <c r="HI26" s="191"/>
      <c r="HJ26" s="191"/>
      <c r="HK26" s="183"/>
      <c r="HL26" s="183"/>
      <c r="HM26" s="183"/>
      <c r="HN26" s="183"/>
      <c r="HO26" s="183"/>
      <c r="HP26" s="183"/>
      <c r="HQ26" s="183"/>
      <c r="HR26" s="183"/>
      <c r="HS26" s="183"/>
      <c r="HT26" s="183"/>
      <c r="HU26" s="183"/>
      <c r="HV26" s="183"/>
      <c r="HW26" s="183"/>
      <c r="HX26" s="183"/>
      <c r="HY26" s="183"/>
      <c r="HZ26" s="183"/>
      <c r="IA26" s="183"/>
      <c r="IB26" s="174"/>
    </row>
    <row r="27" spans="1:236" s="186" customFormat="1" ht="24" hidden="1" customHeight="1" x14ac:dyDescent="0.25">
      <c r="A27" s="184" t="s">
        <v>1013</v>
      </c>
      <c r="B27" s="185"/>
      <c r="C27" s="185"/>
      <c r="D27" s="185"/>
      <c r="E27" s="185"/>
      <c r="F27" s="185"/>
      <c r="HG27" s="187"/>
      <c r="HH27" s="187"/>
      <c r="HI27" s="187"/>
      <c r="HJ27" s="187"/>
      <c r="HK27" s="174"/>
      <c r="HL27" s="174"/>
      <c r="HM27" s="174"/>
      <c r="HN27" s="174"/>
      <c r="HO27" s="174"/>
      <c r="HP27" s="174"/>
      <c r="HQ27" s="174"/>
      <c r="HR27" s="174"/>
      <c r="HS27" s="174"/>
      <c r="HT27" s="174"/>
      <c r="HU27" s="174"/>
      <c r="HV27" s="174"/>
      <c r="HW27" s="174"/>
      <c r="HX27" s="174"/>
      <c r="HY27" s="174"/>
      <c r="HZ27" s="174"/>
      <c r="IA27" s="174"/>
      <c r="IB27" s="174"/>
    </row>
    <row r="28" spans="1:236" s="186" customFormat="1" ht="24" hidden="1" customHeight="1" x14ac:dyDescent="0.25">
      <c r="A28" s="188" t="s">
        <v>1014</v>
      </c>
      <c r="B28" s="185"/>
      <c r="C28" s="185"/>
      <c r="D28" s="185"/>
      <c r="E28" s="185"/>
      <c r="F28" s="185"/>
      <c r="HG28" s="187"/>
      <c r="HH28" s="187"/>
      <c r="HI28" s="187"/>
      <c r="HJ28" s="187"/>
      <c r="HK28" s="174"/>
      <c r="HL28" s="174"/>
      <c r="HM28" s="174"/>
      <c r="HN28" s="174"/>
      <c r="HO28" s="174"/>
      <c r="HP28" s="174"/>
      <c r="HQ28" s="174"/>
      <c r="HR28" s="174"/>
      <c r="HS28" s="174"/>
      <c r="HT28" s="174"/>
      <c r="HU28" s="174"/>
      <c r="HV28" s="174"/>
      <c r="HW28" s="174"/>
      <c r="HX28" s="174"/>
      <c r="HY28" s="174"/>
      <c r="HZ28" s="174"/>
      <c r="IA28" s="174"/>
      <c r="IB28" s="174"/>
    </row>
    <row r="29" spans="1:236" s="186" customFormat="1" ht="24" hidden="1" customHeight="1" x14ac:dyDescent="0.25">
      <c r="A29" s="188" t="s">
        <v>1015</v>
      </c>
      <c r="B29" s="185"/>
      <c r="C29" s="185"/>
      <c r="D29" s="185"/>
      <c r="E29" s="185"/>
      <c r="F29" s="185"/>
      <c r="HG29" s="187"/>
      <c r="HH29" s="187"/>
      <c r="HI29" s="187"/>
      <c r="HJ29" s="187"/>
      <c r="HK29" s="174"/>
      <c r="HL29" s="174"/>
      <c r="HM29" s="174"/>
      <c r="HN29" s="174"/>
      <c r="HO29" s="174"/>
      <c r="HP29" s="174"/>
      <c r="HQ29" s="174"/>
      <c r="HR29" s="174"/>
      <c r="HS29" s="174"/>
      <c r="HT29" s="174"/>
      <c r="HU29" s="174"/>
      <c r="HV29" s="174"/>
      <c r="HW29" s="174"/>
      <c r="HX29" s="174"/>
      <c r="HY29" s="174"/>
      <c r="HZ29" s="174"/>
      <c r="IA29" s="174"/>
      <c r="IB29" s="174"/>
    </row>
    <row r="30" spans="1:236" s="186" customFormat="1" ht="24" hidden="1" customHeight="1" x14ac:dyDescent="0.25">
      <c r="A30" s="188" t="s">
        <v>1016</v>
      </c>
      <c r="B30" s="185"/>
      <c r="C30" s="185"/>
      <c r="D30" s="185"/>
      <c r="E30" s="185"/>
      <c r="F30" s="185"/>
      <c r="HG30" s="187"/>
      <c r="HH30" s="187"/>
      <c r="HI30" s="187"/>
      <c r="HJ30" s="187"/>
      <c r="HK30" s="174"/>
      <c r="HL30" s="174"/>
      <c r="HM30" s="174"/>
      <c r="HN30" s="174"/>
      <c r="HO30" s="174"/>
      <c r="HP30" s="174"/>
      <c r="HQ30" s="174"/>
      <c r="HR30" s="174"/>
      <c r="HS30" s="174"/>
      <c r="HT30" s="174"/>
      <c r="HU30" s="174"/>
      <c r="HV30" s="174"/>
      <c r="HW30" s="174"/>
      <c r="HX30" s="174"/>
      <c r="HY30" s="174"/>
      <c r="HZ30" s="174"/>
      <c r="IA30" s="174"/>
      <c r="IB30" s="174"/>
    </row>
    <row r="31" spans="1:236" s="186" customFormat="1" ht="24" hidden="1" customHeight="1" x14ac:dyDescent="0.25">
      <c r="A31" s="188" t="s">
        <v>1017</v>
      </c>
      <c r="B31" s="185"/>
      <c r="C31" s="185"/>
      <c r="D31" s="185"/>
      <c r="E31" s="185"/>
      <c r="F31" s="185"/>
      <c r="HG31" s="187"/>
      <c r="HH31" s="187"/>
      <c r="HI31" s="187"/>
      <c r="HJ31" s="187"/>
      <c r="HK31" s="174"/>
      <c r="HL31" s="174"/>
      <c r="HM31" s="174"/>
      <c r="HN31" s="174"/>
      <c r="HO31" s="174"/>
      <c r="HP31" s="174"/>
      <c r="HQ31" s="174"/>
      <c r="HR31" s="174"/>
      <c r="HS31" s="174"/>
      <c r="HT31" s="174"/>
      <c r="HU31" s="174"/>
      <c r="HV31" s="174"/>
      <c r="HW31" s="174"/>
      <c r="HX31" s="174"/>
      <c r="HY31" s="174"/>
      <c r="HZ31" s="174"/>
      <c r="IA31" s="174"/>
      <c r="IB31" s="174"/>
    </row>
    <row r="32" spans="1:236" s="186" customFormat="1" ht="24" customHeight="1" x14ac:dyDescent="0.25">
      <c r="A32" s="188" t="s">
        <v>1689</v>
      </c>
      <c r="B32" s="185"/>
      <c r="C32" s="185"/>
      <c r="D32" s="185"/>
      <c r="E32" s="185"/>
      <c r="F32" s="185"/>
      <c r="HG32" s="187"/>
      <c r="HH32" s="187"/>
      <c r="HI32" s="187"/>
      <c r="HJ32" s="187"/>
      <c r="HK32" s="174"/>
      <c r="HL32" s="174"/>
      <c r="HM32" s="174"/>
      <c r="HN32" s="174"/>
      <c r="HO32" s="174"/>
      <c r="HP32" s="174"/>
      <c r="HQ32" s="174"/>
      <c r="HR32" s="174"/>
      <c r="HS32" s="174"/>
      <c r="HT32" s="174"/>
      <c r="HU32" s="174"/>
      <c r="HV32" s="174"/>
      <c r="HW32" s="174"/>
      <c r="HX32" s="174"/>
      <c r="HY32" s="174"/>
      <c r="HZ32" s="174"/>
      <c r="IA32" s="174"/>
      <c r="IB32" s="174"/>
    </row>
    <row r="33" spans="1:236" s="186" customFormat="1" ht="24" customHeight="1" x14ac:dyDescent="0.25">
      <c r="A33" s="188" t="s">
        <v>1652</v>
      </c>
      <c r="B33" s="185">
        <v>3000000</v>
      </c>
      <c r="C33" s="185">
        <v>3000000</v>
      </c>
      <c r="D33" s="185">
        <v>3000000</v>
      </c>
      <c r="E33" s="185">
        <v>3000000</v>
      </c>
      <c r="F33" s="185">
        <v>3000000</v>
      </c>
      <c r="HG33" s="187"/>
      <c r="HH33" s="187"/>
      <c r="HI33" s="187"/>
      <c r="HJ33" s="187"/>
      <c r="HK33" s="174"/>
      <c r="HL33" s="174"/>
      <c r="HM33" s="174"/>
      <c r="HN33" s="174"/>
      <c r="HO33" s="174"/>
      <c r="HP33" s="174"/>
      <c r="HQ33" s="174"/>
      <c r="HR33" s="174"/>
      <c r="HS33" s="174"/>
      <c r="HT33" s="174"/>
      <c r="HU33" s="174"/>
      <c r="HV33" s="174"/>
      <c r="HW33" s="174"/>
      <c r="HX33" s="174"/>
      <c r="HY33" s="174"/>
      <c r="HZ33" s="174"/>
      <c r="IA33" s="174"/>
      <c r="IB33" s="174"/>
    </row>
    <row r="34" spans="1:236" s="193" customFormat="1" ht="24" customHeight="1" x14ac:dyDescent="0.25">
      <c r="A34" s="192" t="s">
        <v>1018</v>
      </c>
      <c r="B34" s="740">
        <f>B4+B26+B3</f>
        <v>191998343</v>
      </c>
      <c r="C34" s="740">
        <f>C4+C26+C3</f>
        <v>163914709</v>
      </c>
      <c r="D34" s="740">
        <f>D4+D26+D3</f>
        <v>168958590</v>
      </c>
      <c r="E34" s="740">
        <f>E4+E26+E3</f>
        <v>95344701</v>
      </c>
      <c r="F34" s="740">
        <f>F4+F26+F3</f>
        <v>168958590</v>
      </c>
      <c r="HG34" s="194"/>
      <c r="HH34" s="194"/>
      <c r="HI34" s="194"/>
      <c r="HJ34" s="194"/>
      <c r="HK34" s="195"/>
      <c r="HL34" s="195"/>
      <c r="HM34" s="195"/>
      <c r="HN34" s="195"/>
      <c r="HO34" s="195"/>
      <c r="HP34" s="195"/>
      <c r="HQ34" s="195"/>
      <c r="HR34" s="195"/>
      <c r="HS34" s="195"/>
      <c r="HT34" s="195"/>
      <c r="HU34" s="195"/>
      <c r="HV34" s="195"/>
      <c r="HW34" s="196"/>
      <c r="HX34" s="174"/>
      <c r="HY34" s="174"/>
      <c r="HZ34" s="174"/>
      <c r="IA34" s="174"/>
      <c r="IB34" s="174"/>
    </row>
    <row r="35" spans="1:236" s="186" customFormat="1" x14ac:dyDescent="0.25">
      <c r="A35" s="197"/>
      <c r="HG35" s="187"/>
      <c r="HH35" s="187"/>
      <c r="HI35" s="187"/>
      <c r="HJ35" s="187"/>
      <c r="HK35" s="174"/>
      <c r="HL35" s="174"/>
      <c r="HM35" s="174"/>
      <c r="HN35" s="174"/>
      <c r="HO35" s="174"/>
      <c r="HP35" s="174"/>
      <c r="HQ35" s="174"/>
      <c r="HR35" s="174"/>
      <c r="HS35" s="174"/>
      <c r="HT35" s="174"/>
      <c r="HU35" s="174"/>
      <c r="HV35" s="174"/>
      <c r="HW35" s="174"/>
      <c r="HX35" s="174"/>
      <c r="HY35" s="174"/>
      <c r="HZ35" s="174"/>
      <c r="IA35" s="174"/>
      <c r="IB35" s="174"/>
    </row>
    <row r="36" spans="1:236" s="186" customFormat="1" x14ac:dyDescent="0.25">
      <c r="A36" s="197"/>
      <c r="HG36" s="187"/>
      <c r="HH36" s="187"/>
      <c r="HI36" s="187"/>
      <c r="HJ36" s="187"/>
      <c r="HK36" s="174"/>
      <c r="HL36" s="174"/>
      <c r="HM36" s="174"/>
      <c r="HN36" s="174"/>
      <c r="HO36" s="174"/>
      <c r="HP36" s="174"/>
      <c r="HQ36" s="174"/>
      <c r="HR36" s="174"/>
      <c r="HS36" s="174"/>
      <c r="HT36" s="174"/>
      <c r="HU36" s="174"/>
      <c r="HV36" s="174"/>
      <c r="HW36" s="174"/>
      <c r="HX36" s="174"/>
      <c r="HY36" s="174"/>
      <c r="HZ36" s="174"/>
      <c r="IA36" s="174"/>
      <c r="IB36" s="174"/>
    </row>
    <row r="37" spans="1:236" s="186" customFormat="1" x14ac:dyDescent="0.25">
      <c r="A37" s="197"/>
      <c r="HG37" s="187"/>
      <c r="HH37" s="187"/>
      <c r="HI37" s="187"/>
      <c r="HJ37" s="187"/>
      <c r="HK37" s="174"/>
      <c r="HL37" s="174"/>
      <c r="HM37" s="174"/>
      <c r="HN37" s="174"/>
      <c r="HO37" s="174"/>
      <c r="HP37" s="174"/>
      <c r="HQ37" s="174"/>
      <c r="HR37" s="174"/>
      <c r="HS37" s="174"/>
      <c r="HT37" s="174"/>
      <c r="HU37" s="174"/>
      <c r="HV37" s="174"/>
      <c r="HW37" s="174"/>
      <c r="HX37" s="174"/>
      <c r="HY37" s="174"/>
      <c r="HZ37" s="174"/>
      <c r="IA37" s="174"/>
      <c r="IB37" s="174"/>
    </row>
    <row r="38" spans="1:236" s="186" customFormat="1" x14ac:dyDescent="0.25">
      <c r="A38" s="197"/>
      <c r="HG38" s="187"/>
      <c r="HH38" s="187"/>
      <c r="HI38" s="187"/>
      <c r="HJ38" s="187"/>
      <c r="HK38" s="174"/>
      <c r="HL38" s="174"/>
      <c r="HM38" s="174"/>
      <c r="HN38" s="174"/>
      <c r="HO38" s="174"/>
      <c r="HP38" s="174"/>
      <c r="HQ38" s="174"/>
      <c r="HR38" s="174"/>
      <c r="HS38" s="174"/>
      <c r="HT38" s="174"/>
      <c r="HU38" s="174"/>
      <c r="HV38" s="174"/>
      <c r="HW38" s="174"/>
      <c r="HX38" s="174"/>
      <c r="HY38" s="174"/>
      <c r="HZ38" s="174"/>
      <c r="IA38" s="174"/>
      <c r="IB38" s="174"/>
    </row>
    <row r="39" spans="1:236" s="186" customFormat="1" x14ac:dyDescent="0.25">
      <c r="A39" s="197"/>
      <c r="HG39" s="187"/>
      <c r="HH39" s="187"/>
      <c r="HI39" s="187"/>
      <c r="HJ39" s="187"/>
      <c r="HK39" s="174"/>
      <c r="HL39" s="174"/>
      <c r="HM39" s="174"/>
      <c r="HN39" s="174"/>
      <c r="HO39" s="174"/>
      <c r="HP39" s="174"/>
      <c r="HQ39" s="174"/>
      <c r="HR39" s="174"/>
      <c r="HS39" s="174"/>
      <c r="HT39" s="174"/>
      <c r="HU39" s="174"/>
      <c r="HV39" s="174"/>
      <c r="HW39" s="174"/>
      <c r="HX39" s="174"/>
      <c r="HY39" s="174"/>
      <c r="HZ39" s="174"/>
      <c r="IA39" s="174"/>
      <c r="IB39" s="174"/>
    </row>
    <row r="40" spans="1:236" s="186" customFormat="1" x14ac:dyDescent="0.25">
      <c r="A40" s="197"/>
      <c r="Q40" s="198"/>
      <c r="HG40" s="187"/>
      <c r="HH40" s="187"/>
      <c r="HI40" s="187"/>
      <c r="HJ40" s="187"/>
      <c r="HK40" s="174"/>
      <c r="HL40" s="174"/>
      <c r="HM40" s="174"/>
      <c r="HN40" s="174"/>
      <c r="HO40" s="174"/>
      <c r="HP40" s="174"/>
      <c r="HQ40" s="174"/>
      <c r="HR40" s="174"/>
      <c r="HS40" s="174"/>
      <c r="HT40" s="174"/>
      <c r="HU40" s="174"/>
      <c r="HV40" s="174"/>
      <c r="HW40" s="174"/>
      <c r="HX40" s="174"/>
      <c r="HY40" s="174"/>
      <c r="HZ40" s="174"/>
      <c r="IA40" s="174"/>
      <c r="IB40" s="174"/>
    </row>
    <row r="41" spans="1:236" s="186" customFormat="1" x14ac:dyDescent="0.25">
      <c r="A41" s="197"/>
      <c r="Q41" s="199"/>
      <c r="HG41" s="187"/>
      <c r="HH41" s="187"/>
      <c r="HI41" s="187"/>
      <c r="HJ41" s="187"/>
      <c r="HK41" s="174"/>
      <c r="HL41" s="174"/>
      <c r="HM41" s="174"/>
      <c r="HN41" s="174"/>
      <c r="HO41" s="174"/>
      <c r="HP41" s="174"/>
      <c r="HQ41" s="174"/>
      <c r="HR41" s="174"/>
      <c r="HS41" s="174"/>
      <c r="HT41" s="174"/>
      <c r="HU41" s="174"/>
      <c r="HV41" s="174"/>
      <c r="HW41" s="174"/>
      <c r="HX41" s="174"/>
      <c r="HY41" s="174"/>
      <c r="HZ41" s="174"/>
      <c r="IA41" s="174"/>
      <c r="IB41" s="174"/>
    </row>
    <row r="42" spans="1:236" s="186" customFormat="1" x14ac:dyDescent="0.25">
      <c r="A42" s="197"/>
      <c r="Q42" s="199"/>
      <c r="HG42" s="187"/>
      <c r="HH42" s="187"/>
      <c r="HI42" s="187"/>
      <c r="HJ42" s="187"/>
      <c r="HK42" s="174"/>
      <c r="HL42" s="174"/>
      <c r="HM42" s="174"/>
      <c r="HN42" s="174"/>
      <c r="HO42" s="174"/>
      <c r="HP42" s="174"/>
      <c r="HQ42" s="174"/>
      <c r="HR42" s="174"/>
      <c r="HS42" s="174"/>
      <c r="HT42" s="174"/>
      <c r="HU42" s="174"/>
      <c r="HV42" s="174"/>
      <c r="HW42" s="174"/>
      <c r="HX42" s="174"/>
      <c r="HY42" s="174"/>
      <c r="HZ42" s="174"/>
      <c r="IA42" s="174"/>
      <c r="IB42" s="174"/>
    </row>
    <row r="43" spans="1:236" s="186" customFormat="1" x14ac:dyDescent="0.25">
      <c r="A43" s="197"/>
      <c r="HG43" s="187"/>
      <c r="HH43" s="187"/>
      <c r="HI43" s="187"/>
      <c r="HJ43" s="187"/>
      <c r="HK43" s="174"/>
      <c r="HL43" s="174"/>
      <c r="HM43" s="174"/>
      <c r="HN43" s="174"/>
      <c r="HO43" s="174"/>
      <c r="HP43" s="174"/>
      <c r="HQ43" s="174"/>
      <c r="HR43" s="174"/>
      <c r="HS43" s="174"/>
      <c r="HT43" s="174"/>
      <c r="HU43" s="174"/>
      <c r="HV43" s="174"/>
      <c r="HW43" s="174"/>
      <c r="HX43" s="174"/>
      <c r="HY43" s="174"/>
      <c r="HZ43" s="174"/>
      <c r="IA43" s="174"/>
      <c r="IB43" s="174"/>
    </row>
    <row r="44" spans="1:236" s="186" customFormat="1" x14ac:dyDescent="0.25">
      <c r="A44" s="197"/>
      <c r="HG44" s="187"/>
      <c r="HH44" s="187"/>
      <c r="HI44" s="187"/>
      <c r="HJ44" s="187"/>
      <c r="HK44" s="174"/>
      <c r="HL44" s="174"/>
      <c r="HM44" s="174"/>
      <c r="HN44" s="174"/>
      <c r="HO44" s="174"/>
      <c r="HP44" s="174"/>
      <c r="HQ44" s="174"/>
      <c r="HR44" s="174"/>
      <c r="HS44" s="174"/>
      <c r="HT44" s="174"/>
      <c r="HU44" s="174"/>
      <c r="HV44" s="174"/>
      <c r="HW44" s="174"/>
      <c r="HX44" s="174"/>
      <c r="HY44" s="174"/>
      <c r="HZ44" s="174"/>
      <c r="IA44" s="174"/>
      <c r="IB44" s="174"/>
    </row>
    <row r="45" spans="1:236" s="186" customFormat="1" x14ac:dyDescent="0.25">
      <c r="A45" s="197"/>
      <c r="HG45" s="187"/>
      <c r="HH45" s="187"/>
      <c r="HI45" s="187"/>
      <c r="HJ45" s="187"/>
      <c r="HK45" s="174"/>
      <c r="HL45" s="174"/>
      <c r="HM45" s="174"/>
      <c r="HN45" s="174"/>
      <c r="HO45" s="174"/>
      <c r="HP45" s="174"/>
      <c r="HQ45" s="174"/>
      <c r="HR45" s="174"/>
      <c r="HS45" s="174"/>
      <c r="HT45" s="174"/>
      <c r="HU45" s="174"/>
      <c r="HV45" s="174"/>
      <c r="HW45" s="174"/>
      <c r="HX45" s="174"/>
      <c r="HY45" s="174"/>
      <c r="HZ45" s="174"/>
      <c r="IA45" s="174"/>
      <c r="IB45" s="174"/>
    </row>
    <row r="46" spans="1:236" s="186" customFormat="1" x14ac:dyDescent="0.25">
      <c r="A46" s="197"/>
      <c r="HG46" s="187"/>
      <c r="HH46" s="187"/>
      <c r="HI46" s="187"/>
      <c r="HJ46" s="187"/>
      <c r="HK46" s="174"/>
      <c r="HL46" s="174"/>
      <c r="HM46" s="174"/>
      <c r="HN46" s="174"/>
      <c r="HO46" s="174"/>
      <c r="HP46" s="174"/>
      <c r="HQ46" s="174"/>
      <c r="HR46" s="174"/>
      <c r="HS46" s="174"/>
      <c r="HT46" s="174"/>
      <c r="HU46" s="174"/>
      <c r="HV46" s="174"/>
      <c r="HW46" s="174"/>
      <c r="HX46" s="174"/>
      <c r="HY46" s="174"/>
      <c r="HZ46" s="174"/>
      <c r="IA46" s="174"/>
      <c r="IB46" s="174"/>
    </row>
    <row r="47" spans="1:236" s="186" customFormat="1" x14ac:dyDescent="0.25">
      <c r="A47" s="197"/>
      <c r="HG47" s="187"/>
      <c r="HH47" s="187"/>
      <c r="HI47" s="187"/>
      <c r="HJ47" s="187"/>
      <c r="HK47" s="174"/>
      <c r="HL47" s="174"/>
      <c r="HM47" s="174"/>
      <c r="HN47" s="174"/>
      <c r="HO47" s="174"/>
      <c r="HP47" s="174"/>
      <c r="HQ47" s="174"/>
      <c r="HR47" s="174"/>
      <c r="HS47" s="174"/>
      <c r="HT47" s="174"/>
      <c r="HU47" s="174"/>
      <c r="HV47" s="174"/>
      <c r="HW47" s="174"/>
      <c r="HX47" s="174"/>
      <c r="HY47" s="174"/>
      <c r="HZ47" s="174"/>
      <c r="IA47" s="174"/>
      <c r="IB47" s="174"/>
    </row>
    <row r="48" spans="1:236" s="186" customFormat="1" x14ac:dyDescent="0.25">
      <c r="A48" s="197"/>
      <c r="HG48" s="187"/>
      <c r="HH48" s="187"/>
      <c r="HI48" s="187"/>
      <c r="HJ48" s="187"/>
      <c r="HK48" s="174"/>
      <c r="HL48" s="174"/>
      <c r="HM48" s="174"/>
      <c r="HN48" s="174"/>
      <c r="HO48" s="174"/>
      <c r="HP48" s="174"/>
      <c r="HQ48" s="174"/>
      <c r="HR48" s="174"/>
      <c r="HS48" s="174"/>
      <c r="HT48" s="174"/>
      <c r="HU48" s="174"/>
      <c r="HV48" s="174"/>
      <c r="HW48" s="174"/>
      <c r="HX48" s="174"/>
      <c r="HY48" s="174"/>
      <c r="HZ48" s="174"/>
      <c r="IA48" s="174"/>
      <c r="IB48" s="174"/>
    </row>
    <row r="49" spans="1:236" s="186" customFormat="1" x14ac:dyDescent="0.25">
      <c r="A49" s="197"/>
      <c r="HG49" s="187"/>
      <c r="HH49" s="187"/>
      <c r="HI49" s="187"/>
      <c r="HJ49" s="187"/>
      <c r="HK49" s="174"/>
      <c r="HL49" s="174"/>
      <c r="HM49" s="174"/>
      <c r="HN49" s="174"/>
      <c r="HO49" s="174"/>
      <c r="HP49" s="174"/>
      <c r="HQ49" s="174"/>
      <c r="HR49" s="174"/>
      <c r="HS49" s="174"/>
      <c r="HT49" s="174"/>
      <c r="HU49" s="174"/>
      <c r="HV49" s="174"/>
      <c r="HW49" s="174"/>
      <c r="HX49" s="174"/>
      <c r="HY49" s="174"/>
      <c r="HZ49" s="174"/>
      <c r="IA49" s="174"/>
      <c r="IB49" s="174"/>
    </row>
    <row r="50" spans="1:236" s="186" customFormat="1" x14ac:dyDescent="0.25">
      <c r="A50" s="197"/>
      <c r="HG50" s="187"/>
      <c r="HH50" s="187"/>
      <c r="HI50" s="187"/>
      <c r="HJ50" s="187"/>
      <c r="HK50" s="174"/>
      <c r="HL50" s="174"/>
      <c r="HM50" s="174"/>
      <c r="HN50" s="174"/>
      <c r="HO50" s="174"/>
      <c r="HP50" s="174"/>
      <c r="HQ50" s="174"/>
      <c r="HR50" s="174"/>
      <c r="HS50" s="174"/>
      <c r="HT50" s="174"/>
      <c r="HU50" s="174"/>
      <c r="HV50" s="174"/>
      <c r="HW50" s="174"/>
      <c r="HX50" s="174"/>
      <c r="HY50" s="174"/>
      <c r="HZ50" s="174"/>
      <c r="IA50" s="174"/>
      <c r="IB50" s="174"/>
    </row>
    <row r="51" spans="1:236" s="186" customFormat="1" x14ac:dyDescent="0.25">
      <c r="A51" s="197"/>
      <c r="HG51" s="187"/>
      <c r="HH51" s="187"/>
      <c r="HI51" s="187"/>
      <c r="HJ51" s="187"/>
      <c r="HK51" s="174"/>
      <c r="HL51" s="174"/>
      <c r="HM51" s="174"/>
      <c r="HN51" s="174"/>
      <c r="HO51" s="174"/>
      <c r="HP51" s="174"/>
      <c r="HQ51" s="174"/>
      <c r="HR51" s="174"/>
      <c r="HS51" s="174"/>
      <c r="HT51" s="174"/>
      <c r="HU51" s="174"/>
      <c r="HV51" s="174"/>
      <c r="HW51" s="174"/>
      <c r="HX51" s="174"/>
      <c r="HY51" s="174"/>
      <c r="HZ51" s="174"/>
      <c r="IA51" s="174"/>
      <c r="IB51" s="174"/>
    </row>
    <row r="52" spans="1:236" s="186" customFormat="1" x14ac:dyDescent="0.25">
      <c r="A52" s="197"/>
      <c r="HG52" s="187"/>
      <c r="HH52" s="187"/>
      <c r="HI52" s="187"/>
      <c r="HJ52" s="187"/>
      <c r="HK52" s="174"/>
      <c r="HL52" s="174"/>
      <c r="HM52" s="174"/>
      <c r="HN52" s="174"/>
      <c r="HO52" s="174"/>
      <c r="HP52" s="174"/>
      <c r="HQ52" s="174"/>
      <c r="HR52" s="174"/>
      <c r="HS52" s="174"/>
      <c r="HT52" s="174"/>
      <c r="HU52" s="174"/>
      <c r="HV52" s="174"/>
      <c r="HW52" s="174"/>
      <c r="HX52" s="174"/>
      <c r="HY52" s="174"/>
      <c r="HZ52" s="174"/>
      <c r="IA52" s="174"/>
      <c r="IB52" s="174"/>
    </row>
    <row r="53" spans="1:236" s="186" customFormat="1" x14ac:dyDescent="0.25">
      <c r="A53" s="197"/>
      <c r="HG53" s="187"/>
      <c r="HH53" s="187"/>
      <c r="HI53" s="187"/>
      <c r="HJ53" s="187"/>
      <c r="HK53" s="174"/>
      <c r="HL53" s="174"/>
      <c r="HM53" s="174"/>
      <c r="HN53" s="174"/>
      <c r="HO53" s="174"/>
      <c r="HP53" s="174"/>
      <c r="HQ53" s="174"/>
      <c r="HR53" s="174"/>
      <c r="HS53" s="174"/>
      <c r="HT53" s="174"/>
      <c r="HU53" s="174"/>
      <c r="HV53" s="174"/>
      <c r="HW53" s="174"/>
      <c r="HX53" s="174"/>
      <c r="HY53" s="174"/>
      <c r="HZ53" s="174"/>
      <c r="IA53" s="174"/>
      <c r="IB53" s="174"/>
    </row>
    <row r="54" spans="1:236" s="186" customFormat="1" x14ac:dyDescent="0.25">
      <c r="A54" s="197"/>
      <c r="HG54" s="187"/>
      <c r="HH54" s="187"/>
      <c r="HI54" s="187"/>
      <c r="HJ54" s="187"/>
      <c r="HK54" s="174"/>
      <c r="HL54" s="174"/>
      <c r="HM54" s="174"/>
      <c r="HN54" s="174"/>
      <c r="HO54" s="174"/>
      <c r="HP54" s="174"/>
      <c r="HQ54" s="174"/>
      <c r="HR54" s="174"/>
      <c r="HS54" s="174"/>
      <c r="HT54" s="174"/>
      <c r="HU54" s="174"/>
      <c r="HV54" s="174"/>
      <c r="HW54" s="174"/>
      <c r="HX54" s="174"/>
      <c r="HY54" s="174"/>
      <c r="HZ54" s="174"/>
      <c r="IA54" s="174"/>
      <c r="IB54" s="174"/>
    </row>
    <row r="55" spans="1:236" s="186" customFormat="1" x14ac:dyDescent="0.25">
      <c r="A55" s="197"/>
      <c r="HG55" s="187"/>
      <c r="HH55" s="187"/>
      <c r="HI55" s="187"/>
      <c r="HJ55" s="187"/>
      <c r="HK55" s="174"/>
      <c r="HL55" s="174"/>
      <c r="HM55" s="174"/>
      <c r="HN55" s="174"/>
      <c r="HO55" s="174"/>
      <c r="HP55" s="174"/>
      <c r="HQ55" s="174"/>
      <c r="HR55" s="174"/>
      <c r="HS55" s="174"/>
      <c r="HT55" s="174"/>
      <c r="HU55" s="174"/>
      <c r="HV55" s="174"/>
      <c r="HW55" s="174"/>
      <c r="HX55" s="174"/>
      <c r="HY55" s="174"/>
      <c r="HZ55" s="174"/>
      <c r="IA55" s="174"/>
      <c r="IB55" s="174"/>
    </row>
    <row r="56" spans="1:236" s="186" customFormat="1" x14ac:dyDescent="0.25">
      <c r="A56" s="197"/>
      <c r="HG56" s="187"/>
      <c r="HH56" s="187"/>
      <c r="HI56" s="187"/>
      <c r="HJ56" s="187"/>
      <c r="HK56" s="174"/>
      <c r="HL56" s="174"/>
      <c r="HM56" s="174"/>
      <c r="HN56" s="174"/>
      <c r="HO56" s="174"/>
      <c r="HP56" s="174"/>
      <c r="HQ56" s="174"/>
      <c r="HR56" s="174"/>
      <c r="HS56" s="174"/>
      <c r="HT56" s="174"/>
      <c r="HU56" s="174"/>
      <c r="HV56" s="174"/>
      <c r="HW56" s="174"/>
      <c r="HX56" s="174"/>
      <c r="HY56" s="174"/>
      <c r="HZ56" s="174"/>
      <c r="IA56" s="174"/>
      <c r="IB56" s="174"/>
    </row>
    <row r="57" spans="1:236" s="186" customFormat="1" x14ac:dyDescent="0.25">
      <c r="A57" s="197"/>
      <c r="HG57" s="187"/>
      <c r="HH57" s="187"/>
      <c r="HI57" s="187"/>
      <c r="HJ57" s="187"/>
      <c r="HK57" s="174"/>
      <c r="HL57" s="174"/>
      <c r="HM57" s="174"/>
      <c r="HN57" s="174"/>
      <c r="HO57" s="174"/>
      <c r="HP57" s="174"/>
      <c r="HQ57" s="174"/>
      <c r="HR57" s="174"/>
      <c r="HS57" s="174"/>
      <c r="HT57" s="174"/>
      <c r="HU57" s="174"/>
      <c r="HV57" s="174"/>
      <c r="HW57" s="174"/>
      <c r="HX57" s="174"/>
      <c r="HY57" s="174"/>
      <c r="HZ57" s="174"/>
      <c r="IA57" s="174"/>
      <c r="IB57" s="174"/>
    </row>
    <row r="58" spans="1:236" s="186" customFormat="1" x14ac:dyDescent="0.25">
      <c r="A58" s="197"/>
      <c r="HG58" s="187"/>
      <c r="HH58" s="187"/>
      <c r="HI58" s="187"/>
      <c r="HJ58" s="187"/>
      <c r="HK58" s="174"/>
      <c r="HL58" s="174"/>
      <c r="HM58" s="174"/>
      <c r="HN58" s="174"/>
      <c r="HO58" s="174"/>
      <c r="HP58" s="174"/>
      <c r="HQ58" s="174"/>
      <c r="HR58" s="174"/>
      <c r="HS58" s="174"/>
      <c r="HT58" s="174"/>
      <c r="HU58" s="174"/>
      <c r="HV58" s="174"/>
      <c r="HW58" s="174"/>
      <c r="HX58" s="174"/>
      <c r="HY58" s="174"/>
      <c r="HZ58" s="174"/>
      <c r="IA58" s="174"/>
      <c r="IB58" s="174"/>
    </row>
    <row r="59" spans="1:236" s="186" customFormat="1" x14ac:dyDescent="0.25">
      <c r="A59" s="197"/>
      <c r="HG59" s="187"/>
      <c r="HH59" s="187"/>
      <c r="HI59" s="187"/>
      <c r="HJ59" s="187"/>
      <c r="HK59" s="174"/>
      <c r="HL59" s="174"/>
      <c r="HM59" s="174"/>
      <c r="HN59" s="174"/>
      <c r="HO59" s="174"/>
      <c r="HP59" s="174"/>
      <c r="HQ59" s="174"/>
      <c r="HR59" s="174"/>
      <c r="HS59" s="174"/>
      <c r="HT59" s="174"/>
      <c r="HU59" s="174"/>
      <c r="HV59" s="174"/>
      <c r="HW59" s="174"/>
      <c r="HX59" s="174"/>
      <c r="HY59" s="174"/>
      <c r="HZ59" s="174"/>
      <c r="IA59" s="174"/>
      <c r="IB59" s="174"/>
    </row>
    <row r="60" spans="1:236" s="186" customFormat="1" x14ac:dyDescent="0.25">
      <c r="A60" s="197"/>
      <c r="HG60" s="187"/>
      <c r="HH60" s="187"/>
      <c r="HI60" s="187"/>
      <c r="HJ60" s="187"/>
      <c r="HK60" s="174"/>
      <c r="HL60" s="174"/>
      <c r="HM60" s="174"/>
      <c r="HN60" s="174"/>
      <c r="HO60" s="174"/>
      <c r="HP60" s="174"/>
      <c r="HQ60" s="174"/>
      <c r="HR60" s="174"/>
      <c r="HS60" s="174"/>
      <c r="HT60" s="174"/>
      <c r="HU60" s="174"/>
      <c r="HV60" s="174"/>
      <c r="HW60" s="174"/>
      <c r="HX60" s="174"/>
      <c r="HY60" s="174"/>
      <c r="HZ60" s="174"/>
      <c r="IA60" s="174"/>
      <c r="IB60" s="174"/>
    </row>
    <row r="61" spans="1:236" s="186" customFormat="1" x14ac:dyDescent="0.25">
      <c r="A61" s="197"/>
      <c r="HG61" s="187"/>
      <c r="HH61" s="187"/>
      <c r="HI61" s="187"/>
      <c r="HJ61" s="187"/>
      <c r="HK61" s="174"/>
      <c r="HL61" s="174"/>
      <c r="HM61" s="174"/>
      <c r="HN61" s="174"/>
      <c r="HO61" s="174"/>
      <c r="HP61" s="174"/>
      <c r="HQ61" s="174"/>
      <c r="HR61" s="174"/>
      <c r="HS61" s="174"/>
      <c r="HT61" s="174"/>
      <c r="HU61" s="174"/>
      <c r="HV61" s="174"/>
      <c r="HW61" s="174"/>
      <c r="HX61" s="174"/>
      <c r="HY61" s="174"/>
      <c r="HZ61" s="174"/>
      <c r="IA61" s="174"/>
      <c r="IB61" s="174"/>
    </row>
    <row r="62" spans="1:236" s="186" customFormat="1" x14ac:dyDescent="0.25">
      <c r="A62" s="197"/>
      <c r="HG62" s="187"/>
      <c r="HH62" s="187"/>
      <c r="HI62" s="187"/>
      <c r="HJ62" s="187"/>
      <c r="HK62" s="174"/>
      <c r="HL62" s="174"/>
      <c r="HM62" s="174"/>
      <c r="HN62" s="174"/>
      <c r="HO62" s="174"/>
      <c r="HP62" s="174"/>
      <c r="HQ62" s="174"/>
      <c r="HR62" s="174"/>
      <c r="HS62" s="174"/>
      <c r="HT62" s="174"/>
      <c r="HU62" s="174"/>
      <c r="HV62" s="174"/>
      <c r="HW62" s="174"/>
      <c r="HX62" s="174"/>
      <c r="HY62" s="174"/>
      <c r="HZ62" s="174"/>
      <c r="IA62" s="174"/>
      <c r="IB62" s="174"/>
    </row>
    <row r="63" spans="1:236" s="186" customFormat="1" x14ac:dyDescent="0.25">
      <c r="A63" s="197"/>
      <c r="HG63" s="187"/>
      <c r="HH63" s="187"/>
      <c r="HI63" s="187"/>
      <c r="HJ63" s="187"/>
      <c r="HK63" s="174"/>
      <c r="HL63" s="174"/>
      <c r="HM63" s="174"/>
      <c r="HN63" s="174"/>
      <c r="HO63" s="174"/>
      <c r="HP63" s="174"/>
      <c r="HQ63" s="174"/>
      <c r="HR63" s="174"/>
      <c r="HS63" s="174"/>
      <c r="HT63" s="174"/>
      <c r="HU63" s="174"/>
      <c r="HV63" s="174"/>
      <c r="HW63" s="174"/>
      <c r="HX63" s="174"/>
      <c r="HY63" s="174"/>
      <c r="HZ63" s="174"/>
      <c r="IA63" s="174"/>
      <c r="IB63" s="174"/>
    </row>
    <row r="64" spans="1:236" s="186" customFormat="1" x14ac:dyDescent="0.25">
      <c r="A64" s="197"/>
      <c r="HG64" s="187"/>
      <c r="HH64" s="187"/>
      <c r="HI64" s="187"/>
      <c r="HJ64" s="187"/>
      <c r="HK64" s="174"/>
      <c r="HL64" s="174"/>
      <c r="HM64" s="174"/>
      <c r="HN64" s="174"/>
      <c r="HO64" s="174"/>
      <c r="HP64" s="174"/>
      <c r="HQ64" s="174"/>
      <c r="HR64" s="174"/>
      <c r="HS64" s="174"/>
      <c r="HT64" s="174"/>
      <c r="HU64" s="174"/>
      <c r="HV64" s="174"/>
      <c r="HW64" s="174"/>
      <c r="HX64" s="174"/>
      <c r="HY64" s="174"/>
      <c r="HZ64" s="174"/>
      <c r="IA64" s="174"/>
      <c r="IB64" s="174"/>
    </row>
    <row r="65" spans="1:236" s="186" customFormat="1" x14ac:dyDescent="0.25">
      <c r="A65" s="197"/>
      <c r="HG65" s="187"/>
      <c r="HH65" s="187"/>
      <c r="HI65" s="187"/>
      <c r="HJ65" s="187"/>
      <c r="HK65" s="174"/>
      <c r="HL65" s="174"/>
      <c r="HM65" s="174"/>
      <c r="HN65" s="174"/>
      <c r="HO65" s="174"/>
      <c r="HP65" s="174"/>
      <c r="HQ65" s="174"/>
      <c r="HR65" s="174"/>
      <c r="HS65" s="174"/>
      <c r="HT65" s="174"/>
      <c r="HU65" s="174"/>
      <c r="HV65" s="174"/>
      <c r="HW65" s="174"/>
      <c r="HX65" s="174"/>
      <c r="HY65" s="174"/>
      <c r="HZ65" s="174"/>
      <c r="IA65" s="174"/>
      <c r="IB65" s="174"/>
    </row>
    <row r="66" spans="1:236" s="186" customFormat="1" x14ac:dyDescent="0.25">
      <c r="A66" s="197"/>
      <c r="HG66" s="187"/>
      <c r="HH66" s="187"/>
      <c r="HI66" s="187"/>
      <c r="HJ66" s="187"/>
      <c r="HK66" s="174"/>
      <c r="HL66" s="174"/>
      <c r="HM66" s="174"/>
      <c r="HN66" s="174"/>
      <c r="HO66" s="174"/>
      <c r="HP66" s="174"/>
      <c r="HQ66" s="174"/>
      <c r="HR66" s="174"/>
      <c r="HS66" s="174"/>
      <c r="HT66" s="174"/>
      <c r="HU66" s="174"/>
      <c r="HV66" s="174"/>
      <c r="HW66" s="174"/>
      <c r="HX66" s="174"/>
      <c r="HY66" s="174"/>
      <c r="HZ66" s="174"/>
      <c r="IA66" s="174"/>
      <c r="IB66" s="174"/>
    </row>
    <row r="67" spans="1:236" s="186" customFormat="1" x14ac:dyDescent="0.25">
      <c r="A67" s="197"/>
      <c r="HG67" s="187"/>
      <c r="HH67" s="187"/>
      <c r="HI67" s="187"/>
      <c r="HJ67" s="187"/>
      <c r="HK67" s="174"/>
      <c r="HL67" s="174"/>
      <c r="HM67" s="174"/>
      <c r="HN67" s="174"/>
      <c r="HO67" s="174"/>
      <c r="HP67" s="174"/>
      <c r="HQ67" s="174"/>
      <c r="HR67" s="174"/>
      <c r="HS67" s="174"/>
      <c r="HT67" s="174"/>
      <c r="HU67" s="174"/>
      <c r="HV67" s="174"/>
      <c r="HW67" s="174"/>
      <c r="HX67" s="174"/>
      <c r="HY67" s="174"/>
      <c r="HZ67" s="174"/>
      <c r="IA67" s="174"/>
      <c r="IB67" s="174"/>
    </row>
    <row r="68" spans="1:236" s="186" customFormat="1" x14ac:dyDescent="0.25">
      <c r="A68" s="197"/>
      <c r="HG68" s="187"/>
      <c r="HH68" s="187"/>
      <c r="HI68" s="187"/>
      <c r="HJ68" s="187"/>
      <c r="HK68" s="174"/>
      <c r="HL68" s="174"/>
      <c r="HM68" s="174"/>
      <c r="HN68" s="174"/>
      <c r="HO68" s="174"/>
      <c r="HP68" s="174"/>
      <c r="HQ68" s="174"/>
      <c r="HR68" s="174"/>
      <c r="HS68" s="174"/>
      <c r="HT68" s="174"/>
      <c r="HU68" s="174"/>
      <c r="HV68" s="174"/>
      <c r="HW68" s="174"/>
      <c r="HX68" s="174"/>
      <c r="HY68" s="174"/>
      <c r="HZ68" s="174"/>
      <c r="IA68" s="174"/>
      <c r="IB68" s="174"/>
    </row>
    <row r="69" spans="1:236" s="186" customFormat="1" x14ac:dyDescent="0.25">
      <c r="A69" s="197"/>
      <c r="HG69" s="187"/>
      <c r="HH69" s="187"/>
      <c r="HI69" s="187"/>
      <c r="HJ69" s="187"/>
      <c r="HK69" s="174"/>
      <c r="HL69" s="174"/>
      <c r="HM69" s="174"/>
      <c r="HN69" s="174"/>
      <c r="HO69" s="174"/>
      <c r="HP69" s="174"/>
      <c r="HQ69" s="174"/>
      <c r="HR69" s="174"/>
      <c r="HS69" s="174"/>
      <c r="HT69" s="174"/>
      <c r="HU69" s="174"/>
      <c r="HV69" s="174"/>
      <c r="HW69" s="174"/>
      <c r="HX69" s="174"/>
      <c r="HY69" s="174"/>
      <c r="HZ69" s="174"/>
      <c r="IA69" s="174"/>
      <c r="IB69" s="174"/>
    </row>
    <row r="70" spans="1:236" s="186" customFormat="1" x14ac:dyDescent="0.25">
      <c r="A70" s="197"/>
      <c r="HG70" s="187"/>
      <c r="HH70" s="187"/>
      <c r="HI70" s="187"/>
      <c r="HJ70" s="187"/>
      <c r="HK70" s="174"/>
      <c r="HL70" s="174"/>
      <c r="HM70" s="174"/>
      <c r="HN70" s="174"/>
      <c r="HO70" s="174"/>
      <c r="HP70" s="174"/>
      <c r="HQ70" s="174"/>
      <c r="HR70" s="174"/>
      <c r="HS70" s="174"/>
      <c r="HT70" s="174"/>
      <c r="HU70" s="174"/>
      <c r="HV70" s="174"/>
      <c r="HW70" s="174"/>
      <c r="HX70" s="174"/>
      <c r="HY70" s="174"/>
      <c r="HZ70" s="174"/>
      <c r="IA70" s="174"/>
      <c r="IB70" s="174"/>
    </row>
    <row r="71" spans="1:236" s="186" customFormat="1" x14ac:dyDescent="0.25">
      <c r="A71" s="197"/>
      <c r="HG71" s="187"/>
      <c r="HH71" s="187"/>
      <c r="HI71" s="187"/>
      <c r="HJ71" s="187"/>
      <c r="HK71" s="174"/>
      <c r="HL71" s="174"/>
      <c r="HM71" s="174"/>
      <c r="HN71" s="174"/>
      <c r="HO71" s="174"/>
      <c r="HP71" s="174"/>
      <c r="HQ71" s="174"/>
      <c r="HR71" s="174"/>
      <c r="HS71" s="174"/>
      <c r="HT71" s="174"/>
      <c r="HU71" s="174"/>
      <c r="HV71" s="174"/>
      <c r="HW71" s="174"/>
      <c r="HX71" s="174"/>
      <c r="HY71" s="174"/>
      <c r="HZ71" s="174"/>
      <c r="IA71" s="174"/>
      <c r="IB71" s="174"/>
    </row>
    <row r="72" spans="1:236" s="186" customFormat="1" x14ac:dyDescent="0.25">
      <c r="A72" s="197"/>
      <c r="HG72" s="187"/>
      <c r="HH72" s="187"/>
      <c r="HI72" s="187"/>
      <c r="HJ72" s="187"/>
      <c r="HK72" s="174"/>
      <c r="HL72" s="174"/>
      <c r="HM72" s="174"/>
      <c r="HN72" s="174"/>
      <c r="HO72" s="174"/>
      <c r="HP72" s="174"/>
      <c r="HQ72" s="174"/>
      <c r="HR72" s="174"/>
      <c r="HS72" s="174"/>
      <c r="HT72" s="174"/>
      <c r="HU72" s="174"/>
      <c r="HV72" s="174"/>
      <c r="HW72" s="174"/>
      <c r="HX72" s="174"/>
      <c r="HY72" s="174"/>
      <c r="HZ72" s="174"/>
      <c r="IA72" s="174"/>
      <c r="IB72" s="174"/>
    </row>
    <row r="73" spans="1:236" s="186" customFormat="1" x14ac:dyDescent="0.25">
      <c r="A73" s="197"/>
      <c r="HG73" s="187"/>
      <c r="HH73" s="187"/>
      <c r="HI73" s="187"/>
      <c r="HJ73" s="187"/>
      <c r="HK73" s="174"/>
      <c r="HL73" s="174"/>
      <c r="HM73" s="174"/>
      <c r="HN73" s="174"/>
      <c r="HO73" s="174"/>
      <c r="HP73" s="174"/>
      <c r="HQ73" s="174"/>
      <c r="HR73" s="174"/>
      <c r="HS73" s="174"/>
      <c r="HT73" s="174"/>
      <c r="HU73" s="174"/>
      <c r="HV73" s="174"/>
      <c r="HW73" s="174"/>
      <c r="HX73" s="174"/>
      <c r="HY73" s="174"/>
      <c r="HZ73" s="174"/>
      <c r="IA73" s="174"/>
      <c r="IB73" s="174"/>
    </row>
    <row r="74" spans="1:236" s="186" customFormat="1" x14ac:dyDescent="0.25">
      <c r="A74" s="197"/>
      <c r="HG74" s="187"/>
      <c r="HH74" s="187"/>
      <c r="HI74" s="187"/>
      <c r="HJ74" s="187"/>
      <c r="HK74" s="174"/>
      <c r="HL74" s="174"/>
      <c r="HM74" s="174"/>
      <c r="HN74" s="174"/>
      <c r="HO74" s="174"/>
      <c r="HP74" s="174"/>
      <c r="HQ74" s="174"/>
      <c r="HR74" s="174"/>
      <c r="HS74" s="174"/>
      <c r="HT74" s="174"/>
      <c r="HU74" s="174"/>
      <c r="HV74" s="174"/>
      <c r="HW74" s="174"/>
      <c r="HX74" s="174"/>
      <c r="HY74" s="174"/>
      <c r="HZ74" s="174"/>
      <c r="IA74" s="174"/>
      <c r="IB74" s="174"/>
    </row>
    <row r="75" spans="1:236" s="186" customFormat="1" x14ac:dyDescent="0.25">
      <c r="A75" s="197"/>
      <c r="HG75" s="187"/>
      <c r="HH75" s="187"/>
      <c r="HI75" s="187"/>
      <c r="HJ75" s="187"/>
      <c r="HK75" s="174"/>
      <c r="HL75" s="174"/>
      <c r="HM75" s="174"/>
      <c r="HN75" s="174"/>
      <c r="HO75" s="174"/>
      <c r="HP75" s="174"/>
      <c r="HQ75" s="174"/>
      <c r="HR75" s="174"/>
      <c r="HS75" s="174"/>
      <c r="HT75" s="174"/>
      <c r="HU75" s="174"/>
      <c r="HV75" s="174"/>
      <c r="HW75" s="174"/>
      <c r="HX75" s="174"/>
      <c r="HY75" s="174"/>
      <c r="HZ75" s="174"/>
      <c r="IA75" s="174"/>
      <c r="IB75" s="174"/>
    </row>
    <row r="76" spans="1:236" s="186" customFormat="1" x14ac:dyDescent="0.25">
      <c r="A76" s="197"/>
      <c r="HG76" s="187"/>
      <c r="HH76" s="187"/>
      <c r="HI76" s="187"/>
      <c r="HJ76" s="187"/>
      <c r="HK76" s="174"/>
      <c r="HL76" s="174"/>
      <c r="HM76" s="174"/>
      <c r="HN76" s="174"/>
      <c r="HO76" s="174"/>
      <c r="HP76" s="174"/>
      <c r="HQ76" s="174"/>
      <c r="HR76" s="174"/>
      <c r="HS76" s="174"/>
      <c r="HT76" s="174"/>
      <c r="HU76" s="174"/>
      <c r="HV76" s="174"/>
      <c r="HW76" s="174"/>
      <c r="HX76" s="174"/>
      <c r="HY76" s="174"/>
      <c r="HZ76" s="174"/>
      <c r="IA76" s="174"/>
      <c r="IB76" s="174"/>
    </row>
    <row r="77" spans="1:236" s="186" customFormat="1" x14ac:dyDescent="0.25">
      <c r="A77" s="197"/>
      <c r="HG77" s="187"/>
      <c r="HH77" s="187"/>
      <c r="HI77" s="187"/>
      <c r="HJ77" s="187"/>
      <c r="HK77" s="174"/>
      <c r="HL77" s="174"/>
      <c r="HM77" s="174"/>
      <c r="HN77" s="174"/>
      <c r="HO77" s="174"/>
      <c r="HP77" s="174"/>
      <c r="HQ77" s="174"/>
      <c r="HR77" s="174"/>
      <c r="HS77" s="174"/>
      <c r="HT77" s="174"/>
      <c r="HU77" s="174"/>
      <c r="HV77" s="174"/>
      <c r="HW77" s="174"/>
      <c r="HX77" s="174"/>
      <c r="HY77" s="174"/>
      <c r="HZ77" s="174"/>
      <c r="IA77" s="174"/>
      <c r="IB77" s="174"/>
    </row>
    <row r="78" spans="1:236" s="186" customFormat="1" x14ac:dyDescent="0.25">
      <c r="A78" s="197"/>
      <c r="HG78" s="187"/>
      <c r="HH78" s="187"/>
      <c r="HI78" s="187"/>
      <c r="HJ78" s="187"/>
      <c r="HK78" s="174"/>
      <c r="HL78" s="174"/>
      <c r="HM78" s="174"/>
      <c r="HN78" s="174"/>
      <c r="HO78" s="174"/>
      <c r="HP78" s="174"/>
      <c r="HQ78" s="174"/>
      <c r="HR78" s="174"/>
      <c r="HS78" s="174"/>
      <c r="HT78" s="174"/>
      <c r="HU78" s="174"/>
      <c r="HV78" s="174"/>
      <c r="HW78" s="174"/>
      <c r="HX78" s="174"/>
      <c r="HY78" s="174"/>
      <c r="HZ78" s="174"/>
      <c r="IA78" s="174"/>
      <c r="IB78" s="174"/>
    </row>
    <row r="79" spans="1:236" s="186" customFormat="1" x14ac:dyDescent="0.25">
      <c r="A79" s="197"/>
      <c r="HG79" s="187"/>
      <c r="HH79" s="187"/>
      <c r="HI79" s="187"/>
      <c r="HJ79" s="187"/>
      <c r="HK79" s="174"/>
      <c r="HL79" s="174"/>
      <c r="HM79" s="174"/>
      <c r="HN79" s="174"/>
      <c r="HO79" s="174"/>
      <c r="HP79" s="174"/>
      <c r="HQ79" s="174"/>
      <c r="HR79" s="174"/>
      <c r="HS79" s="174"/>
      <c r="HT79" s="174"/>
      <c r="HU79" s="174"/>
      <c r="HV79" s="174"/>
      <c r="HW79" s="174"/>
      <c r="HX79" s="174"/>
      <c r="HY79" s="174"/>
      <c r="HZ79" s="174"/>
      <c r="IA79" s="174"/>
      <c r="IB79" s="174"/>
    </row>
    <row r="80" spans="1:236" s="186" customFormat="1" x14ac:dyDescent="0.25">
      <c r="A80" s="197"/>
      <c r="HG80" s="187"/>
      <c r="HH80" s="187"/>
      <c r="HI80" s="187"/>
      <c r="HJ80" s="187"/>
      <c r="HK80" s="174"/>
      <c r="HL80" s="174"/>
      <c r="HM80" s="174"/>
      <c r="HN80" s="174"/>
      <c r="HO80" s="174"/>
      <c r="HP80" s="174"/>
      <c r="HQ80" s="174"/>
      <c r="HR80" s="174"/>
      <c r="HS80" s="174"/>
      <c r="HT80" s="174"/>
      <c r="HU80" s="174"/>
      <c r="HV80" s="174"/>
      <c r="HW80" s="174"/>
      <c r="HX80" s="174"/>
      <c r="HY80" s="174"/>
      <c r="HZ80" s="174"/>
      <c r="IA80" s="174"/>
      <c r="IB80" s="174"/>
    </row>
    <row r="81" spans="1:236" s="186" customFormat="1" x14ac:dyDescent="0.25">
      <c r="A81" s="197"/>
      <c r="HG81" s="187"/>
      <c r="HH81" s="187"/>
      <c r="HI81" s="187"/>
      <c r="HJ81" s="187"/>
      <c r="HK81" s="174"/>
      <c r="HL81" s="174"/>
      <c r="HM81" s="174"/>
      <c r="HN81" s="174"/>
      <c r="HO81" s="174"/>
      <c r="HP81" s="174"/>
      <c r="HQ81" s="174"/>
      <c r="HR81" s="174"/>
      <c r="HS81" s="174"/>
      <c r="HT81" s="174"/>
      <c r="HU81" s="174"/>
      <c r="HV81" s="174"/>
      <c r="HW81" s="174"/>
      <c r="HX81" s="174"/>
      <c r="HY81" s="174"/>
      <c r="HZ81" s="174"/>
      <c r="IA81" s="174"/>
      <c r="IB81" s="174"/>
    </row>
    <row r="82" spans="1:236" s="186" customFormat="1" x14ac:dyDescent="0.25">
      <c r="A82" s="197"/>
      <c r="HG82" s="187"/>
      <c r="HH82" s="187"/>
      <c r="HI82" s="187"/>
      <c r="HJ82" s="187"/>
      <c r="HK82" s="174"/>
      <c r="HL82" s="174"/>
      <c r="HM82" s="174"/>
      <c r="HN82" s="174"/>
      <c r="HO82" s="174"/>
      <c r="HP82" s="174"/>
      <c r="HQ82" s="174"/>
      <c r="HR82" s="174"/>
      <c r="HS82" s="174"/>
      <c r="HT82" s="174"/>
      <c r="HU82" s="174"/>
      <c r="HV82" s="174"/>
      <c r="HW82" s="174"/>
      <c r="HX82" s="174"/>
      <c r="HY82" s="174"/>
      <c r="HZ82" s="174"/>
      <c r="IA82" s="174"/>
      <c r="IB82" s="174"/>
    </row>
    <row r="83" spans="1:236" s="186" customFormat="1" x14ac:dyDescent="0.25">
      <c r="A83" s="197"/>
      <c r="HG83" s="187"/>
      <c r="HH83" s="187"/>
      <c r="HI83" s="187"/>
      <c r="HJ83" s="187"/>
      <c r="HK83" s="174"/>
      <c r="HL83" s="174"/>
      <c r="HM83" s="174"/>
      <c r="HN83" s="174"/>
      <c r="HO83" s="174"/>
      <c r="HP83" s="174"/>
      <c r="HQ83" s="174"/>
      <c r="HR83" s="174"/>
      <c r="HS83" s="174"/>
      <c r="HT83" s="174"/>
      <c r="HU83" s="174"/>
      <c r="HV83" s="174"/>
      <c r="HW83" s="174"/>
      <c r="HX83" s="174"/>
      <c r="HY83" s="174"/>
      <c r="HZ83" s="174"/>
      <c r="IA83" s="174"/>
      <c r="IB83" s="174"/>
    </row>
    <row r="84" spans="1:236" s="186" customFormat="1" x14ac:dyDescent="0.25">
      <c r="A84" s="197"/>
      <c r="HG84" s="187"/>
      <c r="HH84" s="187"/>
      <c r="HI84" s="187"/>
      <c r="HJ84" s="187"/>
      <c r="HK84" s="174"/>
      <c r="HL84" s="174"/>
      <c r="HM84" s="174"/>
      <c r="HN84" s="174"/>
      <c r="HO84" s="174"/>
      <c r="HP84" s="174"/>
      <c r="HQ84" s="174"/>
      <c r="HR84" s="174"/>
      <c r="HS84" s="174"/>
      <c r="HT84" s="174"/>
      <c r="HU84" s="174"/>
      <c r="HV84" s="174"/>
      <c r="HW84" s="174"/>
      <c r="HX84" s="174"/>
      <c r="HY84" s="174"/>
      <c r="HZ84" s="174"/>
      <c r="IA84" s="174"/>
      <c r="IB84" s="174"/>
    </row>
    <row r="85" spans="1:236" s="186" customFormat="1" x14ac:dyDescent="0.25">
      <c r="A85" s="197"/>
      <c r="HG85" s="187"/>
      <c r="HH85" s="187"/>
      <c r="HI85" s="187"/>
      <c r="HJ85" s="187"/>
      <c r="HK85" s="174"/>
      <c r="HL85" s="174"/>
      <c r="HM85" s="174"/>
      <c r="HN85" s="174"/>
      <c r="HO85" s="174"/>
      <c r="HP85" s="174"/>
      <c r="HQ85" s="174"/>
      <c r="HR85" s="174"/>
      <c r="HS85" s="174"/>
      <c r="HT85" s="174"/>
      <c r="HU85" s="174"/>
      <c r="HV85" s="174"/>
      <c r="HW85" s="174"/>
      <c r="HX85" s="174"/>
      <c r="HY85" s="174"/>
      <c r="HZ85" s="174"/>
      <c r="IA85" s="174"/>
      <c r="IB85" s="174"/>
    </row>
    <row r="86" spans="1:236" s="186" customFormat="1" x14ac:dyDescent="0.25">
      <c r="A86" s="197"/>
      <c r="HG86" s="187"/>
      <c r="HH86" s="187"/>
      <c r="HI86" s="187"/>
      <c r="HJ86" s="187"/>
      <c r="HK86" s="174"/>
      <c r="HL86" s="174"/>
      <c r="HM86" s="174"/>
      <c r="HN86" s="174"/>
      <c r="HO86" s="174"/>
      <c r="HP86" s="174"/>
      <c r="HQ86" s="174"/>
      <c r="HR86" s="174"/>
      <c r="HS86" s="174"/>
      <c r="HT86" s="174"/>
      <c r="HU86" s="174"/>
      <c r="HV86" s="174"/>
      <c r="HW86" s="174"/>
      <c r="HX86" s="174"/>
      <c r="HY86" s="174"/>
      <c r="HZ86" s="174"/>
      <c r="IA86" s="174"/>
      <c r="IB86" s="174"/>
    </row>
    <row r="87" spans="1:236" s="186" customFormat="1" x14ac:dyDescent="0.25">
      <c r="A87" s="197"/>
      <c r="HG87" s="187"/>
      <c r="HH87" s="187"/>
      <c r="HI87" s="187"/>
      <c r="HJ87" s="187"/>
      <c r="HK87" s="174"/>
      <c r="HL87" s="174"/>
      <c r="HM87" s="174"/>
      <c r="HN87" s="174"/>
      <c r="HO87" s="174"/>
      <c r="HP87" s="174"/>
      <c r="HQ87" s="174"/>
      <c r="HR87" s="174"/>
      <c r="HS87" s="174"/>
      <c r="HT87" s="174"/>
      <c r="HU87" s="174"/>
      <c r="HV87" s="174"/>
      <c r="HW87" s="174"/>
      <c r="HX87" s="174"/>
      <c r="HY87" s="174"/>
      <c r="HZ87" s="174"/>
      <c r="IA87" s="174"/>
      <c r="IB87" s="174"/>
    </row>
    <row r="88" spans="1:236" s="186" customFormat="1" x14ac:dyDescent="0.25">
      <c r="A88" s="197"/>
      <c r="HG88" s="187"/>
      <c r="HH88" s="187"/>
      <c r="HI88" s="187"/>
      <c r="HJ88" s="187"/>
      <c r="HK88" s="174"/>
      <c r="HL88" s="174"/>
      <c r="HM88" s="174"/>
      <c r="HN88" s="174"/>
      <c r="HO88" s="174"/>
      <c r="HP88" s="174"/>
      <c r="HQ88" s="174"/>
      <c r="HR88" s="174"/>
      <c r="HS88" s="174"/>
      <c r="HT88" s="174"/>
      <c r="HU88" s="174"/>
      <c r="HV88" s="174"/>
      <c r="HW88" s="174"/>
      <c r="HX88" s="174"/>
      <c r="HY88" s="174"/>
      <c r="HZ88" s="174"/>
      <c r="IA88" s="174"/>
      <c r="IB88" s="174"/>
    </row>
    <row r="89" spans="1:236" s="186" customFormat="1" x14ac:dyDescent="0.25">
      <c r="A89" s="197"/>
      <c r="HG89" s="187"/>
      <c r="HH89" s="187"/>
      <c r="HI89" s="187"/>
      <c r="HJ89" s="187"/>
      <c r="HK89" s="174"/>
      <c r="HL89" s="174"/>
      <c r="HM89" s="174"/>
      <c r="HN89" s="174"/>
      <c r="HO89" s="174"/>
      <c r="HP89" s="174"/>
      <c r="HQ89" s="174"/>
      <c r="HR89" s="174"/>
      <c r="HS89" s="174"/>
      <c r="HT89" s="174"/>
      <c r="HU89" s="174"/>
      <c r="HV89" s="174"/>
      <c r="HW89" s="174"/>
      <c r="HX89" s="174"/>
      <c r="HY89" s="174"/>
      <c r="HZ89" s="174"/>
      <c r="IA89" s="174"/>
      <c r="IB89" s="174"/>
    </row>
    <row r="90" spans="1:236" s="186" customFormat="1" x14ac:dyDescent="0.25">
      <c r="A90" s="197"/>
      <c r="HG90" s="187"/>
      <c r="HH90" s="187"/>
      <c r="HI90" s="187"/>
      <c r="HJ90" s="187"/>
      <c r="HK90" s="174"/>
      <c r="HL90" s="174"/>
      <c r="HM90" s="174"/>
      <c r="HN90" s="174"/>
      <c r="HO90" s="174"/>
      <c r="HP90" s="174"/>
      <c r="HQ90" s="174"/>
      <c r="HR90" s="174"/>
      <c r="HS90" s="174"/>
      <c r="HT90" s="174"/>
      <c r="HU90" s="174"/>
      <c r="HV90" s="174"/>
      <c r="HW90" s="174"/>
      <c r="HX90" s="174"/>
      <c r="HY90" s="174"/>
      <c r="HZ90" s="174"/>
      <c r="IA90" s="174"/>
      <c r="IB90" s="174"/>
    </row>
    <row r="91" spans="1:236" s="186" customFormat="1" x14ac:dyDescent="0.25">
      <c r="A91" s="197"/>
      <c r="HG91" s="187"/>
      <c r="HH91" s="187"/>
      <c r="HI91" s="187"/>
      <c r="HJ91" s="187"/>
      <c r="HK91" s="174"/>
      <c r="HL91" s="174"/>
      <c r="HM91" s="174"/>
      <c r="HN91" s="174"/>
      <c r="HO91" s="174"/>
      <c r="HP91" s="174"/>
      <c r="HQ91" s="174"/>
      <c r="HR91" s="174"/>
      <c r="HS91" s="174"/>
      <c r="HT91" s="174"/>
      <c r="HU91" s="174"/>
      <c r="HV91" s="174"/>
      <c r="HW91" s="174"/>
      <c r="HX91" s="174"/>
      <c r="HY91" s="174"/>
      <c r="HZ91" s="174"/>
      <c r="IA91" s="174"/>
      <c r="IB91" s="174"/>
    </row>
    <row r="92" spans="1:236" s="186" customFormat="1" x14ac:dyDescent="0.25">
      <c r="A92" s="197"/>
      <c r="HG92" s="187"/>
      <c r="HH92" s="187"/>
      <c r="HI92" s="187"/>
      <c r="HJ92" s="187"/>
      <c r="HK92" s="174"/>
      <c r="HL92" s="174"/>
      <c r="HM92" s="174"/>
      <c r="HN92" s="174"/>
      <c r="HO92" s="174"/>
      <c r="HP92" s="174"/>
      <c r="HQ92" s="174"/>
      <c r="HR92" s="174"/>
      <c r="HS92" s="174"/>
      <c r="HT92" s="174"/>
      <c r="HU92" s="174"/>
      <c r="HV92" s="174"/>
      <c r="HW92" s="174"/>
      <c r="HX92" s="174"/>
      <c r="HY92" s="174"/>
      <c r="HZ92" s="174"/>
      <c r="IA92" s="174"/>
      <c r="IB92" s="174"/>
    </row>
    <row r="93" spans="1:236" s="186" customFormat="1" x14ac:dyDescent="0.25">
      <c r="A93" s="197"/>
      <c r="HG93" s="187"/>
      <c r="HH93" s="187"/>
      <c r="HI93" s="187"/>
      <c r="HJ93" s="187"/>
      <c r="HK93" s="174"/>
      <c r="HL93" s="174"/>
      <c r="HM93" s="174"/>
      <c r="HN93" s="174"/>
      <c r="HO93" s="174"/>
      <c r="HP93" s="174"/>
      <c r="HQ93" s="174"/>
      <c r="HR93" s="174"/>
      <c r="HS93" s="174"/>
      <c r="HT93" s="174"/>
      <c r="HU93" s="174"/>
      <c r="HV93" s="174"/>
      <c r="HW93" s="174"/>
      <c r="HX93" s="174"/>
      <c r="HY93" s="174"/>
      <c r="HZ93" s="174"/>
      <c r="IA93" s="174"/>
      <c r="IB93" s="174"/>
    </row>
    <row r="94" spans="1:236" s="186" customFormat="1" x14ac:dyDescent="0.25">
      <c r="A94" s="197"/>
      <c r="HG94" s="187"/>
      <c r="HH94" s="187"/>
      <c r="HI94" s="187"/>
      <c r="HJ94" s="187"/>
      <c r="HK94" s="174"/>
      <c r="HL94" s="174"/>
      <c r="HM94" s="174"/>
      <c r="HN94" s="174"/>
      <c r="HO94" s="174"/>
      <c r="HP94" s="174"/>
      <c r="HQ94" s="174"/>
      <c r="HR94" s="174"/>
      <c r="HS94" s="174"/>
      <c r="HT94" s="174"/>
      <c r="HU94" s="174"/>
      <c r="HV94" s="174"/>
      <c r="HW94" s="174"/>
      <c r="HX94" s="174"/>
      <c r="HY94" s="174"/>
      <c r="HZ94" s="174"/>
      <c r="IA94" s="174"/>
      <c r="IB94" s="174"/>
    </row>
    <row r="95" spans="1:236" s="186" customFormat="1" x14ac:dyDescent="0.25">
      <c r="A95" s="197"/>
      <c r="HG95" s="187"/>
      <c r="HH95" s="187"/>
      <c r="HI95" s="187"/>
      <c r="HJ95" s="187"/>
      <c r="HK95" s="174"/>
      <c r="HL95" s="174"/>
      <c r="HM95" s="174"/>
      <c r="HN95" s="174"/>
      <c r="HO95" s="174"/>
      <c r="HP95" s="174"/>
      <c r="HQ95" s="174"/>
      <c r="HR95" s="174"/>
      <c r="HS95" s="174"/>
      <c r="HT95" s="174"/>
      <c r="HU95" s="174"/>
      <c r="HV95" s="174"/>
      <c r="HW95" s="174"/>
      <c r="HX95" s="174"/>
      <c r="HY95" s="174"/>
      <c r="HZ95" s="174"/>
      <c r="IA95" s="174"/>
      <c r="IB95" s="174"/>
    </row>
    <row r="96" spans="1:236" s="186" customFormat="1" x14ac:dyDescent="0.25">
      <c r="A96" s="197"/>
      <c r="HG96" s="187"/>
      <c r="HH96" s="187"/>
      <c r="HI96" s="187"/>
      <c r="HJ96" s="187"/>
      <c r="HK96" s="174"/>
      <c r="HL96" s="174"/>
      <c r="HM96" s="174"/>
      <c r="HN96" s="174"/>
      <c r="HO96" s="174"/>
      <c r="HP96" s="174"/>
      <c r="HQ96" s="174"/>
      <c r="HR96" s="174"/>
      <c r="HS96" s="174"/>
      <c r="HT96" s="174"/>
      <c r="HU96" s="174"/>
      <c r="HV96" s="174"/>
      <c r="HW96" s="174"/>
      <c r="HX96" s="174"/>
      <c r="HY96" s="174"/>
      <c r="HZ96" s="174"/>
      <c r="IA96" s="174"/>
      <c r="IB96" s="174"/>
    </row>
    <row r="97" spans="1:236" s="186" customFormat="1" x14ac:dyDescent="0.25">
      <c r="A97" s="197"/>
      <c r="HG97" s="187"/>
      <c r="HH97" s="187"/>
      <c r="HI97" s="187"/>
      <c r="HJ97" s="187"/>
      <c r="HK97" s="174"/>
      <c r="HL97" s="174"/>
      <c r="HM97" s="174"/>
      <c r="HN97" s="174"/>
      <c r="HO97" s="174"/>
      <c r="HP97" s="174"/>
      <c r="HQ97" s="174"/>
      <c r="HR97" s="174"/>
      <c r="HS97" s="174"/>
      <c r="HT97" s="174"/>
      <c r="HU97" s="174"/>
      <c r="HV97" s="174"/>
      <c r="HW97" s="174"/>
      <c r="HX97" s="174"/>
      <c r="HY97" s="174"/>
      <c r="HZ97" s="174"/>
      <c r="IA97" s="174"/>
      <c r="IB97" s="174"/>
    </row>
    <row r="98" spans="1:236" s="186" customFormat="1" x14ac:dyDescent="0.25">
      <c r="A98" s="197"/>
      <c r="HG98" s="187"/>
      <c r="HH98" s="187"/>
      <c r="HI98" s="187"/>
      <c r="HJ98" s="187"/>
      <c r="HK98" s="174"/>
      <c r="HL98" s="174"/>
      <c r="HM98" s="174"/>
      <c r="HN98" s="174"/>
      <c r="HO98" s="174"/>
      <c r="HP98" s="174"/>
      <c r="HQ98" s="174"/>
      <c r="HR98" s="174"/>
      <c r="HS98" s="174"/>
      <c r="HT98" s="174"/>
      <c r="HU98" s="174"/>
      <c r="HV98" s="174"/>
      <c r="HW98" s="174"/>
      <c r="HX98" s="174"/>
      <c r="HY98" s="174"/>
      <c r="HZ98" s="174"/>
      <c r="IA98" s="174"/>
      <c r="IB98" s="174"/>
    </row>
    <row r="99" spans="1:236" s="186" customFormat="1" x14ac:dyDescent="0.25">
      <c r="A99" s="197"/>
      <c r="HG99" s="187"/>
      <c r="HH99" s="187"/>
      <c r="HI99" s="187"/>
      <c r="HJ99" s="187"/>
      <c r="HK99" s="174"/>
      <c r="HL99" s="174"/>
      <c r="HM99" s="174"/>
      <c r="HN99" s="174"/>
      <c r="HO99" s="174"/>
      <c r="HP99" s="174"/>
      <c r="HQ99" s="174"/>
      <c r="HR99" s="174"/>
      <c r="HS99" s="174"/>
      <c r="HT99" s="174"/>
      <c r="HU99" s="174"/>
      <c r="HV99" s="174"/>
      <c r="HW99" s="174"/>
      <c r="HX99" s="174"/>
      <c r="HY99" s="174"/>
      <c r="HZ99" s="174"/>
      <c r="IA99" s="174"/>
      <c r="IB99" s="174"/>
    </row>
    <row r="100" spans="1:236" s="186" customFormat="1" x14ac:dyDescent="0.25">
      <c r="A100" s="197"/>
      <c r="HG100" s="187"/>
      <c r="HH100" s="187"/>
      <c r="HI100" s="187"/>
      <c r="HJ100" s="187"/>
      <c r="HK100" s="174"/>
      <c r="HL100" s="174"/>
      <c r="HM100" s="174"/>
      <c r="HN100" s="174"/>
      <c r="HO100" s="174"/>
      <c r="HP100" s="174"/>
      <c r="HQ100" s="174"/>
      <c r="HR100" s="174"/>
      <c r="HS100" s="174"/>
      <c r="HT100" s="174"/>
      <c r="HU100" s="174"/>
      <c r="HV100" s="174"/>
      <c r="HW100" s="174"/>
      <c r="HX100" s="174"/>
      <c r="HY100" s="174"/>
      <c r="HZ100" s="174"/>
      <c r="IA100" s="174"/>
      <c r="IB100" s="174"/>
    </row>
    <row r="101" spans="1:236" s="186" customFormat="1" x14ac:dyDescent="0.25">
      <c r="A101" s="197"/>
      <c r="HG101" s="187"/>
      <c r="HH101" s="187"/>
      <c r="HI101" s="187"/>
      <c r="HJ101" s="187"/>
      <c r="HK101" s="174"/>
      <c r="HL101" s="174"/>
      <c r="HM101" s="174"/>
      <c r="HN101" s="174"/>
      <c r="HO101" s="174"/>
      <c r="HP101" s="174"/>
      <c r="HQ101" s="174"/>
      <c r="HR101" s="174"/>
      <c r="HS101" s="174"/>
      <c r="HT101" s="174"/>
      <c r="HU101" s="174"/>
      <c r="HV101" s="174"/>
      <c r="HW101" s="174"/>
      <c r="HX101" s="174"/>
      <c r="HY101" s="174"/>
      <c r="HZ101" s="174"/>
      <c r="IA101" s="174"/>
      <c r="IB101" s="174"/>
    </row>
    <row r="102" spans="1:236" s="186" customFormat="1" x14ac:dyDescent="0.25">
      <c r="A102" s="197"/>
      <c r="HG102" s="187"/>
      <c r="HH102" s="187"/>
      <c r="HI102" s="187"/>
      <c r="HJ102" s="187"/>
      <c r="HK102" s="174"/>
      <c r="HL102" s="174"/>
      <c r="HM102" s="174"/>
      <c r="HN102" s="174"/>
      <c r="HO102" s="174"/>
      <c r="HP102" s="174"/>
      <c r="HQ102" s="174"/>
      <c r="HR102" s="174"/>
      <c r="HS102" s="174"/>
      <c r="HT102" s="174"/>
      <c r="HU102" s="174"/>
      <c r="HV102" s="174"/>
      <c r="HW102" s="174"/>
      <c r="HX102" s="174"/>
      <c r="HY102" s="174"/>
      <c r="HZ102" s="174"/>
      <c r="IA102" s="174"/>
      <c r="IB102" s="174"/>
    </row>
    <row r="103" spans="1:236" s="186" customFormat="1" x14ac:dyDescent="0.25">
      <c r="A103" s="197"/>
      <c r="HG103" s="187"/>
      <c r="HH103" s="187"/>
      <c r="HI103" s="187"/>
      <c r="HJ103" s="187"/>
      <c r="HK103" s="174"/>
      <c r="HL103" s="174"/>
      <c r="HM103" s="174"/>
      <c r="HN103" s="174"/>
      <c r="HO103" s="174"/>
      <c r="HP103" s="174"/>
      <c r="HQ103" s="174"/>
      <c r="HR103" s="174"/>
      <c r="HS103" s="174"/>
      <c r="HT103" s="174"/>
      <c r="HU103" s="174"/>
      <c r="HV103" s="174"/>
      <c r="HW103" s="174"/>
      <c r="HX103" s="174"/>
      <c r="HY103" s="174"/>
      <c r="HZ103" s="174"/>
      <c r="IA103" s="174"/>
      <c r="IB103" s="174"/>
    </row>
    <row r="104" spans="1:236" s="186" customFormat="1" x14ac:dyDescent="0.25">
      <c r="A104" s="197"/>
      <c r="HG104" s="187"/>
      <c r="HH104" s="187"/>
      <c r="HI104" s="187"/>
      <c r="HJ104" s="187"/>
      <c r="HK104" s="174"/>
      <c r="HL104" s="174"/>
      <c r="HM104" s="174"/>
      <c r="HN104" s="174"/>
      <c r="HO104" s="174"/>
      <c r="HP104" s="174"/>
      <c r="HQ104" s="174"/>
      <c r="HR104" s="174"/>
      <c r="HS104" s="174"/>
      <c r="HT104" s="174"/>
      <c r="HU104" s="174"/>
      <c r="HV104" s="174"/>
      <c r="HW104" s="174"/>
      <c r="HX104" s="174"/>
      <c r="HY104" s="174"/>
      <c r="HZ104" s="174"/>
      <c r="IA104" s="174"/>
      <c r="IB104" s="174"/>
    </row>
    <row r="105" spans="1:236" s="186" customFormat="1" x14ac:dyDescent="0.25">
      <c r="A105" s="197"/>
      <c r="HG105" s="187"/>
      <c r="HH105" s="187"/>
      <c r="HI105" s="187"/>
      <c r="HJ105" s="187"/>
      <c r="HK105" s="174"/>
      <c r="HL105" s="174"/>
      <c r="HM105" s="174"/>
      <c r="HN105" s="174"/>
      <c r="HO105" s="174"/>
      <c r="HP105" s="174"/>
      <c r="HQ105" s="174"/>
      <c r="HR105" s="174"/>
      <c r="HS105" s="174"/>
      <c r="HT105" s="174"/>
      <c r="HU105" s="174"/>
      <c r="HV105" s="174"/>
      <c r="HW105" s="174"/>
      <c r="HX105" s="174"/>
      <c r="HY105" s="174"/>
      <c r="HZ105" s="174"/>
      <c r="IA105" s="174"/>
      <c r="IB105" s="174"/>
    </row>
    <row r="106" spans="1:236" s="186" customFormat="1" x14ac:dyDescent="0.25">
      <c r="A106" s="197"/>
      <c r="HG106" s="187"/>
      <c r="HH106" s="187"/>
      <c r="HI106" s="187"/>
      <c r="HJ106" s="187"/>
      <c r="HK106" s="174"/>
      <c r="HL106" s="174"/>
      <c r="HM106" s="174"/>
      <c r="HN106" s="174"/>
      <c r="HO106" s="174"/>
      <c r="HP106" s="174"/>
      <c r="HQ106" s="174"/>
      <c r="HR106" s="174"/>
      <c r="HS106" s="174"/>
      <c r="HT106" s="174"/>
      <c r="HU106" s="174"/>
      <c r="HV106" s="174"/>
      <c r="HW106" s="174"/>
      <c r="HX106" s="174"/>
      <c r="HY106" s="174"/>
      <c r="HZ106" s="174"/>
      <c r="IA106" s="174"/>
      <c r="IB106" s="174"/>
    </row>
    <row r="107" spans="1:236" s="186" customFormat="1" x14ac:dyDescent="0.25">
      <c r="A107" s="197"/>
      <c r="HG107" s="187"/>
      <c r="HH107" s="187"/>
      <c r="HI107" s="187"/>
      <c r="HJ107" s="187"/>
      <c r="HK107" s="174"/>
      <c r="HL107" s="174"/>
      <c r="HM107" s="174"/>
      <c r="HN107" s="174"/>
      <c r="HO107" s="174"/>
      <c r="HP107" s="174"/>
      <c r="HQ107" s="174"/>
      <c r="HR107" s="174"/>
      <c r="HS107" s="174"/>
      <c r="HT107" s="174"/>
      <c r="HU107" s="174"/>
      <c r="HV107" s="174"/>
      <c r="HW107" s="174"/>
      <c r="HX107" s="174"/>
      <c r="HY107" s="174"/>
      <c r="HZ107" s="174"/>
      <c r="IA107" s="174"/>
      <c r="IB107" s="174"/>
    </row>
    <row r="108" spans="1:236" s="186" customFormat="1" x14ac:dyDescent="0.25">
      <c r="A108" s="197"/>
      <c r="HG108" s="187"/>
      <c r="HH108" s="187"/>
      <c r="HI108" s="187"/>
      <c r="HJ108" s="187"/>
      <c r="HK108" s="174"/>
      <c r="HL108" s="174"/>
      <c r="HM108" s="174"/>
      <c r="HN108" s="174"/>
      <c r="HO108" s="174"/>
      <c r="HP108" s="174"/>
      <c r="HQ108" s="174"/>
      <c r="HR108" s="174"/>
      <c r="HS108" s="174"/>
      <c r="HT108" s="174"/>
      <c r="HU108" s="174"/>
      <c r="HV108" s="174"/>
      <c r="HW108" s="174"/>
      <c r="HX108" s="174"/>
      <c r="HY108" s="174"/>
      <c r="HZ108" s="174"/>
      <c r="IA108" s="174"/>
      <c r="IB108" s="174"/>
    </row>
    <row r="109" spans="1:236" s="186" customFormat="1" x14ac:dyDescent="0.25">
      <c r="A109" s="197"/>
      <c r="HG109" s="187"/>
      <c r="HH109" s="187"/>
      <c r="HI109" s="187"/>
      <c r="HJ109" s="187"/>
      <c r="HK109" s="174"/>
      <c r="HL109" s="174"/>
      <c r="HM109" s="174"/>
      <c r="HN109" s="174"/>
      <c r="HO109" s="174"/>
      <c r="HP109" s="174"/>
      <c r="HQ109" s="174"/>
      <c r="HR109" s="174"/>
      <c r="HS109" s="174"/>
      <c r="HT109" s="174"/>
      <c r="HU109" s="174"/>
      <c r="HV109" s="174"/>
      <c r="HW109" s="174"/>
      <c r="HX109" s="174"/>
      <c r="HY109" s="174"/>
      <c r="HZ109" s="174"/>
      <c r="IA109" s="174"/>
      <c r="IB109" s="174"/>
    </row>
    <row r="110" spans="1:236" s="186" customFormat="1" x14ac:dyDescent="0.25">
      <c r="A110" s="197"/>
      <c r="HG110" s="187"/>
      <c r="HH110" s="187"/>
      <c r="HI110" s="187"/>
      <c r="HJ110" s="187"/>
      <c r="HK110" s="174"/>
      <c r="HL110" s="174"/>
      <c r="HM110" s="174"/>
      <c r="HN110" s="174"/>
      <c r="HO110" s="174"/>
      <c r="HP110" s="174"/>
      <c r="HQ110" s="174"/>
      <c r="HR110" s="174"/>
      <c r="HS110" s="174"/>
      <c r="HT110" s="174"/>
      <c r="HU110" s="174"/>
      <c r="HV110" s="174"/>
      <c r="HW110" s="174"/>
      <c r="HX110" s="174"/>
      <c r="HY110" s="174"/>
      <c r="HZ110" s="174"/>
      <c r="IA110" s="174"/>
      <c r="IB110" s="174"/>
    </row>
    <row r="111" spans="1:236" s="186" customFormat="1" x14ac:dyDescent="0.25">
      <c r="A111" s="197"/>
      <c r="HG111" s="187"/>
      <c r="HH111" s="187"/>
      <c r="HI111" s="187"/>
      <c r="HJ111" s="187"/>
      <c r="HK111" s="174"/>
      <c r="HL111" s="174"/>
      <c r="HM111" s="174"/>
      <c r="HN111" s="174"/>
      <c r="HO111" s="174"/>
      <c r="HP111" s="174"/>
      <c r="HQ111" s="174"/>
      <c r="HR111" s="174"/>
      <c r="HS111" s="174"/>
      <c r="HT111" s="174"/>
      <c r="HU111" s="174"/>
      <c r="HV111" s="174"/>
      <c r="HW111" s="174"/>
      <c r="HX111" s="174"/>
      <c r="HY111" s="174"/>
      <c r="HZ111" s="174"/>
      <c r="IA111" s="174"/>
      <c r="IB111" s="174"/>
    </row>
    <row r="112" spans="1:236" s="186" customFormat="1" x14ac:dyDescent="0.25">
      <c r="A112" s="197"/>
      <c r="HG112" s="187"/>
      <c r="HH112" s="187"/>
      <c r="HI112" s="187"/>
      <c r="HJ112" s="187"/>
      <c r="HK112" s="174"/>
      <c r="HL112" s="174"/>
      <c r="HM112" s="174"/>
      <c r="HN112" s="174"/>
      <c r="HO112" s="174"/>
      <c r="HP112" s="174"/>
      <c r="HQ112" s="174"/>
      <c r="HR112" s="174"/>
      <c r="HS112" s="174"/>
      <c r="HT112" s="174"/>
      <c r="HU112" s="174"/>
      <c r="HV112" s="174"/>
      <c r="HW112" s="174"/>
      <c r="HX112" s="174"/>
      <c r="HY112" s="174"/>
      <c r="HZ112" s="174"/>
      <c r="IA112" s="174"/>
      <c r="IB112" s="174"/>
    </row>
    <row r="113" spans="1:236" s="186" customFormat="1" x14ac:dyDescent="0.25">
      <c r="A113" s="197"/>
      <c r="HG113" s="187"/>
      <c r="HH113" s="187"/>
      <c r="HI113" s="187"/>
      <c r="HJ113" s="187"/>
      <c r="HK113" s="174"/>
      <c r="HL113" s="174"/>
      <c r="HM113" s="174"/>
      <c r="HN113" s="174"/>
      <c r="HO113" s="174"/>
      <c r="HP113" s="174"/>
      <c r="HQ113" s="174"/>
      <c r="HR113" s="174"/>
      <c r="HS113" s="174"/>
      <c r="HT113" s="174"/>
      <c r="HU113" s="174"/>
      <c r="HV113" s="174"/>
      <c r="HW113" s="174"/>
      <c r="HX113" s="174"/>
      <c r="HY113" s="174"/>
      <c r="HZ113" s="174"/>
      <c r="IA113" s="174"/>
      <c r="IB113" s="174"/>
    </row>
    <row r="114" spans="1:236" s="186" customFormat="1" x14ac:dyDescent="0.25">
      <c r="A114" s="197"/>
      <c r="HG114" s="187"/>
      <c r="HH114" s="187"/>
      <c r="HI114" s="187"/>
      <c r="HJ114" s="187"/>
      <c r="HK114" s="174"/>
      <c r="HL114" s="174"/>
      <c r="HM114" s="174"/>
      <c r="HN114" s="174"/>
      <c r="HO114" s="174"/>
      <c r="HP114" s="174"/>
      <c r="HQ114" s="174"/>
      <c r="HR114" s="174"/>
      <c r="HS114" s="174"/>
      <c r="HT114" s="174"/>
      <c r="HU114" s="174"/>
      <c r="HV114" s="174"/>
      <c r="HW114" s="174"/>
      <c r="HX114" s="174"/>
      <c r="HY114" s="174"/>
      <c r="HZ114" s="174"/>
      <c r="IA114" s="174"/>
      <c r="IB114" s="174"/>
    </row>
    <row r="115" spans="1:236" s="186" customFormat="1" x14ac:dyDescent="0.25">
      <c r="A115" s="197"/>
      <c r="HG115" s="187"/>
      <c r="HH115" s="187"/>
      <c r="HI115" s="187"/>
      <c r="HJ115" s="187"/>
      <c r="HK115" s="174"/>
      <c r="HL115" s="174"/>
      <c r="HM115" s="174"/>
      <c r="HN115" s="174"/>
      <c r="HO115" s="174"/>
      <c r="HP115" s="174"/>
      <c r="HQ115" s="174"/>
      <c r="HR115" s="174"/>
      <c r="HS115" s="174"/>
      <c r="HT115" s="174"/>
      <c r="HU115" s="174"/>
      <c r="HV115" s="174"/>
      <c r="HW115" s="174"/>
      <c r="HX115" s="174"/>
      <c r="HY115" s="174"/>
      <c r="HZ115" s="174"/>
      <c r="IA115" s="174"/>
      <c r="IB115" s="174"/>
    </row>
    <row r="116" spans="1:236" s="186" customFormat="1" x14ac:dyDescent="0.25">
      <c r="A116" s="197"/>
      <c r="HG116" s="187"/>
      <c r="HH116" s="187"/>
      <c r="HI116" s="187"/>
      <c r="HJ116" s="187"/>
      <c r="HK116" s="174"/>
      <c r="HL116" s="174"/>
      <c r="HM116" s="174"/>
      <c r="HN116" s="174"/>
      <c r="HO116" s="174"/>
      <c r="HP116" s="174"/>
      <c r="HQ116" s="174"/>
      <c r="HR116" s="174"/>
      <c r="HS116" s="174"/>
      <c r="HT116" s="174"/>
      <c r="HU116" s="174"/>
      <c r="HV116" s="174"/>
      <c r="HW116" s="174"/>
      <c r="HX116" s="174"/>
      <c r="HY116" s="174"/>
      <c r="HZ116" s="174"/>
      <c r="IA116" s="174"/>
      <c r="IB116" s="174"/>
    </row>
    <row r="117" spans="1:236" s="186" customFormat="1" x14ac:dyDescent="0.25">
      <c r="A117" s="197"/>
      <c r="HG117" s="187"/>
      <c r="HH117" s="187"/>
      <c r="HI117" s="187"/>
      <c r="HJ117" s="187"/>
      <c r="HK117" s="174"/>
      <c r="HL117" s="174"/>
      <c r="HM117" s="174"/>
      <c r="HN117" s="174"/>
      <c r="HO117" s="174"/>
      <c r="HP117" s="174"/>
      <c r="HQ117" s="174"/>
      <c r="HR117" s="174"/>
      <c r="HS117" s="174"/>
      <c r="HT117" s="174"/>
      <c r="HU117" s="174"/>
      <c r="HV117" s="174"/>
      <c r="HW117" s="174"/>
      <c r="HX117" s="174"/>
      <c r="HY117" s="174"/>
      <c r="HZ117" s="174"/>
      <c r="IA117" s="174"/>
      <c r="IB117" s="174"/>
    </row>
    <row r="118" spans="1:236" s="186" customFormat="1" x14ac:dyDescent="0.25">
      <c r="A118" s="197"/>
      <c r="HG118" s="187"/>
      <c r="HH118" s="187"/>
      <c r="HI118" s="187"/>
      <c r="HJ118" s="187"/>
      <c r="HK118" s="174"/>
      <c r="HL118" s="174"/>
      <c r="HM118" s="174"/>
      <c r="HN118" s="174"/>
      <c r="HO118" s="174"/>
      <c r="HP118" s="174"/>
      <c r="HQ118" s="174"/>
      <c r="HR118" s="174"/>
      <c r="HS118" s="174"/>
      <c r="HT118" s="174"/>
      <c r="HU118" s="174"/>
      <c r="HV118" s="174"/>
      <c r="HW118" s="174"/>
      <c r="HX118" s="174"/>
      <c r="HY118" s="174"/>
      <c r="HZ118" s="174"/>
      <c r="IA118" s="174"/>
      <c r="IB118" s="174"/>
    </row>
    <row r="119" spans="1:236" s="186" customFormat="1" x14ac:dyDescent="0.25">
      <c r="A119" s="197"/>
      <c r="HG119" s="187"/>
      <c r="HH119" s="187"/>
      <c r="HI119" s="187"/>
      <c r="HJ119" s="187"/>
      <c r="HK119" s="174"/>
      <c r="HL119" s="174"/>
      <c r="HM119" s="174"/>
      <c r="HN119" s="174"/>
      <c r="HO119" s="174"/>
      <c r="HP119" s="174"/>
      <c r="HQ119" s="174"/>
      <c r="HR119" s="174"/>
      <c r="HS119" s="174"/>
      <c r="HT119" s="174"/>
      <c r="HU119" s="174"/>
      <c r="HV119" s="174"/>
      <c r="HW119" s="174"/>
      <c r="HX119" s="174"/>
      <c r="HY119" s="174"/>
      <c r="HZ119" s="174"/>
      <c r="IA119" s="174"/>
      <c r="IB119" s="174"/>
    </row>
    <row r="120" spans="1:236" s="186" customFormat="1" x14ac:dyDescent="0.25">
      <c r="A120" s="197"/>
      <c r="HG120" s="187"/>
      <c r="HH120" s="187"/>
      <c r="HI120" s="187"/>
      <c r="HJ120" s="187"/>
      <c r="HK120" s="174"/>
      <c r="HL120" s="174"/>
      <c r="HM120" s="174"/>
      <c r="HN120" s="174"/>
      <c r="HO120" s="174"/>
      <c r="HP120" s="174"/>
      <c r="HQ120" s="174"/>
      <c r="HR120" s="174"/>
      <c r="HS120" s="174"/>
      <c r="HT120" s="174"/>
      <c r="HU120" s="174"/>
      <c r="HV120" s="174"/>
      <c r="HW120" s="174"/>
      <c r="HX120" s="174"/>
      <c r="HY120" s="174"/>
      <c r="HZ120" s="174"/>
      <c r="IA120" s="174"/>
      <c r="IB120" s="174"/>
    </row>
    <row r="121" spans="1:236" s="186" customFormat="1" x14ac:dyDescent="0.25">
      <c r="A121" s="197"/>
      <c r="HG121" s="187"/>
      <c r="HH121" s="187"/>
      <c r="HI121" s="187"/>
      <c r="HJ121" s="187"/>
      <c r="HK121" s="174"/>
      <c r="HL121" s="174"/>
      <c r="HM121" s="174"/>
      <c r="HN121" s="174"/>
      <c r="HO121" s="174"/>
      <c r="HP121" s="174"/>
      <c r="HQ121" s="174"/>
      <c r="HR121" s="174"/>
      <c r="HS121" s="174"/>
      <c r="HT121" s="174"/>
      <c r="HU121" s="174"/>
      <c r="HV121" s="174"/>
      <c r="HW121" s="174"/>
      <c r="HX121" s="174"/>
      <c r="HY121" s="174"/>
      <c r="HZ121" s="174"/>
      <c r="IA121" s="174"/>
      <c r="IB121" s="174"/>
    </row>
    <row r="122" spans="1:236" s="186" customFormat="1" x14ac:dyDescent="0.25">
      <c r="A122" s="197"/>
      <c r="HG122" s="187"/>
      <c r="HH122" s="187"/>
      <c r="HI122" s="187"/>
      <c r="HJ122" s="187"/>
      <c r="HK122" s="174"/>
      <c r="HL122" s="174"/>
      <c r="HM122" s="174"/>
      <c r="HN122" s="174"/>
      <c r="HO122" s="174"/>
      <c r="HP122" s="174"/>
      <c r="HQ122" s="174"/>
      <c r="HR122" s="174"/>
      <c r="HS122" s="174"/>
      <c r="HT122" s="174"/>
      <c r="HU122" s="174"/>
      <c r="HV122" s="174"/>
      <c r="HW122" s="174"/>
      <c r="HX122" s="174"/>
      <c r="HY122" s="174"/>
      <c r="HZ122" s="174"/>
      <c r="IA122" s="174"/>
      <c r="IB122" s="174"/>
    </row>
    <row r="123" spans="1:236" s="186" customFormat="1" x14ac:dyDescent="0.25">
      <c r="A123" s="197"/>
      <c r="HG123" s="187"/>
      <c r="HH123" s="187"/>
      <c r="HI123" s="187"/>
      <c r="HJ123" s="187"/>
      <c r="HK123" s="174"/>
      <c r="HL123" s="174"/>
      <c r="HM123" s="174"/>
      <c r="HN123" s="174"/>
      <c r="HO123" s="174"/>
      <c r="HP123" s="174"/>
      <c r="HQ123" s="174"/>
      <c r="HR123" s="174"/>
      <c r="HS123" s="174"/>
      <c r="HT123" s="174"/>
      <c r="HU123" s="174"/>
      <c r="HV123" s="174"/>
      <c r="HW123" s="174"/>
      <c r="HX123" s="174"/>
      <c r="HY123" s="174"/>
      <c r="HZ123" s="174"/>
      <c r="IA123" s="174"/>
      <c r="IB123" s="174"/>
    </row>
    <row r="124" spans="1:236" s="186" customFormat="1" x14ac:dyDescent="0.25">
      <c r="A124" s="197"/>
      <c r="HG124" s="187"/>
      <c r="HH124" s="187"/>
      <c r="HI124" s="187"/>
      <c r="HJ124" s="187"/>
      <c r="HK124" s="174"/>
      <c r="HL124" s="174"/>
      <c r="HM124" s="174"/>
      <c r="HN124" s="174"/>
      <c r="HO124" s="174"/>
      <c r="HP124" s="174"/>
      <c r="HQ124" s="174"/>
      <c r="HR124" s="174"/>
      <c r="HS124" s="174"/>
      <c r="HT124" s="174"/>
      <c r="HU124" s="174"/>
      <c r="HV124" s="174"/>
      <c r="HW124" s="174"/>
      <c r="HX124" s="174"/>
      <c r="HY124" s="174"/>
      <c r="HZ124" s="174"/>
      <c r="IA124" s="174"/>
      <c r="IB124" s="174"/>
    </row>
    <row r="125" spans="1:236" s="186" customFormat="1" x14ac:dyDescent="0.25">
      <c r="A125" s="197"/>
      <c r="HG125" s="187"/>
      <c r="HH125" s="187"/>
      <c r="HI125" s="187"/>
      <c r="HJ125" s="187"/>
      <c r="HK125" s="174"/>
      <c r="HL125" s="174"/>
      <c r="HM125" s="174"/>
      <c r="HN125" s="174"/>
      <c r="HO125" s="174"/>
      <c r="HP125" s="174"/>
      <c r="HQ125" s="174"/>
      <c r="HR125" s="174"/>
      <c r="HS125" s="174"/>
      <c r="HT125" s="174"/>
      <c r="HU125" s="174"/>
      <c r="HV125" s="174"/>
      <c r="HW125" s="174"/>
      <c r="HX125" s="174"/>
      <c r="HY125" s="174"/>
      <c r="HZ125" s="174"/>
      <c r="IA125" s="174"/>
      <c r="IB125" s="174"/>
    </row>
    <row r="126" spans="1:236" s="186" customFormat="1" x14ac:dyDescent="0.25">
      <c r="A126" s="197"/>
      <c r="HG126" s="187"/>
      <c r="HH126" s="187"/>
      <c r="HI126" s="187"/>
      <c r="HJ126" s="187"/>
      <c r="HK126" s="174"/>
      <c r="HL126" s="174"/>
      <c r="HM126" s="174"/>
      <c r="HN126" s="174"/>
      <c r="HO126" s="174"/>
      <c r="HP126" s="174"/>
      <c r="HQ126" s="174"/>
      <c r="HR126" s="174"/>
      <c r="HS126" s="174"/>
      <c r="HT126" s="174"/>
      <c r="HU126" s="174"/>
      <c r="HV126" s="174"/>
      <c r="HW126" s="174"/>
      <c r="HX126" s="174"/>
      <c r="HY126" s="174"/>
      <c r="HZ126" s="174"/>
      <c r="IA126" s="174"/>
      <c r="IB126" s="174"/>
    </row>
    <row r="127" spans="1:236" s="186" customFormat="1" x14ac:dyDescent="0.25">
      <c r="A127" s="197"/>
      <c r="HG127" s="187"/>
      <c r="HH127" s="187"/>
      <c r="HI127" s="187"/>
      <c r="HJ127" s="187"/>
      <c r="HK127" s="174"/>
      <c r="HL127" s="174"/>
      <c r="HM127" s="174"/>
      <c r="HN127" s="174"/>
      <c r="HO127" s="174"/>
      <c r="HP127" s="174"/>
      <c r="HQ127" s="174"/>
      <c r="HR127" s="174"/>
      <c r="HS127" s="174"/>
      <c r="HT127" s="174"/>
      <c r="HU127" s="174"/>
      <c r="HV127" s="174"/>
      <c r="HW127" s="174"/>
      <c r="HX127" s="174"/>
      <c r="HY127" s="174"/>
      <c r="HZ127" s="174"/>
      <c r="IA127" s="174"/>
      <c r="IB127" s="174"/>
    </row>
    <row r="128" spans="1:236" s="186" customFormat="1" x14ac:dyDescent="0.25">
      <c r="A128" s="197"/>
      <c r="HG128" s="187"/>
      <c r="HH128" s="187"/>
      <c r="HI128" s="187"/>
      <c r="HJ128" s="187"/>
      <c r="HK128" s="174"/>
      <c r="HL128" s="174"/>
      <c r="HM128" s="174"/>
      <c r="HN128" s="174"/>
      <c r="HO128" s="174"/>
      <c r="HP128" s="174"/>
      <c r="HQ128" s="174"/>
      <c r="HR128" s="174"/>
      <c r="HS128" s="174"/>
      <c r="HT128" s="174"/>
      <c r="HU128" s="174"/>
      <c r="HV128" s="174"/>
      <c r="HW128" s="174"/>
      <c r="HX128" s="174"/>
      <c r="HY128" s="174"/>
      <c r="HZ128" s="174"/>
      <c r="IA128" s="174"/>
      <c r="IB128" s="174"/>
    </row>
    <row r="129" spans="1:236" s="186" customFormat="1" x14ac:dyDescent="0.25">
      <c r="A129" s="197"/>
      <c r="HG129" s="187"/>
      <c r="HH129" s="187"/>
      <c r="HI129" s="187"/>
      <c r="HJ129" s="187"/>
      <c r="HK129" s="174"/>
      <c r="HL129" s="174"/>
      <c r="HM129" s="174"/>
      <c r="HN129" s="174"/>
      <c r="HO129" s="174"/>
      <c r="HP129" s="174"/>
      <c r="HQ129" s="174"/>
      <c r="HR129" s="174"/>
      <c r="HS129" s="174"/>
      <c r="HT129" s="174"/>
      <c r="HU129" s="174"/>
      <c r="HV129" s="174"/>
      <c r="HW129" s="174"/>
      <c r="HX129" s="174"/>
      <c r="HY129" s="174"/>
      <c r="HZ129" s="174"/>
      <c r="IA129" s="174"/>
      <c r="IB129" s="174"/>
    </row>
    <row r="130" spans="1:236" s="186" customFormat="1" x14ac:dyDescent="0.25">
      <c r="A130" s="197"/>
      <c r="HG130" s="187"/>
      <c r="HH130" s="187"/>
      <c r="HI130" s="187"/>
      <c r="HJ130" s="187"/>
      <c r="HK130" s="174"/>
      <c r="HL130" s="174"/>
      <c r="HM130" s="174"/>
      <c r="HN130" s="174"/>
      <c r="HO130" s="174"/>
      <c r="HP130" s="174"/>
      <c r="HQ130" s="174"/>
      <c r="HR130" s="174"/>
      <c r="HS130" s="174"/>
      <c r="HT130" s="174"/>
      <c r="HU130" s="174"/>
      <c r="HV130" s="174"/>
      <c r="HW130" s="174"/>
      <c r="HX130" s="174"/>
      <c r="HY130" s="174"/>
      <c r="HZ130" s="174"/>
      <c r="IA130" s="174"/>
      <c r="IB130" s="174"/>
    </row>
    <row r="131" spans="1:236" s="186" customFormat="1" x14ac:dyDescent="0.25">
      <c r="A131" s="197"/>
      <c r="HG131" s="187"/>
      <c r="HH131" s="187"/>
      <c r="HI131" s="187"/>
      <c r="HJ131" s="187"/>
      <c r="HK131" s="174"/>
      <c r="HL131" s="174"/>
      <c r="HM131" s="174"/>
      <c r="HN131" s="174"/>
      <c r="HO131" s="174"/>
      <c r="HP131" s="174"/>
      <c r="HQ131" s="174"/>
      <c r="HR131" s="174"/>
      <c r="HS131" s="174"/>
      <c r="HT131" s="174"/>
      <c r="HU131" s="174"/>
      <c r="HV131" s="174"/>
      <c r="HW131" s="174"/>
      <c r="HX131" s="174"/>
      <c r="HY131" s="174"/>
      <c r="HZ131" s="174"/>
      <c r="IA131" s="174"/>
      <c r="IB131" s="174"/>
    </row>
    <row r="132" spans="1:236" s="186" customFormat="1" x14ac:dyDescent="0.25">
      <c r="A132" s="197"/>
      <c r="HG132" s="187"/>
      <c r="HH132" s="187"/>
      <c r="HI132" s="187"/>
      <c r="HJ132" s="187"/>
      <c r="HK132" s="174"/>
      <c r="HL132" s="174"/>
      <c r="HM132" s="174"/>
      <c r="HN132" s="174"/>
      <c r="HO132" s="174"/>
      <c r="HP132" s="174"/>
      <c r="HQ132" s="174"/>
      <c r="HR132" s="174"/>
      <c r="HS132" s="174"/>
      <c r="HT132" s="174"/>
      <c r="HU132" s="174"/>
      <c r="HV132" s="174"/>
      <c r="HW132" s="174"/>
      <c r="HX132" s="174"/>
      <c r="HY132" s="174"/>
      <c r="HZ132" s="174"/>
      <c r="IA132" s="174"/>
      <c r="IB132" s="174"/>
    </row>
    <row r="133" spans="1:236" s="186" customFormat="1" x14ac:dyDescent="0.25">
      <c r="A133" s="197"/>
      <c r="HG133" s="187"/>
      <c r="HH133" s="187"/>
      <c r="HI133" s="187"/>
      <c r="HJ133" s="187"/>
      <c r="HK133" s="174"/>
      <c r="HL133" s="174"/>
      <c r="HM133" s="174"/>
      <c r="HN133" s="174"/>
      <c r="HO133" s="174"/>
      <c r="HP133" s="174"/>
      <c r="HQ133" s="174"/>
      <c r="HR133" s="174"/>
      <c r="HS133" s="174"/>
      <c r="HT133" s="174"/>
      <c r="HU133" s="174"/>
      <c r="HV133" s="174"/>
      <c r="HW133" s="174"/>
      <c r="HX133" s="174"/>
      <c r="HY133" s="174"/>
      <c r="HZ133" s="174"/>
      <c r="IA133" s="174"/>
      <c r="IB133" s="174"/>
    </row>
    <row r="134" spans="1:236" s="186" customFormat="1" x14ac:dyDescent="0.25">
      <c r="A134" s="197"/>
      <c r="HG134" s="187"/>
      <c r="HH134" s="187"/>
      <c r="HI134" s="187"/>
      <c r="HJ134" s="187"/>
      <c r="HK134" s="174"/>
      <c r="HL134" s="174"/>
      <c r="HM134" s="174"/>
      <c r="HN134" s="174"/>
      <c r="HO134" s="174"/>
      <c r="HP134" s="174"/>
      <c r="HQ134" s="174"/>
      <c r="HR134" s="174"/>
      <c r="HS134" s="174"/>
      <c r="HT134" s="174"/>
      <c r="HU134" s="174"/>
      <c r="HV134" s="174"/>
      <c r="HW134" s="174"/>
      <c r="HX134" s="174"/>
      <c r="HY134" s="174"/>
      <c r="HZ134" s="174"/>
      <c r="IA134" s="174"/>
      <c r="IB134" s="174"/>
    </row>
    <row r="135" spans="1:236" s="186" customFormat="1" x14ac:dyDescent="0.25">
      <c r="A135" s="197"/>
      <c r="HG135" s="187"/>
      <c r="HH135" s="187"/>
      <c r="HI135" s="187"/>
      <c r="HJ135" s="187"/>
      <c r="HK135" s="174"/>
      <c r="HL135" s="174"/>
      <c r="HM135" s="174"/>
      <c r="HN135" s="174"/>
      <c r="HO135" s="174"/>
      <c r="HP135" s="174"/>
      <c r="HQ135" s="174"/>
      <c r="HR135" s="174"/>
      <c r="HS135" s="174"/>
      <c r="HT135" s="174"/>
      <c r="HU135" s="174"/>
      <c r="HV135" s="174"/>
      <c r="HW135" s="174"/>
      <c r="HX135" s="174"/>
      <c r="HY135" s="174"/>
      <c r="HZ135" s="174"/>
      <c r="IA135" s="174"/>
      <c r="IB135" s="174"/>
    </row>
    <row r="136" spans="1:236" s="186" customFormat="1" x14ac:dyDescent="0.25">
      <c r="A136" s="197"/>
      <c r="HG136" s="187"/>
      <c r="HH136" s="187"/>
      <c r="HI136" s="187"/>
      <c r="HJ136" s="187"/>
      <c r="HK136" s="174"/>
      <c r="HL136" s="174"/>
      <c r="HM136" s="174"/>
      <c r="HN136" s="174"/>
      <c r="HO136" s="174"/>
      <c r="HP136" s="174"/>
      <c r="HQ136" s="174"/>
      <c r="HR136" s="174"/>
      <c r="HS136" s="174"/>
      <c r="HT136" s="174"/>
      <c r="HU136" s="174"/>
      <c r="HV136" s="174"/>
      <c r="HW136" s="174"/>
      <c r="HX136" s="174"/>
      <c r="HY136" s="174"/>
      <c r="HZ136" s="174"/>
      <c r="IA136" s="174"/>
      <c r="IB136" s="174"/>
    </row>
    <row r="137" spans="1:236" s="186" customFormat="1" x14ac:dyDescent="0.25">
      <c r="A137" s="197"/>
      <c r="HG137" s="187"/>
      <c r="HH137" s="187"/>
      <c r="HI137" s="187"/>
      <c r="HJ137" s="187"/>
      <c r="HK137" s="174"/>
      <c r="HL137" s="174"/>
      <c r="HM137" s="174"/>
      <c r="HN137" s="174"/>
      <c r="HO137" s="174"/>
      <c r="HP137" s="174"/>
      <c r="HQ137" s="174"/>
      <c r="HR137" s="174"/>
      <c r="HS137" s="174"/>
      <c r="HT137" s="174"/>
      <c r="HU137" s="174"/>
      <c r="HV137" s="174"/>
      <c r="HW137" s="174"/>
      <c r="HX137" s="174"/>
      <c r="HY137" s="174"/>
      <c r="HZ137" s="174"/>
      <c r="IA137" s="174"/>
      <c r="IB137" s="174"/>
    </row>
    <row r="138" spans="1:236" s="186" customFormat="1" x14ac:dyDescent="0.25">
      <c r="A138" s="197"/>
      <c r="HG138" s="187"/>
      <c r="HH138" s="187"/>
      <c r="HI138" s="187"/>
      <c r="HJ138" s="187"/>
      <c r="HK138" s="174"/>
      <c r="HL138" s="174"/>
      <c r="HM138" s="174"/>
      <c r="HN138" s="174"/>
      <c r="HO138" s="174"/>
      <c r="HP138" s="174"/>
      <c r="HQ138" s="174"/>
      <c r="HR138" s="174"/>
      <c r="HS138" s="174"/>
      <c r="HT138" s="174"/>
      <c r="HU138" s="174"/>
      <c r="HV138" s="174"/>
      <c r="HW138" s="174"/>
      <c r="HX138" s="174"/>
      <c r="HY138" s="174"/>
      <c r="HZ138" s="174"/>
      <c r="IA138" s="174"/>
      <c r="IB138" s="174"/>
    </row>
    <row r="139" spans="1:236" s="186" customFormat="1" x14ac:dyDescent="0.25">
      <c r="A139" s="197"/>
      <c r="HG139" s="187"/>
      <c r="HH139" s="187"/>
      <c r="HI139" s="187"/>
      <c r="HJ139" s="187"/>
      <c r="HK139" s="174"/>
      <c r="HL139" s="174"/>
      <c r="HM139" s="174"/>
      <c r="HN139" s="174"/>
      <c r="HO139" s="174"/>
      <c r="HP139" s="174"/>
      <c r="HQ139" s="174"/>
      <c r="HR139" s="174"/>
      <c r="HS139" s="174"/>
      <c r="HT139" s="174"/>
      <c r="HU139" s="174"/>
      <c r="HV139" s="174"/>
      <c r="HW139" s="174"/>
      <c r="HX139" s="174"/>
      <c r="HY139" s="174"/>
      <c r="HZ139" s="174"/>
      <c r="IA139" s="174"/>
      <c r="IB139" s="174"/>
    </row>
    <row r="140" spans="1:236" s="186" customFormat="1" x14ac:dyDescent="0.25">
      <c r="A140" s="197"/>
      <c r="HG140" s="187"/>
      <c r="HH140" s="187"/>
      <c r="HI140" s="187"/>
      <c r="HJ140" s="187"/>
      <c r="HK140" s="174"/>
      <c r="HL140" s="174"/>
      <c r="HM140" s="174"/>
      <c r="HN140" s="174"/>
      <c r="HO140" s="174"/>
      <c r="HP140" s="174"/>
      <c r="HQ140" s="174"/>
      <c r="HR140" s="174"/>
      <c r="HS140" s="174"/>
      <c r="HT140" s="174"/>
      <c r="HU140" s="174"/>
      <c r="HV140" s="174"/>
      <c r="HW140" s="174"/>
      <c r="HX140" s="174"/>
      <c r="HY140" s="174"/>
      <c r="HZ140" s="174"/>
      <c r="IA140" s="174"/>
      <c r="IB140" s="174"/>
    </row>
    <row r="141" spans="1:236" s="186" customFormat="1" x14ac:dyDescent="0.25">
      <c r="A141" s="197"/>
      <c r="HG141" s="187"/>
      <c r="HH141" s="187"/>
      <c r="HI141" s="187"/>
      <c r="HJ141" s="187"/>
      <c r="HK141" s="174"/>
      <c r="HL141" s="174"/>
      <c r="HM141" s="174"/>
      <c r="HN141" s="174"/>
      <c r="HO141" s="174"/>
      <c r="HP141" s="174"/>
      <c r="HQ141" s="174"/>
      <c r="HR141" s="174"/>
      <c r="HS141" s="174"/>
      <c r="HT141" s="174"/>
      <c r="HU141" s="174"/>
      <c r="HV141" s="174"/>
      <c r="HW141" s="174"/>
      <c r="HX141" s="174"/>
      <c r="HY141" s="174"/>
      <c r="HZ141" s="174"/>
      <c r="IA141" s="174"/>
      <c r="IB141" s="174"/>
    </row>
    <row r="142" spans="1:236" s="186" customFormat="1" x14ac:dyDescent="0.25">
      <c r="A142" s="197"/>
      <c r="HG142" s="187"/>
      <c r="HH142" s="187"/>
      <c r="HI142" s="187"/>
      <c r="HJ142" s="187"/>
      <c r="HK142" s="174"/>
      <c r="HL142" s="174"/>
      <c r="HM142" s="174"/>
      <c r="HN142" s="174"/>
      <c r="HO142" s="174"/>
      <c r="HP142" s="174"/>
      <c r="HQ142" s="174"/>
      <c r="HR142" s="174"/>
      <c r="HS142" s="174"/>
      <c r="HT142" s="174"/>
      <c r="HU142" s="174"/>
      <c r="HV142" s="174"/>
      <c r="HW142" s="174"/>
      <c r="HX142" s="174"/>
      <c r="HY142" s="174"/>
      <c r="HZ142" s="174"/>
      <c r="IA142" s="174"/>
      <c r="IB142" s="174"/>
    </row>
    <row r="143" spans="1:236" s="186" customFormat="1" x14ac:dyDescent="0.25">
      <c r="A143" s="197"/>
      <c r="HG143" s="187"/>
      <c r="HH143" s="187"/>
      <c r="HI143" s="187"/>
      <c r="HJ143" s="187"/>
      <c r="HK143" s="174"/>
      <c r="HL143" s="174"/>
      <c r="HM143" s="174"/>
      <c r="HN143" s="174"/>
      <c r="HO143" s="174"/>
      <c r="HP143" s="174"/>
      <c r="HQ143" s="174"/>
      <c r="HR143" s="174"/>
      <c r="HS143" s="174"/>
      <c r="HT143" s="174"/>
      <c r="HU143" s="174"/>
      <c r="HV143" s="174"/>
      <c r="HW143" s="174"/>
      <c r="HX143" s="174"/>
      <c r="HY143" s="174"/>
      <c r="HZ143" s="174"/>
      <c r="IA143" s="174"/>
      <c r="IB143" s="174"/>
    </row>
    <row r="144" spans="1:236" s="186" customFormat="1" x14ac:dyDescent="0.25">
      <c r="A144" s="197"/>
      <c r="HG144" s="187"/>
      <c r="HH144" s="187"/>
      <c r="HI144" s="187"/>
      <c r="HJ144" s="187"/>
      <c r="HK144" s="174"/>
      <c r="HL144" s="174"/>
      <c r="HM144" s="174"/>
      <c r="HN144" s="174"/>
      <c r="HO144" s="174"/>
      <c r="HP144" s="174"/>
      <c r="HQ144" s="174"/>
      <c r="HR144" s="174"/>
      <c r="HS144" s="174"/>
      <c r="HT144" s="174"/>
      <c r="HU144" s="174"/>
      <c r="HV144" s="174"/>
      <c r="HW144" s="174"/>
      <c r="HX144" s="174"/>
      <c r="HY144" s="174"/>
      <c r="HZ144" s="174"/>
      <c r="IA144" s="174"/>
      <c r="IB144" s="174"/>
    </row>
    <row r="145" spans="1:236" s="186" customFormat="1" x14ac:dyDescent="0.25">
      <c r="A145" s="197"/>
      <c r="HG145" s="187"/>
      <c r="HH145" s="187"/>
      <c r="HI145" s="187"/>
      <c r="HJ145" s="187"/>
      <c r="HK145" s="174"/>
      <c r="HL145" s="174"/>
      <c r="HM145" s="174"/>
      <c r="HN145" s="174"/>
      <c r="HO145" s="174"/>
      <c r="HP145" s="174"/>
      <c r="HQ145" s="174"/>
      <c r="HR145" s="174"/>
      <c r="HS145" s="174"/>
      <c r="HT145" s="174"/>
      <c r="HU145" s="174"/>
      <c r="HV145" s="174"/>
      <c r="HW145" s="174"/>
      <c r="HX145" s="174"/>
      <c r="HY145" s="174"/>
      <c r="HZ145" s="174"/>
      <c r="IA145" s="174"/>
      <c r="IB145" s="174"/>
    </row>
    <row r="146" spans="1:236" s="186" customFormat="1" x14ac:dyDescent="0.25">
      <c r="A146" s="197"/>
      <c r="HG146" s="187"/>
      <c r="HH146" s="187"/>
      <c r="HI146" s="187"/>
      <c r="HJ146" s="187"/>
      <c r="HK146" s="174"/>
      <c r="HL146" s="174"/>
      <c r="HM146" s="174"/>
      <c r="HN146" s="174"/>
      <c r="HO146" s="174"/>
      <c r="HP146" s="174"/>
      <c r="HQ146" s="174"/>
      <c r="HR146" s="174"/>
      <c r="HS146" s="174"/>
      <c r="HT146" s="174"/>
      <c r="HU146" s="174"/>
      <c r="HV146" s="174"/>
      <c r="HW146" s="174"/>
      <c r="HX146" s="174"/>
      <c r="HY146" s="174"/>
      <c r="HZ146" s="174"/>
      <c r="IA146" s="174"/>
      <c r="IB146" s="174"/>
    </row>
    <row r="147" spans="1:236" s="186" customFormat="1" x14ac:dyDescent="0.25">
      <c r="A147" s="197"/>
      <c r="HG147" s="187"/>
      <c r="HH147" s="187"/>
      <c r="HI147" s="187"/>
      <c r="HJ147" s="187"/>
      <c r="HK147" s="174"/>
      <c r="HL147" s="174"/>
      <c r="HM147" s="174"/>
      <c r="HN147" s="174"/>
      <c r="HO147" s="174"/>
      <c r="HP147" s="174"/>
      <c r="HQ147" s="174"/>
      <c r="HR147" s="174"/>
      <c r="HS147" s="174"/>
      <c r="HT147" s="174"/>
      <c r="HU147" s="174"/>
      <c r="HV147" s="174"/>
      <c r="HW147" s="174"/>
      <c r="HX147" s="174"/>
      <c r="HY147" s="174"/>
      <c r="HZ147" s="174"/>
      <c r="IA147" s="174"/>
      <c r="IB147" s="174"/>
    </row>
    <row r="148" spans="1:236" s="186" customFormat="1" x14ac:dyDescent="0.25">
      <c r="A148" s="197"/>
      <c r="HG148" s="187"/>
      <c r="HH148" s="187"/>
      <c r="HI148" s="187"/>
      <c r="HJ148" s="187"/>
      <c r="HK148" s="174"/>
      <c r="HL148" s="174"/>
      <c r="HM148" s="174"/>
      <c r="HN148" s="174"/>
      <c r="HO148" s="174"/>
      <c r="HP148" s="174"/>
      <c r="HQ148" s="174"/>
      <c r="HR148" s="174"/>
      <c r="HS148" s="174"/>
      <c r="HT148" s="174"/>
      <c r="HU148" s="174"/>
      <c r="HV148" s="174"/>
      <c r="HW148" s="174"/>
      <c r="HX148" s="174"/>
      <c r="HY148" s="174"/>
      <c r="HZ148" s="174"/>
      <c r="IA148" s="174"/>
      <c r="IB148" s="174"/>
    </row>
    <row r="149" spans="1:236" s="186" customFormat="1" x14ac:dyDescent="0.25">
      <c r="A149" s="197"/>
      <c r="HG149" s="187"/>
      <c r="HH149" s="187"/>
      <c r="HI149" s="187"/>
      <c r="HJ149" s="187"/>
      <c r="HK149" s="174"/>
      <c r="HL149" s="174"/>
      <c r="HM149" s="174"/>
      <c r="HN149" s="174"/>
      <c r="HO149" s="174"/>
      <c r="HP149" s="174"/>
      <c r="HQ149" s="174"/>
      <c r="HR149" s="174"/>
      <c r="HS149" s="174"/>
      <c r="HT149" s="174"/>
      <c r="HU149" s="174"/>
      <c r="HV149" s="174"/>
      <c r="HW149" s="174"/>
      <c r="HX149" s="174"/>
      <c r="HY149" s="174"/>
      <c r="HZ149" s="174"/>
      <c r="IA149" s="174"/>
      <c r="IB149" s="174"/>
    </row>
    <row r="150" spans="1:236" s="186" customFormat="1" x14ac:dyDescent="0.25">
      <c r="A150" s="197"/>
      <c r="HG150" s="187"/>
      <c r="HH150" s="187"/>
      <c r="HI150" s="187"/>
      <c r="HJ150" s="187"/>
      <c r="HK150" s="174"/>
      <c r="HL150" s="174"/>
      <c r="HM150" s="174"/>
      <c r="HN150" s="174"/>
      <c r="HO150" s="174"/>
      <c r="HP150" s="174"/>
      <c r="HQ150" s="174"/>
      <c r="HR150" s="174"/>
      <c r="HS150" s="174"/>
      <c r="HT150" s="174"/>
      <c r="HU150" s="174"/>
      <c r="HV150" s="174"/>
      <c r="HW150" s="174"/>
      <c r="HX150" s="174"/>
      <c r="HY150" s="174"/>
      <c r="HZ150" s="174"/>
      <c r="IA150" s="174"/>
      <c r="IB150" s="174"/>
    </row>
    <row r="151" spans="1:236" s="186" customFormat="1" x14ac:dyDescent="0.25">
      <c r="A151" s="197"/>
      <c r="HG151" s="187"/>
      <c r="HH151" s="187"/>
      <c r="HI151" s="187"/>
      <c r="HJ151" s="187"/>
      <c r="HK151" s="174"/>
      <c r="HL151" s="174"/>
      <c r="HM151" s="174"/>
      <c r="HN151" s="174"/>
      <c r="HO151" s="174"/>
      <c r="HP151" s="174"/>
      <c r="HQ151" s="174"/>
      <c r="HR151" s="174"/>
      <c r="HS151" s="174"/>
      <c r="HT151" s="174"/>
      <c r="HU151" s="174"/>
      <c r="HV151" s="174"/>
      <c r="HW151" s="174"/>
      <c r="HX151" s="174"/>
      <c r="HY151" s="174"/>
      <c r="HZ151" s="174"/>
      <c r="IA151" s="174"/>
      <c r="IB151" s="174"/>
    </row>
    <row r="152" spans="1:236" s="186" customFormat="1" x14ac:dyDescent="0.25">
      <c r="A152" s="197"/>
      <c r="HG152" s="187"/>
      <c r="HH152" s="187"/>
      <c r="HI152" s="187"/>
      <c r="HJ152" s="187"/>
      <c r="HK152" s="174"/>
      <c r="HL152" s="174"/>
      <c r="HM152" s="174"/>
      <c r="HN152" s="174"/>
      <c r="HO152" s="174"/>
      <c r="HP152" s="174"/>
      <c r="HQ152" s="174"/>
      <c r="HR152" s="174"/>
      <c r="HS152" s="174"/>
      <c r="HT152" s="174"/>
      <c r="HU152" s="174"/>
      <c r="HV152" s="174"/>
      <c r="HW152" s="174"/>
      <c r="HX152" s="174"/>
      <c r="HY152" s="174"/>
      <c r="HZ152" s="174"/>
      <c r="IA152" s="174"/>
      <c r="IB152" s="174"/>
    </row>
    <row r="153" spans="1:236" s="186" customFormat="1" x14ac:dyDescent="0.25">
      <c r="A153" s="197"/>
      <c r="HG153" s="187"/>
      <c r="HH153" s="187"/>
      <c r="HI153" s="187"/>
      <c r="HJ153" s="187"/>
      <c r="HK153" s="174"/>
      <c r="HL153" s="174"/>
      <c r="HM153" s="174"/>
      <c r="HN153" s="174"/>
      <c r="HO153" s="174"/>
      <c r="HP153" s="174"/>
      <c r="HQ153" s="174"/>
      <c r="HR153" s="174"/>
      <c r="HS153" s="174"/>
      <c r="HT153" s="174"/>
      <c r="HU153" s="174"/>
      <c r="HV153" s="174"/>
      <c r="HW153" s="174"/>
      <c r="HX153" s="174"/>
      <c r="HY153" s="174"/>
      <c r="HZ153" s="174"/>
      <c r="IA153" s="174"/>
      <c r="IB153" s="174"/>
    </row>
    <row r="154" spans="1:236" s="186" customFormat="1" x14ac:dyDescent="0.25">
      <c r="A154" s="197"/>
      <c r="HG154" s="187"/>
      <c r="HH154" s="187"/>
      <c r="HI154" s="187"/>
      <c r="HJ154" s="187"/>
      <c r="HK154" s="174"/>
      <c r="HL154" s="174"/>
      <c r="HM154" s="174"/>
      <c r="HN154" s="174"/>
      <c r="HO154" s="174"/>
      <c r="HP154" s="174"/>
      <c r="HQ154" s="174"/>
      <c r="HR154" s="174"/>
      <c r="HS154" s="174"/>
      <c r="HT154" s="174"/>
      <c r="HU154" s="174"/>
      <c r="HV154" s="174"/>
      <c r="HW154" s="174"/>
      <c r="HX154" s="174"/>
      <c r="HY154" s="174"/>
      <c r="HZ154" s="174"/>
      <c r="IA154" s="174"/>
      <c r="IB154" s="174"/>
    </row>
    <row r="155" spans="1:236" s="186" customFormat="1" x14ac:dyDescent="0.25">
      <c r="A155" s="197"/>
      <c r="HG155" s="187"/>
      <c r="HH155" s="187"/>
      <c r="HI155" s="187"/>
      <c r="HJ155" s="187"/>
      <c r="HK155" s="174"/>
      <c r="HL155" s="174"/>
      <c r="HM155" s="174"/>
      <c r="HN155" s="174"/>
      <c r="HO155" s="174"/>
      <c r="HP155" s="174"/>
      <c r="HQ155" s="174"/>
      <c r="HR155" s="174"/>
      <c r="HS155" s="174"/>
      <c r="HT155" s="174"/>
      <c r="HU155" s="174"/>
      <c r="HV155" s="174"/>
      <c r="HW155" s="174"/>
      <c r="HX155" s="174"/>
      <c r="HY155" s="174"/>
      <c r="HZ155" s="174"/>
      <c r="IA155" s="174"/>
      <c r="IB155" s="174"/>
    </row>
    <row r="156" spans="1:236" s="186" customFormat="1" x14ac:dyDescent="0.25">
      <c r="A156" s="197"/>
      <c r="HG156" s="187"/>
      <c r="HH156" s="187"/>
      <c r="HI156" s="187"/>
      <c r="HJ156" s="187"/>
      <c r="HK156" s="174"/>
      <c r="HL156" s="174"/>
      <c r="HM156" s="174"/>
      <c r="HN156" s="174"/>
      <c r="HO156" s="174"/>
      <c r="HP156" s="174"/>
      <c r="HQ156" s="174"/>
      <c r="HR156" s="174"/>
      <c r="HS156" s="174"/>
      <c r="HT156" s="174"/>
      <c r="HU156" s="174"/>
      <c r="HV156" s="174"/>
      <c r="HW156" s="174"/>
      <c r="HX156" s="174"/>
      <c r="HY156" s="174"/>
      <c r="HZ156" s="174"/>
      <c r="IA156" s="174"/>
      <c r="IB156" s="174"/>
    </row>
    <row r="157" spans="1:236" s="186" customFormat="1" x14ac:dyDescent="0.25">
      <c r="A157" s="197"/>
      <c r="HG157" s="187"/>
      <c r="HH157" s="187"/>
      <c r="HI157" s="187"/>
      <c r="HJ157" s="187"/>
      <c r="HK157" s="174"/>
      <c r="HL157" s="174"/>
      <c r="HM157" s="174"/>
      <c r="HN157" s="174"/>
      <c r="HO157" s="174"/>
      <c r="HP157" s="174"/>
      <c r="HQ157" s="174"/>
      <c r="HR157" s="174"/>
      <c r="HS157" s="174"/>
      <c r="HT157" s="174"/>
      <c r="HU157" s="174"/>
      <c r="HV157" s="174"/>
      <c r="HW157" s="174"/>
      <c r="HX157" s="174"/>
      <c r="HY157" s="174"/>
      <c r="HZ157" s="174"/>
      <c r="IA157" s="174"/>
      <c r="IB157" s="174"/>
    </row>
    <row r="158" spans="1:236" s="186" customFormat="1" x14ac:dyDescent="0.25">
      <c r="A158" s="197"/>
      <c r="HG158" s="187"/>
      <c r="HH158" s="187"/>
      <c r="HI158" s="187"/>
      <c r="HJ158" s="187"/>
      <c r="HK158" s="174"/>
      <c r="HL158" s="174"/>
      <c r="HM158" s="174"/>
      <c r="HN158" s="174"/>
      <c r="HO158" s="174"/>
      <c r="HP158" s="174"/>
      <c r="HQ158" s="174"/>
      <c r="HR158" s="174"/>
      <c r="HS158" s="174"/>
      <c r="HT158" s="174"/>
      <c r="HU158" s="174"/>
      <c r="HV158" s="174"/>
      <c r="HW158" s="174"/>
      <c r="HX158" s="174"/>
      <c r="HY158" s="174"/>
      <c r="HZ158" s="174"/>
      <c r="IA158" s="174"/>
      <c r="IB158" s="174"/>
    </row>
    <row r="159" spans="1:236" s="186" customFormat="1" x14ac:dyDescent="0.25">
      <c r="A159" s="197"/>
      <c r="HG159" s="187"/>
      <c r="HH159" s="187"/>
      <c r="HI159" s="187"/>
      <c r="HJ159" s="187"/>
      <c r="HK159" s="174"/>
      <c r="HL159" s="174"/>
      <c r="HM159" s="174"/>
      <c r="HN159" s="174"/>
      <c r="HO159" s="174"/>
      <c r="HP159" s="174"/>
      <c r="HQ159" s="174"/>
      <c r="HR159" s="174"/>
      <c r="HS159" s="174"/>
      <c r="HT159" s="174"/>
      <c r="HU159" s="174"/>
      <c r="HV159" s="174"/>
      <c r="HW159" s="174"/>
      <c r="HX159" s="174"/>
      <c r="HY159" s="174"/>
      <c r="HZ159" s="174"/>
      <c r="IA159" s="174"/>
      <c r="IB159" s="174"/>
    </row>
    <row r="160" spans="1:236" s="186" customFormat="1" x14ac:dyDescent="0.25">
      <c r="A160" s="197"/>
      <c r="HG160" s="187"/>
      <c r="HH160" s="187"/>
      <c r="HI160" s="187"/>
      <c r="HJ160" s="187"/>
      <c r="HK160" s="174"/>
      <c r="HL160" s="174"/>
      <c r="HM160" s="174"/>
      <c r="HN160" s="174"/>
      <c r="HO160" s="174"/>
      <c r="HP160" s="174"/>
      <c r="HQ160" s="174"/>
      <c r="HR160" s="174"/>
      <c r="HS160" s="174"/>
      <c r="HT160" s="174"/>
      <c r="HU160" s="174"/>
      <c r="HV160" s="174"/>
      <c r="HW160" s="174"/>
      <c r="HX160" s="174"/>
      <c r="HY160" s="174"/>
      <c r="HZ160" s="174"/>
      <c r="IA160" s="174"/>
      <c r="IB160" s="174"/>
    </row>
    <row r="161" spans="1:236" s="186" customFormat="1" x14ac:dyDescent="0.25">
      <c r="A161" s="197"/>
      <c r="HG161" s="187"/>
      <c r="HH161" s="187"/>
      <c r="HI161" s="187"/>
      <c r="HJ161" s="187"/>
      <c r="HK161" s="174"/>
      <c r="HL161" s="174"/>
      <c r="HM161" s="174"/>
      <c r="HN161" s="174"/>
      <c r="HO161" s="174"/>
      <c r="HP161" s="174"/>
      <c r="HQ161" s="174"/>
      <c r="HR161" s="174"/>
      <c r="HS161" s="174"/>
      <c r="HT161" s="174"/>
      <c r="HU161" s="174"/>
      <c r="HV161" s="174"/>
      <c r="HW161" s="174"/>
      <c r="HX161" s="174"/>
      <c r="HY161" s="174"/>
      <c r="HZ161" s="174"/>
      <c r="IA161" s="174"/>
      <c r="IB161" s="174"/>
    </row>
    <row r="162" spans="1:236" s="186" customFormat="1" x14ac:dyDescent="0.25">
      <c r="A162" s="197"/>
      <c r="HG162" s="187"/>
      <c r="HH162" s="187"/>
      <c r="HI162" s="187"/>
      <c r="HJ162" s="187"/>
      <c r="HK162" s="174"/>
      <c r="HL162" s="174"/>
      <c r="HM162" s="174"/>
      <c r="HN162" s="174"/>
      <c r="HO162" s="174"/>
      <c r="HP162" s="174"/>
      <c r="HQ162" s="174"/>
      <c r="HR162" s="174"/>
      <c r="HS162" s="174"/>
      <c r="HT162" s="174"/>
      <c r="HU162" s="174"/>
      <c r="HV162" s="174"/>
      <c r="HW162" s="174"/>
      <c r="HX162" s="174"/>
      <c r="HY162" s="174"/>
      <c r="HZ162" s="174"/>
      <c r="IA162" s="174"/>
      <c r="IB162" s="174"/>
    </row>
    <row r="163" spans="1:236" s="186" customFormat="1" x14ac:dyDescent="0.25">
      <c r="A163" s="197"/>
      <c r="HG163" s="187"/>
      <c r="HH163" s="187"/>
      <c r="HI163" s="187"/>
      <c r="HJ163" s="187"/>
      <c r="HK163" s="174"/>
      <c r="HL163" s="174"/>
      <c r="HM163" s="174"/>
      <c r="HN163" s="174"/>
      <c r="HO163" s="174"/>
      <c r="HP163" s="174"/>
      <c r="HQ163" s="174"/>
      <c r="HR163" s="174"/>
      <c r="HS163" s="174"/>
      <c r="HT163" s="174"/>
      <c r="HU163" s="174"/>
      <c r="HV163" s="174"/>
      <c r="HW163" s="174"/>
      <c r="HX163" s="174"/>
      <c r="HY163" s="174"/>
      <c r="HZ163" s="174"/>
      <c r="IA163" s="174"/>
      <c r="IB163" s="174"/>
    </row>
    <row r="164" spans="1:236" s="186" customFormat="1" x14ac:dyDescent="0.25">
      <c r="A164" s="197"/>
      <c r="HG164" s="187"/>
      <c r="HH164" s="187"/>
      <c r="HI164" s="187"/>
      <c r="HJ164" s="187"/>
      <c r="HK164" s="174"/>
      <c r="HL164" s="174"/>
      <c r="HM164" s="174"/>
      <c r="HN164" s="174"/>
      <c r="HO164" s="174"/>
      <c r="HP164" s="174"/>
      <c r="HQ164" s="174"/>
      <c r="HR164" s="174"/>
      <c r="HS164" s="174"/>
      <c r="HT164" s="174"/>
      <c r="HU164" s="174"/>
      <c r="HV164" s="174"/>
      <c r="HW164" s="174"/>
      <c r="HX164" s="174"/>
      <c r="HY164" s="174"/>
      <c r="HZ164" s="174"/>
      <c r="IA164" s="174"/>
      <c r="IB164" s="174"/>
    </row>
    <row r="165" spans="1:236" s="186" customFormat="1" x14ac:dyDescent="0.25">
      <c r="A165" s="197"/>
      <c r="HG165" s="187"/>
      <c r="HH165" s="187"/>
      <c r="HI165" s="187"/>
      <c r="HJ165" s="187"/>
      <c r="HK165" s="174"/>
      <c r="HL165" s="174"/>
      <c r="HM165" s="174"/>
      <c r="HN165" s="174"/>
      <c r="HO165" s="174"/>
      <c r="HP165" s="174"/>
      <c r="HQ165" s="174"/>
      <c r="HR165" s="174"/>
      <c r="HS165" s="174"/>
      <c r="HT165" s="174"/>
      <c r="HU165" s="174"/>
      <c r="HV165" s="174"/>
      <c r="HW165" s="174"/>
      <c r="HX165" s="174"/>
      <c r="HY165" s="174"/>
      <c r="HZ165" s="174"/>
      <c r="IA165" s="174"/>
      <c r="IB165" s="174"/>
    </row>
    <row r="166" spans="1:236" s="186" customFormat="1" x14ac:dyDescent="0.25">
      <c r="A166" s="197"/>
      <c r="HG166" s="187"/>
      <c r="HH166" s="187"/>
      <c r="HI166" s="187"/>
      <c r="HJ166" s="187"/>
      <c r="HK166" s="174"/>
      <c r="HL166" s="174"/>
      <c r="HM166" s="174"/>
      <c r="HN166" s="174"/>
      <c r="HO166" s="174"/>
      <c r="HP166" s="174"/>
      <c r="HQ166" s="174"/>
      <c r="HR166" s="174"/>
      <c r="HS166" s="174"/>
      <c r="HT166" s="174"/>
      <c r="HU166" s="174"/>
      <c r="HV166" s="174"/>
      <c r="HW166" s="174"/>
      <c r="HX166" s="174"/>
      <c r="HY166" s="174"/>
      <c r="HZ166" s="174"/>
      <c r="IA166" s="174"/>
      <c r="IB166" s="174"/>
    </row>
    <row r="167" spans="1:236" s="186" customFormat="1" x14ac:dyDescent="0.25">
      <c r="A167" s="197"/>
      <c r="HG167" s="187"/>
      <c r="HH167" s="187"/>
      <c r="HI167" s="187"/>
      <c r="HJ167" s="187"/>
      <c r="HK167" s="174"/>
      <c r="HL167" s="174"/>
      <c r="HM167" s="174"/>
      <c r="HN167" s="174"/>
      <c r="HO167" s="174"/>
      <c r="HP167" s="174"/>
      <c r="HQ167" s="174"/>
      <c r="HR167" s="174"/>
      <c r="HS167" s="174"/>
      <c r="HT167" s="174"/>
      <c r="HU167" s="174"/>
      <c r="HV167" s="174"/>
      <c r="HW167" s="174"/>
      <c r="HX167" s="174"/>
      <c r="HY167" s="174"/>
      <c r="HZ167" s="174"/>
      <c r="IA167" s="174"/>
      <c r="IB167" s="174"/>
    </row>
    <row r="168" spans="1:236" s="186" customFormat="1" x14ac:dyDescent="0.25">
      <c r="A168" s="197"/>
      <c r="HG168" s="187"/>
      <c r="HH168" s="187"/>
      <c r="HI168" s="187"/>
      <c r="HJ168" s="187"/>
      <c r="HK168" s="174"/>
      <c r="HL168" s="174"/>
      <c r="HM168" s="174"/>
      <c r="HN168" s="174"/>
      <c r="HO168" s="174"/>
      <c r="HP168" s="174"/>
      <c r="HQ168" s="174"/>
      <c r="HR168" s="174"/>
      <c r="HS168" s="174"/>
      <c r="HT168" s="174"/>
      <c r="HU168" s="174"/>
      <c r="HV168" s="174"/>
      <c r="HW168" s="174"/>
      <c r="HX168" s="174"/>
      <c r="HY168" s="174"/>
      <c r="HZ168" s="174"/>
      <c r="IA168" s="174"/>
      <c r="IB168" s="174"/>
    </row>
    <row r="169" spans="1:236" s="186" customFormat="1" x14ac:dyDescent="0.25">
      <c r="A169" s="197"/>
      <c r="HG169" s="187"/>
      <c r="HH169" s="187"/>
      <c r="HI169" s="187"/>
      <c r="HJ169" s="187"/>
      <c r="HK169" s="174"/>
      <c r="HL169" s="174"/>
      <c r="HM169" s="174"/>
      <c r="HN169" s="174"/>
      <c r="HO169" s="174"/>
      <c r="HP169" s="174"/>
      <c r="HQ169" s="174"/>
      <c r="HR169" s="174"/>
      <c r="HS169" s="174"/>
      <c r="HT169" s="174"/>
      <c r="HU169" s="174"/>
      <c r="HV169" s="174"/>
      <c r="HW169" s="174"/>
      <c r="HX169" s="174"/>
      <c r="HY169" s="174"/>
      <c r="HZ169" s="174"/>
      <c r="IA169" s="174"/>
      <c r="IB169" s="174"/>
    </row>
    <row r="170" spans="1:236" s="186" customFormat="1" x14ac:dyDescent="0.25">
      <c r="A170" s="197"/>
      <c r="HG170" s="187"/>
      <c r="HH170" s="187"/>
      <c r="HI170" s="187"/>
      <c r="HJ170" s="187"/>
      <c r="HK170" s="174"/>
      <c r="HL170" s="174"/>
      <c r="HM170" s="174"/>
      <c r="HN170" s="174"/>
      <c r="HO170" s="174"/>
      <c r="HP170" s="174"/>
      <c r="HQ170" s="174"/>
      <c r="HR170" s="174"/>
      <c r="HS170" s="174"/>
      <c r="HT170" s="174"/>
      <c r="HU170" s="174"/>
      <c r="HV170" s="174"/>
      <c r="HW170" s="174"/>
      <c r="HX170" s="174"/>
      <c r="HY170" s="174"/>
      <c r="HZ170" s="174"/>
      <c r="IA170" s="174"/>
      <c r="IB170" s="174"/>
    </row>
  </sheetData>
  <printOptions horizontalCentered="1"/>
  <pageMargins left="0.78740157480314965" right="0.35" top="1.5748031496062993" bottom="1.4173228346456694" header="0.78740157480314965" footer="0.78740157480314965"/>
  <pageSetup paperSize="9" scale="93" firstPageNumber="0" fitToHeight="0" orientation="portrait" r:id="rId1"/>
  <headerFooter alignWithMargins="0">
    <oddHeader xml:space="preserve">&amp;L 2/D melléklet a ......./2021. (.................) önkormányzati rendelethez&amp;C&amp;"Arial,Félkövér"&amp;10
&amp;"-,Félkövér"&amp;16Tartalékok működési és felhalmozási cél szerinti bontásban&amp;R&amp;10 </oddHeader>
    <oddFooter>&amp;C&amp;8&amp;D &amp;T&amp;R&amp;9&amp;P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38</vt:i4>
      </vt:variant>
      <vt:variant>
        <vt:lpstr>Névvel ellátott tartományok</vt:lpstr>
      </vt:variant>
      <vt:variant>
        <vt:i4>52</vt:i4>
      </vt:variant>
    </vt:vector>
  </HeadingPairs>
  <TitlesOfParts>
    <vt:vector size="90" baseType="lpstr">
      <vt:lpstr>Egyenlegmutató</vt:lpstr>
      <vt:lpstr>0.Mérleg</vt:lpstr>
      <vt:lpstr>1A. Fő bev</vt:lpstr>
      <vt:lpstr>1B. Fő kiad</vt:lpstr>
      <vt:lpstr>1C Bev kiad fel</vt:lpstr>
      <vt:lpstr>2A Önk bev</vt:lpstr>
      <vt:lpstr>2B Önk kiad</vt:lpstr>
      <vt:lpstr>2C Önk bev kiad fel</vt:lpstr>
      <vt:lpstr>2D Céltartalék</vt:lpstr>
      <vt:lpstr>2E VÉA</vt:lpstr>
      <vt:lpstr>2F KVA</vt:lpstr>
      <vt:lpstr>3A PH</vt:lpstr>
      <vt:lpstr>3B PH fel</vt:lpstr>
      <vt:lpstr>4A Walla</vt:lpstr>
      <vt:lpstr>4B Nyitnikék</vt:lpstr>
      <vt:lpstr>4C Bóbita</vt:lpstr>
      <vt:lpstr>4D MMMH</vt:lpstr>
      <vt:lpstr>4E Könyvtár</vt:lpstr>
      <vt:lpstr>4F Segítő Kéz</vt:lpstr>
      <vt:lpstr>4G Szérüskert</vt:lpstr>
      <vt:lpstr>Walla</vt:lpstr>
      <vt:lpstr>4H VG bev kiad</vt:lpstr>
      <vt:lpstr>5 GSZNR fel</vt:lpstr>
      <vt:lpstr>6. létszámkeret</vt:lpstr>
      <vt:lpstr>7. Fejlesztések</vt:lpstr>
      <vt:lpstr>8. stab tv</vt:lpstr>
      <vt:lpstr>Könyvtár</vt:lpstr>
      <vt:lpstr>Beruházás</vt:lpstr>
      <vt:lpstr>Felújítás</vt:lpstr>
      <vt:lpstr>7. projektek</vt:lpstr>
      <vt:lpstr>9. Uniós tám</vt:lpstr>
      <vt:lpstr>10. címrend</vt:lpstr>
      <vt:lpstr>ÖK kiad</vt:lpstr>
      <vt:lpstr>MMMH</vt:lpstr>
      <vt:lpstr>Nyitnikék</vt:lpstr>
      <vt:lpstr>Bóbita</vt:lpstr>
      <vt:lpstr>SKSZ</vt:lpstr>
      <vt:lpstr>PH</vt:lpstr>
      <vt:lpstr>'1A. Fő bev'!Nyomtatási_cím</vt:lpstr>
      <vt:lpstr>'1B. Fő kiad'!Nyomtatási_cím</vt:lpstr>
      <vt:lpstr>'1C Bev kiad fel'!Nyomtatási_cím</vt:lpstr>
      <vt:lpstr>'2A Önk bev'!Nyomtatási_cím</vt:lpstr>
      <vt:lpstr>'2B Önk kiad'!Nyomtatási_cím</vt:lpstr>
      <vt:lpstr>'2C Önk bev kiad fel'!Nyomtatási_cím</vt:lpstr>
      <vt:lpstr>'3A PH'!Nyomtatási_cím</vt:lpstr>
      <vt:lpstr>'3B PH fel'!Nyomtatási_cím</vt:lpstr>
      <vt:lpstr>'4A Walla'!Nyomtatási_cím</vt:lpstr>
      <vt:lpstr>'4B Nyitnikék'!Nyomtatási_cím</vt:lpstr>
      <vt:lpstr>'4C Bóbita'!Nyomtatási_cím</vt:lpstr>
      <vt:lpstr>'4D MMMH'!Nyomtatási_cím</vt:lpstr>
      <vt:lpstr>'4E Könyvtár'!Nyomtatási_cím</vt:lpstr>
      <vt:lpstr>'4F Segítő Kéz'!Nyomtatási_cím</vt:lpstr>
      <vt:lpstr>'4G Szérüskert'!Nyomtatási_cím</vt:lpstr>
      <vt:lpstr>'4H VG bev kiad'!Nyomtatási_cím</vt:lpstr>
      <vt:lpstr>'5 GSZNR fel'!Nyomtatási_cím</vt:lpstr>
      <vt:lpstr>Beruházás!Nyomtatási_cím</vt:lpstr>
      <vt:lpstr>Könyvtár!Nyomtatási_cím</vt:lpstr>
      <vt:lpstr>MMMH!Nyomtatási_cím</vt:lpstr>
      <vt:lpstr>'ÖK kiad'!Nyomtatási_cím</vt:lpstr>
      <vt:lpstr>PH!Nyomtatási_cím</vt:lpstr>
      <vt:lpstr>SKSZ!Nyomtatási_cím</vt:lpstr>
      <vt:lpstr>Walla!Nyomtatási_cím</vt:lpstr>
      <vt:lpstr>'0.Mérleg'!Nyomtatási_terület</vt:lpstr>
      <vt:lpstr>'10. címrend'!Nyomtatási_terület</vt:lpstr>
      <vt:lpstr>'1A. Fő bev'!Nyomtatási_terület</vt:lpstr>
      <vt:lpstr>'1B. Fő kiad'!Nyomtatási_terület</vt:lpstr>
      <vt:lpstr>'1C Bev kiad fel'!Nyomtatási_terület</vt:lpstr>
      <vt:lpstr>'2A Önk bev'!Nyomtatási_terület</vt:lpstr>
      <vt:lpstr>'2B Önk kiad'!Nyomtatási_terület</vt:lpstr>
      <vt:lpstr>'2C Önk bev kiad fel'!Nyomtatási_terület</vt:lpstr>
      <vt:lpstr>'2D Céltartalék'!Nyomtatási_terület</vt:lpstr>
      <vt:lpstr>'2E VÉA'!Nyomtatási_terület</vt:lpstr>
      <vt:lpstr>'2F KVA'!Nyomtatási_terület</vt:lpstr>
      <vt:lpstr>'3A PH'!Nyomtatási_terület</vt:lpstr>
      <vt:lpstr>'3B PH fel'!Nyomtatási_terület</vt:lpstr>
      <vt:lpstr>'4A Walla'!Nyomtatási_terület</vt:lpstr>
      <vt:lpstr>'4B Nyitnikék'!Nyomtatási_terület</vt:lpstr>
      <vt:lpstr>'4C Bóbita'!Nyomtatási_terület</vt:lpstr>
      <vt:lpstr>'4D MMMH'!Nyomtatási_terület</vt:lpstr>
      <vt:lpstr>'4E Könyvtár'!Nyomtatási_terület</vt:lpstr>
      <vt:lpstr>'4F Segítő Kéz'!Nyomtatási_terület</vt:lpstr>
      <vt:lpstr>'4G Szérüskert'!Nyomtatási_terület</vt:lpstr>
      <vt:lpstr>'4H VG bev kiad'!Nyomtatási_terület</vt:lpstr>
      <vt:lpstr>'5 GSZNR fel'!Nyomtatási_terület</vt:lpstr>
      <vt:lpstr>'6. létszámkeret'!Nyomtatási_terület</vt:lpstr>
      <vt:lpstr>'7. Fejlesztések'!Nyomtatási_terület</vt:lpstr>
      <vt:lpstr>'7. projektek'!Nyomtatási_terület</vt:lpstr>
      <vt:lpstr>'8. stab tv'!Nyomtatási_terület</vt:lpstr>
      <vt:lpstr>Beruházás!Nyomtatási_terület</vt:lpstr>
      <vt:lpstr>Felújítás!Nyomtatási_terület</vt:lpstr>
    </vt:vector>
  </TitlesOfParts>
  <Company>Polgármesteri Hivatal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Katalin Volosin</dc:creator>
  <cp:lastModifiedBy>Nagy Eszter</cp:lastModifiedBy>
  <cp:lastPrinted>2021-03-08T15:52:35Z</cp:lastPrinted>
  <dcterms:created xsi:type="dcterms:W3CDTF">2015-10-26T12:21:43Z</dcterms:created>
  <dcterms:modified xsi:type="dcterms:W3CDTF">2021-03-08T17:15:03Z</dcterms:modified>
</cp:coreProperties>
</file>