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activeTab="0"/>
  </bookViews>
  <sheets>
    <sheet name="kiadás" sheetId="1" r:id="rId1"/>
    <sheet name="bevétel" sheetId="2" r:id="rId2"/>
  </sheets>
  <definedNames>
    <definedName name="_xlnm.Print_Area" localSheetId="1">'bevétel'!$A$1:$P$36</definedName>
    <definedName name="_xlnm.Print_Area" localSheetId="0">'kiadás'!$A$7:$P$50</definedName>
  </definedNames>
  <calcPr fullCalcOnLoad="1"/>
</workbook>
</file>

<file path=xl/sharedStrings.xml><?xml version="1.0" encoding="utf-8"?>
<sst xmlns="http://schemas.openxmlformats.org/spreadsheetml/2006/main" count="124" uniqueCount="102">
  <si>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</si>
  <si>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</si>
  <si>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</si>
  <si>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</si>
  <si>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</si>
  <si>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</si>
  <si>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</si>
  <si>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</si>
  <si>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</si>
  <si>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</si>
  <si>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</si>
  <si>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</si>
  <si>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</si>
  <si>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</si>
  <si>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</si>
  <si>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</si>
  <si>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</si>
  <si>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</si>
  <si>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</si>
  <si>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</si>
  <si>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</si>
  <si>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</si>
  <si>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</si>
  <si>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</si>
  <si>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</si>
  <si>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</si>
  <si>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</si>
  <si>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</si>
  <si>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</si>
  <si>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</si>
  <si>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</si>
  <si>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</si>
  <si>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</si>
  <si>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</si>
  <si>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</si>
  <si>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</si>
  <si>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</si>
  <si>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</si>
  <si>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</si>
  <si>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</si>
  <si>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</si>
  <si>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</si>
  <si>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</si>
  <si>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</si>
  <si>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</si>
  <si>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</si>
  <si>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</si>
  <si>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</si>
  <si>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</si>
  <si>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</si>
  <si>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</si>
  <si>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</si>
  <si>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</si>
  <si>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</si>
  <si>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</si>
  <si>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</si>
  <si>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</si>
  <si>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</si>
  <si>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</si>
  <si>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</si>
  <si>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</si>
  <si>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</si>
  <si>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</si>
  <si>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</si>
  <si>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</si>
  <si>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</si>
  <si>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</si>
  <si>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</si>
  <si>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</si>
  <si>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</si>
  <si>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</si>
  <si>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</si>
  <si>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</si>
  <si>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</si>
  <si>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</si>
  <si>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</si>
  <si>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</si>
  <si>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</si>
  <si>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</si>
  <si>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</si>
  <si>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</si>
  <si>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</si>
  <si>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</si>
  <si>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</si>
  <si>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</si>
  <si>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</si>
  <si>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</si>
  <si>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>nyitó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</si>
  <si>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</si>
  <si>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</si>
  <si>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</si>
  <si>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</si>
  <si>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</si>
  <si>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Betétlekötés megszüntetése</t>
  </si>
  <si>
    <t>Finanszírozási bevételek összesen</t>
  </si>
  <si>
    <t>Belváros-Lipótváros Önkormányzata 2015.évi kiadásainak előirányzat-felhasználási ütemterve</t>
  </si>
  <si>
    <t>10.sz melléklet</t>
  </si>
  <si>
    <r>
      <t xml:space="preserve"> </t>
    </r>
    <r>
      <rPr>
        <b/>
        <sz val="12"/>
        <rFont val="Arial CE"/>
        <family val="2"/>
      </rPr>
      <t>Belváros-Lipótváros Önkormányzata 2015.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</si>
  <si>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2015.évi</t>
  </si>
  <si>
    <t>10.számú melléklet</t>
  </si>
  <si>
    <t>2015. évi módosított.ei.</t>
  </si>
  <si>
    <t>módosított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</si>
</sst>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8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3" fontId="5" fillId="0" borderId="39" xfId="0" applyNumberFormat="1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7" fillId="0" borderId="45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7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7" fillId="0" borderId="47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7" fillId="0" borderId="48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7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51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51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52" xfId="0" applyNumberFormat="1" applyFont="1" applyFill="1" applyBorder="1" applyAlignment="1">
      <alignment vertical="center" shrinkToFit="1"/>
    </xf>
    <xf numFmtId="3" fontId="5" fillId="0" borderId="43" xfId="0" applyNumberFormat="1" applyFont="1" applyFill="1" applyBorder="1" applyAlignment="1">
      <alignment horizontal="center"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0" fontId="1" fillId="0" borderId="5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vertical="center" shrinkToFit="1"/>
    </xf>
    <xf numFmtId="0" fontId="7" fillId="0" borderId="55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/>
    </xf>
    <xf numFmtId="0" fontId="5" fillId="0" borderId="56" xfId="0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5" fillId="0" borderId="53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7" fillId="0" borderId="63" xfId="0" applyNumberFormat="1" applyFont="1" applyFill="1" applyBorder="1" applyAlignment="1">
      <alignment vertical="center" shrinkToFit="1"/>
    </xf>
    <xf numFmtId="3" fontId="7" fillId="0" borderId="64" xfId="0" applyNumberFormat="1" applyFont="1" applyFill="1" applyBorder="1" applyAlignment="1">
      <alignment vertical="center" shrinkToFit="1"/>
    </xf>
    <xf numFmtId="3" fontId="7" fillId="0" borderId="65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67" xfId="0" applyNumberFormat="1" applyFont="1" applyFill="1" applyBorder="1" applyAlignment="1">
      <alignment vertical="center" shrinkToFit="1"/>
    </xf>
    <xf numFmtId="3" fontId="5" fillId="0" borderId="68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5" fillId="0" borderId="72" xfId="0" applyNumberFormat="1" applyFont="1" applyFill="1" applyBorder="1" applyAlignment="1">
      <alignment vertical="center" shrinkToFit="1"/>
    </xf>
    <xf numFmtId="3" fontId="5" fillId="0" borderId="73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7" xfId="0" applyNumberFormat="1" applyFont="1" applyFill="1" applyBorder="1" applyAlignment="1">
      <alignment vertical="center" shrinkToFit="1"/>
    </xf>
    <xf numFmtId="3" fontId="7" fillId="0" borderId="68" xfId="0" applyNumberFormat="1" applyFont="1" applyFill="1" applyBorder="1" applyAlignment="1">
      <alignment vertical="center" shrinkToFit="1"/>
    </xf>
    <xf numFmtId="3" fontId="7" fillId="0" borderId="74" xfId="0" applyNumberFormat="1" applyFont="1" applyFill="1" applyBorder="1" applyAlignment="1">
      <alignment vertical="center" shrinkToFit="1"/>
    </xf>
    <xf numFmtId="3" fontId="7" fillId="0" borderId="75" xfId="0" applyNumberFormat="1" applyFont="1" applyFill="1" applyBorder="1" applyAlignment="1">
      <alignment vertical="center" shrinkToFit="1"/>
    </xf>
    <xf numFmtId="3" fontId="5" fillId="0" borderId="76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7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3" fontId="5" fillId="0" borderId="78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3" fontId="5" fillId="0" borderId="81" xfId="0" applyNumberFormat="1" applyFont="1" applyFill="1" applyBorder="1" applyAlignment="1">
      <alignment horizontal="center" vertical="center"/>
    </xf>
    <xf numFmtId="3" fontId="5" fillId="0" borderId="75" xfId="0" applyNumberFormat="1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84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3" fontId="5" fillId="0" borderId="87" xfId="0" applyNumberFormat="1" applyFont="1" applyFill="1" applyBorder="1" applyAlignment="1">
      <alignment horizontal="center" vertical="center"/>
    </xf>
    <xf numFmtId="3" fontId="5" fillId="0" borderId="74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W45" sqref="W45"/>
    </sheetView>
  </sheetViews>
  <sheetFormatPr defaultColWidth="9.00390625" defaultRowHeight="12.75"/>
  <cols>
    <col min="1" max="1" width="3.125" style="37" customWidth="1"/>
    <col min="2" max="2" width="36.625" style="18" customWidth="1"/>
    <col min="3" max="3" width="11.125" style="22" customWidth="1"/>
    <col min="4" max="4" width="10.625" style="22" customWidth="1"/>
    <col min="5" max="5" width="10.00390625" style="22" customWidth="1"/>
    <col min="6" max="6" width="10.625" style="22" customWidth="1"/>
    <col min="7" max="7" width="10.00390625" style="22" customWidth="1"/>
    <col min="8" max="8" width="10.625" style="22" customWidth="1"/>
    <col min="9" max="9" width="11.125" style="22" customWidth="1"/>
    <col min="10" max="15" width="10.00390625" style="22" customWidth="1"/>
    <col min="16" max="16" width="11.125" style="22" customWidth="1"/>
    <col min="17" max="17" width="11.375" style="151" customWidth="1"/>
    <col min="18" max="18" width="9.125" style="18" customWidth="1"/>
    <col min="19" max="19" width="9.125" style="139" customWidth="1"/>
    <col min="20" max="20" width="12.875" style="139" customWidth="1"/>
    <col min="21" max="21" width="9.125" style="139" customWidth="1"/>
    <col min="22" max="22" width="9.125" style="22" customWidth="1"/>
    <col min="23" max="23" width="12.875" style="22" customWidth="1"/>
    <col min="24" max="16384" width="9.125" style="22" customWidth="1"/>
  </cols>
  <sheetData>
    <row r="1" spans="1:16" ht="12.75">
      <c r="A1" s="20"/>
      <c r="B1" s="43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0"/>
      <c r="B2" s="4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00" t="s">
        <v>40</v>
      </c>
      <c r="P2" s="200"/>
    </row>
    <row r="3" spans="1:16" ht="12.75">
      <c r="A3" s="20"/>
      <c r="B3" s="4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20"/>
      <c r="B4" s="4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>
      <c r="A5" s="20"/>
      <c r="B5" s="4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/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0"/>
      <c r="B7" s="4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95" t="s">
        <v>96</v>
      </c>
      <c r="P7" s="195"/>
    </row>
    <row r="8" spans="1:16" ht="21" customHeight="1">
      <c r="A8" s="203" t="s">
        <v>95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</row>
    <row r="9" spans="1:16" ht="12.75">
      <c r="A9" s="23"/>
      <c r="B9" s="4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2.75">
      <c r="A10" s="23"/>
      <c r="B10" s="4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68"/>
      <c r="N10" s="23"/>
      <c r="O10" s="23"/>
      <c r="P10" s="23"/>
    </row>
    <row r="11" spans="1:16" ht="12.75">
      <c r="A11" s="23"/>
      <c r="B11" s="44"/>
      <c r="C11" s="23"/>
      <c r="D11" s="48"/>
      <c r="E11" s="49"/>
      <c r="F11" s="48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" customHeight="1">
      <c r="A12" s="23"/>
      <c r="B12" s="44"/>
      <c r="C12" s="49"/>
      <c r="D12" s="48"/>
      <c r="E12" s="49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3.5" thickBot="1">
      <c r="A13" s="20"/>
      <c r="B13" s="4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2" t="s">
        <v>0</v>
      </c>
    </row>
    <row r="14" spans="1:16" ht="19.5" customHeight="1" thickBot="1">
      <c r="A14" s="204" t="s">
        <v>1</v>
      </c>
      <c r="B14" s="204"/>
      <c r="C14" s="205" t="s">
        <v>100</v>
      </c>
      <c r="D14" s="193" t="s">
        <v>2</v>
      </c>
      <c r="E14" s="193" t="s">
        <v>3</v>
      </c>
      <c r="F14" s="193" t="s">
        <v>4</v>
      </c>
      <c r="G14" s="193" t="s">
        <v>5</v>
      </c>
      <c r="H14" s="193" t="s">
        <v>6</v>
      </c>
      <c r="I14" s="193" t="s">
        <v>7</v>
      </c>
      <c r="J14" s="193" t="s">
        <v>8</v>
      </c>
      <c r="K14" s="193" t="s">
        <v>9</v>
      </c>
      <c r="L14" s="193" t="s">
        <v>10</v>
      </c>
      <c r="M14" s="193" t="s">
        <v>11</v>
      </c>
      <c r="N14" s="193" t="s">
        <v>12</v>
      </c>
      <c r="O14" s="193" t="s">
        <v>13</v>
      </c>
      <c r="P14" s="193" t="s">
        <v>14</v>
      </c>
    </row>
    <row r="15" spans="1:16" ht="13.5" thickBot="1">
      <c r="A15" s="204"/>
      <c r="B15" s="204"/>
      <c r="C15" s="206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</row>
    <row r="16" spans="1:16" ht="15" customHeight="1" thickBot="1">
      <c r="A16" s="198">
        <v>1</v>
      </c>
      <c r="B16" s="199"/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24">
        <v>8</v>
      </c>
      <c r="J16" s="24">
        <v>9</v>
      </c>
      <c r="K16" s="24">
        <v>10</v>
      </c>
      <c r="L16" s="24">
        <v>11</v>
      </c>
      <c r="M16" s="24">
        <v>12</v>
      </c>
      <c r="N16" s="24">
        <v>13</v>
      </c>
      <c r="O16" s="24">
        <v>14</v>
      </c>
      <c r="P16" s="24">
        <v>15</v>
      </c>
    </row>
    <row r="17" spans="1:18" ht="15" customHeight="1">
      <c r="A17" s="25" t="s">
        <v>15</v>
      </c>
      <c r="B17" s="26" t="s">
        <v>78</v>
      </c>
      <c r="C17" s="27">
        <f>SUM(C18:C22)</f>
        <v>15271115</v>
      </c>
      <c r="D17" s="27">
        <f aca="true" t="shared" si="0" ref="D17:N17">SUM(D18:D22)</f>
        <v>1195610.1266666667</v>
      </c>
      <c r="E17" s="27">
        <f t="shared" si="0"/>
        <v>1164806.5</v>
      </c>
      <c r="F17" s="27">
        <f t="shared" si="0"/>
        <v>1165853.5</v>
      </c>
      <c r="G17" s="27">
        <f t="shared" si="0"/>
        <v>1181662.76</v>
      </c>
      <c r="H17" s="27">
        <f t="shared" si="0"/>
        <v>1166034.79</v>
      </c>
      <c r="I17" s="27">
        <f t="shared" si="0"/>
        <v>1202923.5</v>
      </c>
      <c r="J17" s="27">
        <f t="shared" si="0"/>
        <v>1254719.3</v>
      </c>
      <c r="K17" s="27">
        <f t="shared" si="0"/>
        <v>1241238.5</v>
      </c>
      <c r="L17" s="27">
        <f t="shared" si="0"/>
        <v>1267078.8599999999</v>
      </c>
      <c r="M17" s="27">
        <f t="shared" si="0"/>
        <v>1268633.37</v>
      </c>
      <c r="N17" s="27">
        <f t="shared" si="0"/>
        <v>1430797.4</v>
      </c>
      <c r="O17" s="27">
        <f>SUM(O18:O22)+1</f>
        <v>1731756.79</v>
      </c>
      <c r="P17" s="113">
        <f>SUM(D17:O17)</f>
        <v>15271115.396666668</v>
      </c>
      <c r="R17" s="117"/>
    </row>
    <row r="18" spans="1:20" ht="15" customHeight="1">
      <c r="A18" s="29"/>
      <c r="B18" s="45" t="s">
        <v>16</v>
      </c>
      <c r="C18" s="147">
        <v>2890999</v>
      </c>
      <c r="D18" s="30">
        <f>48653+48300+12148+155897</f>
        <v>264998</v>
      </c>
      <c r="E18" s="30">
        <f>48653+155897+12000</f>
        <v>216550</v>
      </c>
      <c r="F18" s="30">
        <f>48653+155897</f>
        <v>204550</v>
      </c>
      <c r="G18" s="30">
        <f>48653+48458+29780+155897</f>
        <v>282788</v>
      </c>
      <c r="H18" s="30">
        <f>48653+155897+31727</f>
        <v>236277</v>
      </c>
      <c r="I18" s="30">
        <f>48653+155897+12000</f>
        <v>216550</v>
      </c>
      <c r="J18" s="30">
        <f>48653+12500+155897+7840</f>
        <v>224890</v>
      </c>
      <c r="K18" s="30">
        <f>48653+155897+3500+12000</f>
        <v>220050</v>
      </c>
      <c r="L18" s="30">
        <f>48653+155897-4000+3200+17468</f>
        <v>221218</v>
      </c>
      <c r="M18" s="30">
        <f>48653+7891+155987+2900+15000</f>
        <v>230431</v>
      </c>
      <c r="N18" s="30">
        <f>48653+29780+155987+2200+15000+7000</f>
        <v>258620</v>
      </c>
      <c r="O18" s="30">
        <f>48653+20000+155717+984+14572+45000+35000-25849+20000</f>
        <v>314077</v>
      </c>
      <c r="P18" s="19">
        <f aca="true" t="shared" si="1" ref="P18:P48">SUM(D18:O18)</f>
        <v>2890999</v>
      </c>
      <c r="R18" s="117">
        <f>SUM(C18-P18)</f>
        <v>0</v>
      </c>
      <c r="T18" s="137"/>
    </row>
    <row r="19" spans="1:20" ht="15" customHeight="1">
      <c r="A19" s="29"/>
      <c r="B19" s="45" t="s">
        <v>68</v>
      </c>
      <c r="C19" s="147">
        <v>855299</v>
      </c>
      <c r="D19" s="30">
        <f>SUM(D18*0.27)</f>
        <v>71549.46</v>
      </c>
      <c r="E19" s="30">
        <f>SUM(E18*0.27)+5000</f>
        <v>63468.50000000001</v>
      </c>
      <c r="F19" s="30">
        <f>SUM(F18*0.27)+5000</f>
        <v>60228.5</v>
      </c>
      <c r="G19" s="30">
        <f>SUM(G18*0.27)</f>
        <v>76352.76000000001</v>
      </c>
      <c r="H19" s="30">
        <f>SUM(H18*0.27)</f>
        <v>63794.79</v>
      </c>
      <c r="I19" s="30">
        <f>SUM(I18*0.27)+5000</f>
        <v>63468.50000000001</v>
      </c>
      <c r="J19" s="30">
        <f>SUM(J18*0.27)+5000</f>
        <v>65720.3</v>
      </c>
      <c r="K19" s="30">
        <f>SUM(K18*0.27)+5000+1205</f>
        <v>65618.5</v>
      </c>
      <c r="L19" s="30">
        <f>SUM(L18*0.27)+5000+4056+10468</f>
        <v>79252.86</v>
      </c>
      <c r="M19" s="30">
        <f>SUM(M18*0.27)+5000+7000</f>
        <v>74216.37</v>
      </c>
      <c r="N19" s="30">
        <f>SUM(N18*0.27)+7000</f>
        <v>76827.40000000001</v>
      </c>
      <c r="O19" s="30">
        <f>SUM(O18*0.27)+10000</f>
        <v>94800.79000000001</v>
      </c>
      <c r="P19" s="19">
        <f t="shared" si="1"/>
        <v>855298.7300000001</v>
      </c>
      <c r="R19" s="117">
        <f aca="true" t="shared" si="2" ref="R19:R49">SUM(C19-P19)</f>
        <v>0.26999999990221113</v>
      </c>
      <c r="T19" s="137"/>
    </row>
    <row r="20" spans="1:20" ht="15" customHeight="1">
      <c r="A20" s="29"/>
      <c r="B20" s="45" t="s">
        <v>38</v>
      </c>
      <c r="C20" s="147">
        <v>9346334</v>
      </c>
      <c r="D20" s="30">
        <f>673522-14344-10000+60000</f>
        <v>709178</v>
      </c>
      <c r="E20" s="30">
        <f>673522-11000+60000</f>
        <v>722522</v>
      </c>
      <c r="F20" s="30">
        <f>673522+60490</f>
        <v>734012</v>
      </c>
      <c r="G20" s="30">
        <f>673522+32270</f>
        <v>705792</v>
      </c>
      <c r="H20" s="30">
        <f>673522+32280+35000</f>
        <v>740802</v>
      </c>
      <c r="I20" s="30">
        <f>673522+35000+23406+20000+12356</f>
        <v>764284</v>
      </c>
      <c r="J20" s="30">
        <f>673522+22325+19487+50000+20000+14253</f>
        <v>799587</v>
      </c>
      <c r="K20" s="30">
        <f>673522+26332+50000+20000+12403</f>
        <v>782257</v>
      </c>
      <c r="L20" s="30">
        <f>673522+54231+50000+20000</f>
        <v>797753</v>
      </c>
      <c r="M20" s="30">
        <f>673522+21323+25000+50000+20000</f>
        <v>789845</v>
      </c>
      <c r="N20" s="30">
        <f>673522+23541+123547+50000+20000</f>
        <v>890610</v>
      </c>
      <c r="O20" s="30">
        <f>673522-5+34005+11717+70453+100000+20000</f>
        <v>909692</v>
      </c>
      <c r="P20" s="19">
        <f t="shared" si="1"/>
        <v>9346334</v>
      </c>
      <c r="R20" s="117">
        <f t="shared" si="2"/>
        <v>0</v>
      </c>
      <c r="T20" s="137"/>
    </row>
    <row r="21" spans="1:20" ht="15" customHeight="1">
      <c r="A21" s="29"/>
      <c r="B21" s="45" t="s">
        <v>39</v>
      </c>
      <c r="C21" s="147">
        <v>728414</v>
      </c>
      <c r="D21" s="30">
        <f>50000+30515+3000</f>
        <v>83515</v>
      </c>
      <c r="E21" s="30">
        <f>50000+30515+3500</f>
        <v>84015</v>
      </c>
      <c r="F21" s="30">
        <f>50000+30515+3516</f>
        <v>84031</v>
      </c>
      <c r="G21" s="30">
        <f>30515+2300+5000</f>
        <v>37815</v>
      </c>
      <c r="H21" s="30">
        <f>30515+2300+5000</f>
        <v>37815</v>
      </c>
      <c r="I21" s="30">
        <f>30515+2217+5000</f>
        <v>37732</v>
      </c>
      <c r="J21" s="30">
        <f>30515+15467</f>
        <v>45982</v>
      </c>
      <c r="K21" s="30">
        <f>30515+13545+3686+1521</f>
        <v>49267</v>
      </c>
      <c r="L21" s="30">
        <f>30515+15326+2246</f>
        <v>48087</v>
      </c>
      <c r="M21" s="30">
        <f>30515+15325+5000</f>
        <v>50840</v>
      </c>
      <c r="N21" s="30">
        <f>50000+30515</f>
        <v>80515</v>
      </c>
      <c r="O21" s="30">
        <f>50000+30515+24205-15920</f>
        <v>88800</v>
      </c>
      <c r="P21" s="19">
        <f t="shared" si="1"/>
        <v>728414</v>
      </c>
      <c r="R21" s="117">
        <f t="shared" si="2"/>
        <v>0</v>
      </c>
      <c r="T21" s="137"/>
    </row>
    <row r="22" spans="1:20" ht="15" customHeight="1">
      <c r="A22" s="29"/>
      <c r="B22" s="45" t="s">
        <v>52</v>
      </c>
      <c r="C22" s="147">
        <v>1450069</v>
      </c>
      <c r="D22" s="147">
        <f aca="true" t="shared" si="3" ref="D22:O22">SUM(D25:D29)</f>
        <v>66369.66666666667</v>
      </c>
      <c r="E22" s="147">
        <f t="shared" si="3"/>
        <v>78251</v>
      </c>
      <c r="F22" s="147">
        <f t="shared" si="3"/>
        <v>83032</v>
      </c>
      <c r="G22" s="147">
        <f>SUM(G24:G29)</f>
        <v>78915</v>
      </c>
      <c r="H22" s="147">
        <f t="shared" si="3"/>
        <v>87346</v>
      </c>
      <c r="I22" s="147">
        <f t="shared" si="3"/>
        <v>120889</v>
      </c>
      <c r="J22" s="147">
        <f t="shared" si="3"/>
        <v>118540</v>
      </c>
      <c r="K22" s="147">
        <f t="shared" si="3"/>
        <v>124046</v>
      </c>
      <c r="L22" s="147">
        <f t="shared" si="3"/>
        <v>120768</v>
      </c>
      <c r="M22" s="147">
        <f t="shared" si="3"/>
        <v>123301</v>
      </c>
      <c r="N22" s="147">
        <f t="shared" si="3"/>
        <v>124225</v>
      </c>
      <c r="O22" s="147">
        <f t="shared" si="3"/>
        <v>324386</v>
      </c>
      <c r="P22" s="19">
        <f t="shared" si="1"/>
        <v>1450068.6666666667</v>
      </c>
      <c r="R22" s="117">
        <f t="shared" si="2"/>
        <v>0.3333333332557231</v>
      </c>
      <c r="T22" s="137"/>
    </row>
    <row r="23" spans="1:20" ht="12.75" customHeight="1" hidden="1">
      <c r="A23" s="132"/>
      <c r="B23" s="133"/>
      <c r="C23" s="19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19">
        <f t="shared" si="1"/>
        <v>0</v>
      </c>
      <c r="R23" s="117">
        <f t="shared" si="2"/>
        <v>0</v>
      </c>
      <c r="T23" s="137"/>
    </row>
    <row r="24" spans="1:20" ht="12.75" customHeight="1">
      <c r="A24" s="110"/>
      <c r="B24" s="133" t="s">
        <v>86</v>
      </c>
      <c r="C24" s="192">
        <v>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19">
        <f t="shared" si="1"/>
        <v>0</v>
      </c>
      <c r="Q24" s="155"/>
      <c r="R24" s="117">
        <f t="shared" si="2"/>
        <v>0</v>
      </c>
      <c r="T24" s="137"/>
    </row>
    <row r="25" spans="1:20" ht="12.75" customHeight="1">
      <c r="A25" s="110"/>
      <c r="B25" s="133" t="s">
        <v>71</v>
      </c>
      <c r="C25" s="192">
        <v>375320</v>
      </c>
      <c r="D25" s="32">
        <f>SUM(C25/12)</f>
        <v>31276.666666666668</v>
      </c>
      <c r="E25" s="32">
        <f>36941+23-6000</f>
        <v>30964</v>
      </c>
      <c r="F25" s="32">
        <f>36941+23</f>
        <v>36964</v>
      </c>
      <c r="G25" s="32">
        <v>36941</v>
      </c>
      <c r="H25" s="32">
        <f>36941-3029</f>
        <v>33912</v>
      </c>
      <c r="I25" s="32">
        <f>36941-3000</f>
        <v>33941</v>
      </c>
      <c r="J25" s="32">
        <v>36941</v>
      </c>
      <c r="K25" s="32">
        <v>36941</v>
      </c>
      <c r="L25" s="32">
        <v>36941</v>
      </c>
      <c r="M25" s="32">
        <f>36941-19000</f>
        <v>17941</v>
      </c>
      <c r="N25" s="32">
        <f>36941-19000</f>
        <v>17941</v>
      </c>
      <c r="O25" s="112">
        <f>36941-5-21064+8744</f>
        <v>24616</v>
      </c>
      <c r="P25" s="19">
        <f t="shared" si="1"/>
        <v>375319.6666666667</v>
      </c>
      <c r="Q25" s="155"/>
      <c r="R25" s="117">
        <f t="shared" si="2"/>
        <v>0.3333333333139308</v>
      </c>
      <c r="T25" s="137"/>
    </row>
    <row r="26" spans="1:20" ht="12.75" customHeight="1">
      <c r="A26" s="110"/>
      <c r="B26" s="133" t="s">
        <v>88</v>
      </c>
      <c r="C26" s="192">
        <v>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12"/>
      <c r="P26" s="19">
        <f t="shared" si="1"/>
        <v>0</v>
      </c>
      <c r="Q26" s="155"/>
      <c r="R26" s="117"/>
      <c r="T26" s="137"/>
    </row>
    <row r="27" spans="1:20" ht="12.75" customHeight="1">
      <c r="A27" s="110"/>
      <c r="B27" s="133" t="s">
        <v>72</v>
      </c>
      <c r="C27" s="192">
        <f>525917+203561</f>
        <v>729478</v>
      </c>
      <c r="D27" s="32">
        <f>40093-5000</f>
        <v>35093</v>
      </c>
      <c r="E27" s="32">
        <f>40093-5000</f>
        <v>35093</v>
      </c>
      <c r="F27" s="32">
        <v>40093</v>
      </c>
      <c r="G27" s="32">
        <v>40093</v>
      </c>
      <c r="H27" s="32">
        <f>40093+3400</f>
        <v>43493</v>
      </c>
      <c r="I27" s="32">
        <f>40093+45236</f>
        <v>85329</v>
      </c>
      <c r="J27" s="32">
        <f>40093+35621</f>
        <v>75714</v>
      </c>
      <c r="K27" s="32">
        <f>40093+14796+25631</f>
        <v>80520</v>
      </c>
      <c r="L27" s="32">
        <f>40093+10000+21321</f>
        <v>71414</v>
      </c>
      <c r="M27" s="32">
        <f>40093-3395+10000+24123</f>
        <v>70821</v>
      </c>
      <c r="N27" s="32">
        <f>40093+10000+21652</f>
        <v>71745</v>
      </c>
      <c r="O27" s="32">
        <f>40093+10000+29977</f>
        <v>80070</v>
      </c>
      <c r="P27" s="19">
        <f t="shared" si="1"/>
        <v>729478</v>
      </c>
      <c r="Q27" s="155"/>
      <c r="R27" s="117">
        <f t="shared" si="2"/>
        <v>0</v>
      </c>
      <c r="T27" s="137"/>
    </row>
    <row r="28" spans="1:20" ht="12.75" customHeight="1">
      <c r="A28" s="110"/>
      <c r="B28" s="133" t="s">
        <v>73</v>
      </c>
      <c r="C28" s="192">
        <v>48211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12">
        <v>48211</v>
      </c>
      <c r="P28" s="19">
        <f t="shared" si="1"/>
        <v>48211</v>
      </c>
      <c r="Q28" s="155"/>
      <c r="R28" s="117">
        <f t="shared" si="2"/>
        <v>0</v>
      </c>
      <c r="T28" s="137"/>
    </row>
    <row r="29" spans="1:20" ht="12.75" customHeight="1">
      <c r="A29" s="110"/>
      <c r="B29" s="133" t="s">
        <v>74</v>
      </c>
      <c r="C29" s="192">
        <f>345271-48211</f>
        <v>297060</v>
      </c>
      <c r="D29" s="32"/>
      <c r="E29" s="32">
        <f>34539-22345</f>
        <v>12194</v>
      </c>
      <c r="F29" s="32">
        <f>34539+20000-48564</f>
        <v>5975</v>
      </c>
      <c r="G29" s="32">
        <f>34539+15000-47658</f>
        <v>1881</v>
      </c>
      <c r="H29" s="32">
        <f>34539-24598</f>
        <v>9941</v>
      </c>
      <c r="I29" s="32">
        <f>50000+34539+10000-50356-42564</f>
        <v>1619</v>
      </c>
      <c r="J29" s="32">
        <f>34539-28654</f>
        <v>5885</v>
      </c>
      <c r="K29" s="32">
        <f>34539-27954</f>
        <v>6585</v>
      </c>
      <c r="L29" s="32">
        <f>34539-22126</f>
        <v>12413</v>
      </c>
      <c r="M29" s="32">
        <f>34539+100000-100000</f>
        <v>34539</v>
      </c>
      <c r="N29" s="32">
        <f>34539+100500-100500</f>
        <v>34539</v>
      </c>
      <c r="O29" s="112">
        <f>297060-125571</f>
        <v>171489</v>
      </c>
      <c r="P29" s="19">
        <f t="shared" si="1"/>
        <v>297060</v>
      </c>
      <c r="Q29" s="155"/>
      <c r="R29" s="117">
        <f t="shared" si="2"/>
        <v>0</v>
      </c>
      <c r="T29" s="137"/>
    </row>
    <row r="30" spans="1:20" ht="15" customHeight="1">
      <c r="A30" s="33" t="s">
        <v>17</v>
      </c>
      <c r="B30" s="34" t="s">
        <v>79</v>
      </c>
      <c r="C30" s="19">
        <f aca="true" t="shared" si="4" ref="C30:O30">SUM(C31:C33)</f>
        <v>5388096</v>
      </c>
      <c r="D30" s="19">
        <f>SUM(D31:D33)</f>
        <v>206281.25</v>
      </c>
      <c r="E30" s="19">
        <f t="shared" si="4"/>
        <v>158497.25</v>
      </c>
      <c r="F30" s="19">
        <f t="shared" si="4"/>
        <v>186494.25</v>
      </c>
      <c r="G30" s="19">
        <f t="shared" si="4"/>
        <v>167972.25</v>
      </c>
      <c r="H30" s="19">
        <f t="shared" si="4"/>
        <v>139218</v>
      </c>
      <c r="I30" s="19">
        <f t="shared" si="4"/>
        <v>209818</v>
      </c>
      <c r="J30" s="19">
        <f t="shared" si="4"/>
        <v>454438</v>
      </c>
      <c r="K30" s="19">
        <f t="shared" si="4"/>
        <v>358430</v>
      </c>
      <c r="L30" s="19">
        <f t="shared" si="4"/>
        <v>688881</v>
      </c>
      <c r="M30" s="19">
        <f t="shared" si="4"/>
        <v>290195</v>
      </c>
      <c r="N30" s="19">
        <f t="shared" si="4"/>
        <v>183552</v>
      </c>
      <c r="O30" s="19">
        <f t="shared" si="4"/>
        <v>2344319</v>
      </c>
      <c r="P30" s="19">
        <f>SUM(D30:O30)</f>
        <v>5388096</v>
      </c>
      <c r="R30" s="117">
        <f t="shared" si="2"/>
        <v>0</v>
      </c>
      <c r="T30" s="137"/>
    </row>
    <row r="31" spans="1:20" ht="15" customHeight="1">
      <c r="A31" s="29"/>
      <c r="B31" s="45" t="s">
        <v>69</v>
      </c>
      <c r="C31" s="147">
        <v>1661959</v>
      </c>
      <c r="D31" s="147">
        <f>314961/4+1092+120000+1000</f>
        <v>200832.25</v>
      </c>
      <c r="E31" s="147">
        <f>314961/4+1092+11276+1000</f>
        <v>92108.25</v>
      </c>
      <c r="F31" s="147">
        <f>314961/4+1092+11000+1000</f>
        <v>91832.25</v>
      </c>
      <c r="G31" s="147">
        <f>314961/4+1092+12000+1000</f>
        <v>92832.25</v>
      </c>
      <c r="H31" s="147">
        <f>1092+12000+1000</f>
        <v>14092</v>
      </c>
      <c r="I31" s="147">
        <f>1092+1000+3000+75121</f>
        <v>80213</v>
      </c>
      <c r="J31" s="147">
        <f>1092+1000+2000+25256+300000</f>
        <v>329348</v>
      </c>
      <c r="K31" s="147">
        <f>1092+1000+5000+15032+200000</f>
        <v>222124</v>
      </c>
      <c r="L31" s="147">
        <f>1092+1000+3000+124+214300+150000</f>
        <v>369516</v>
      </c>
      <c r="M31" s="147">
        <f>1092+1000+7000+147+50000</f>
        <v>59239</v>
      </c>
      <c r="N31" s="147">
        <f>1092+1000+1000+1896+37650</f>
        <v>42638</v>
      </c>
      <c r="O31" s="147">
        <f>1092+1000+15092+50000</f>
        <v>67184</v>
      </c>
      <c r="P31" s="19">
        <f t="shared" si="1"/>
        <v>1661959</v>
      </c>
      <c r="R31" s="117">
        <f>SUM(C31-P31)</f>
        <v>0</v>
      </c>
      <c r="T31" s="137"/>
    </row>
    <row r="32" spans="1:20" ht="15" customHeight="1">
      <c r="A32" s="29"/>
      <c r="B32" s="45" t="s">
        <v>70</v>
      </c>
      <c r="C32" s="147">
        <v>692302</v>
      </c>
      <c r="D32" s="147">
        <f>3782+1667</f>
        <v>5449</v>
      </c>
      <c r="E32" s="147">
        <f>3497+8000+1667</f>
        <v>13164</v>
      </c>
      <c r="F32" s="147">
        <f>3495+1667</f>
        <v>5162</v>
      </c>
      <c r="G32" s="147">
        <f>3473+1667</f>
        <v>5140</v>
      </c>
      <c r="H32" s="147">
        <f>3459+1667+40000</f>
        <v>45126</v>
      </c>
      <c r="I32" s="147">
        <f>3438+1667+40000</f>
        <v>45105</v>
      </c>
      <c r="J32" s="147">
        <f>3423+1667+40000</f>
        <v>45090</v>
      </c>
      <c r="K32" s="147">
        <f>3405+1667+40000</f>
        <v>45072</v>
      </c>
      <c r="L32" s="147">
        <f>3387+1667-1+40000+86000+90000</f>
        <v>221053</v>
      </c>
      <c r="M32" s="147">
        <f>3086+1667-1+43644+91235</f>
        <v>139631</v>
      </c>
      <c r="N32" s="147">
        <f>1666+62142</f>
        <v>63808</v>
      </c>
      <c r="O32" s="147">
        <f>1666+56836</f>
        <v>58502</v>
      </c>
      <c r="P32" s="19">
        <f t="shared" si="1"/>
        <v>692302</v>
      </c>
      <c r="R32" s="117">
        <f t="shared" si="2"/>
        <v>0</v>
      </c>
      <c r="T32" s="137"/>
    </row>
    <row r="33" spans="1:20" ht="15" customHeight="1">
      <c r="A33" s="29"/>
      <c r="B33" s="45" t="s">
        <v>53</v>
      </c>
      <c r="C33" s="147">
        <f>SUM(C34:C37)</f>
        <v>3033835</v>
      </c>
      <c r="D33" s="147">
        <f aca="true" t="shared" si="5" ref="D33:N33">SUM(D34:D37)</f>
        <v>0</v>
      </c>
      <c r="E33" s="147">
        <f t="shared" si="5"/>
        <v>53225</v>
      </c>
      <c r="F33" s="147">
        <f t="shared" si="5"/>
        <v>89500</v>
      </c>
      <c r="G33" s="147">
        <f t="shared" si="5"/>
        <v>70000</v>
      </c>
      <c r="H33" s="147">
        <f t="shared" si="5"/>
        <v>80000</v>
      </c>
      <c r="I33" s="147">
        <f t="shared" si="5"/>
        <v>84500</v>
      </c>
      <c r="J33" s="147">
        <f t="shared" si="5"/>
        <v>80000</v>
      </c>
      <c r="K33" s="147">
        <f t="shared" si="5"/>
        <v>91234</v>
      </c>
      <c r="L33" s="147">
        <f t="shared" si="5"/>
        <v>98312</v>
      </c>
      <c r="M33" s="147">
        <f t="shared" si="5"/>
        <v>91325</v>
      </c>
      <c r="N33" s="147">
        <f t="shared" si="5"/>
        <v>77106</v>
      </c>
      <c r="O33" s="147">
        <f>SUM(O34:O37)</f>
        <v>2218633</v>
      </c>
      <c r="P33" s="19">
        <f t="shared" si="1"/>
        <v>3033835</v>
      </c>
      <c r="R33" s="117">
        <f t="shared" si="2"/>
        <v>0</v>
      </c>
      <c r="T33" s="137"/>
    </row>
    <row r="34" spans="1:20" ht="15" customHeight="1">
      <c r="A34" s="33"/>
      <c r="B34" s="34" t="s">
        <v>75</v>
      </c>
      <c r="C34" s="147">
        <v>18000</v>
      </c>
      <c r="D34" s="147"/>
      <c r="E34" s="147">
        <v>1250</v>
      </c>
      <c r="F34" s="147">
        <v>4500</v>
      </c>
      <c r="G34" s="147"/>
      <c r="H34" s="147"/>
      <c r="I34" s="147">
        <v>4500</v>
      </c>
      <c r="J34" s="147"/>
      <c r="K34" s="147"/>
      <c r="L34" s="147">
        <v>3000</v>
      </c>
      <c r="M34" s="147"/>
      <c r="N34" s="147">
        <v>4750</v>
      </c>
      <c r="O34" s="147"/>
      <c r="P34" s="19">
        <f t="shared" si="1"/>
        <v>18000</v>
      </c>
      <c r="Q34" s="155"/>
      <c r="R34" s="117">
        <f t="shared" si="2"/>
        <v>0</v>
      </c>
      <c r="T34" s="137"/>
    </row>
    <row r="35" spans="1:20" ht="15" customHeight="1">
      <c r="A35" s="29"/>
      <c r="B35" s="45" t="s">
        <v>76</v>
      </c>
      <c r="C35" s="147">
        <f>778725+100408</f>
        <v>879133</v>
      </c>
      <c r="D35" s="147"/>
      <c r="E35" s="147">
        <f>15000+36975</f>
        <v>51975</v>
      </c>
      <c r="F35" s="147">
        <f>20000+29750-4750+40000</f>
        <v>85000</v>
      </c>
      <c r="G35" s="147">
        <f>30000+40000</f>
        <v>70000</v>
      </c>
      <c r="H35" s="147">
        <f>40000+40000</f>
        <v>80000</v>
      </c>
      <c r="I35" s="147">
        <f>40000+40000</f>
        <v>80000</v>
      </c>
      <c r="J35" s="147">
        <f>40000+40000</f>
        <v>80000</v>
      </c>
      <c r="K35" s="147">
        <f>30000+40000+21234</f>
        <v>91234</v>
      </c>
      <c r="L35" s="147">
        <f>30000+40000+25312</f>
        <v>95312</v>
      </c>
      <c r="M35" s="147">
        <f>30000+40000+21325</f>
        <v>91325</v>
      </c>
      <c r="N35" s="147">
        <f>20000+40000+12356</f>
        <v>72356</v>
      </c>
      <c r="O35" s="147">
        <f>24750-3000+40000+20181</f>
        <v>81931</v>
      </c>
      <c r="P35" s="19">
        <f t="shared" si="1"/>
        <v>879133</v>
      </c>
      <c r="Q35" s="155"/>
      <c r="R35" s="117">
        <f t="shared" si="2"/>
        <v>0</v>
      </c>
      <c r="T35" s="137"/>
    </row>
    <row r="36" spans="1:20" ht="15" customHeight="1">
      <c r="A36" s="29"/>
      <c r="B36" s="45" t="s">
        <v>89</v>
      </c>
      <c r="C36" s="147">
        <v>0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9">
        <f t="shared" si="1"/>
        <v>0</v>
      </c>
      <c r="Q36" s="155"/>
      <c r="R36" s="117">
        <f t="shared" si="2"/>
        <v>0</v>
      </c>
      <c r="T36" s="137"/>
    </row>
    <row r="37" spans="1:20" ht="15" customHeight="1">
      <c r="A37" s="29"/>
      <c r="B37" s="45" t="s">
        <v>77</v>
      </c>
      <c r="C37" s="147">
        <v>2136702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>
        <v>2136702</v>
      </c>
      <c r="P37" s="19">
        <f>SUM(D37:O37)</f>
        <v>2136702</v>
      </c>
      <c r="Q37" s="155"/>
      <c r="R37" s="117">
        <f t="shared" si="2"/>
        <v>0</v>
      </c>
      <c r="T37" s="137"/>
    </row>
    <row r="38" spans="1:20" ht="15" customHeight="1">
      <c r="A38" s="110"/>
      <c r="B38" s="111" t="s">
        <v>80</v>
      </c>
      <c r="C38" s="31">
        <f>SUM(C17,C30)</f>
        <v>20659211</v>
      </c>
      <c r="D38" s="31">
        <f>SUM(D17,D30)</f>
        <v>1401891.3766666667</v>
      </c>
      <c r="E38" s="31">
        <f aca="true" t="shared" si="6" ref="E38:N38">SUM(E17,E30)</f>
        <v>1323303.75</v>
      </c>
      <c r="F38" s="31">
        <f t="shared" si="6"/>
        <v>1352347.75</v>
      </c>
      <c r="G38" s="31">
        <f t="shared" si="6"/>
        <v>1349635.01</v>
      </c>
      <c r="H38" s="31">
        <f t="shared" si="6"/>
        <v>1305252.79</v>
      </c>
      <c r="I38" s="31">
        <f t="shared" si="6"/>
        <v>1412741.5</v>
      </c>
      <c r="J38" s="31">
        <f t="shared" si="6"/>
        <v>1709157.3</v>
      </c>
      <c r="K38" s="31">
        <f t="shared" si="6"/>
        <v>1599668.5</v>
      </c>
      <c r="L38" s="31">
        <f t="shared" si="6"/>
        <v>1955959.8599999999</v>
      </c>
      <c r="M38" s="31">
        <f t="shared" si="6"/>
        <v>1558828.37</v>
      </c>
      <c r="N38" s="31">
        <f t="shared" si="6"/>
        <v>1614349.4</v>
      </c>
      <c r="O38" s="31">
        <f>SUM(O17,O30)</f>
        <v>4076075.79</v>
      </c>
      <c r="P38" s="19">
        <f>SUM(D38:O38)</f>
        <v>20659211.39666667</v>
      </c>
      <c r="R38" s="117">
        <f t="shared" si="2"/>
        <v>-0.39666666835546494</v>
      </c>
      <c r="T38" s="137"/>
    </row>
    <row r="39" spans="1:20" ht="15" customHeight="1">
      <c r="A39" s="33"/>
      <c r="B39" s="34" t="s">
        <v>81</v>
      </c>
      <c r="C39" s="147">
        <v>4596560</v>
      </c>
      <c r="D39" s="99">
        <f>381628-15000</f>
        <v>366628</v>
      </c>
      <c r="E39" s="99">
        <v>383470</v>
      </c>
      <c r="F39" s="99">
        <v>381628</v>
      </c>
      <c r="G39" s="99">
        <f>381628-15000</f>
        <v>366628</v>
      </c>
      <c r="H39" s="99">
        <f>381628+4000</f>
        <v>385628</v>
      </c>
      <c r="I39" s="99">
        <f>381628+4000</f>
        <v>385628</v>
      </c>
      <c r="J39" s="99">
        <f>381628+4000+12553-10000</f>
        <v>388181</v>
      </c>
      <c r="K39" s="99">
        <f>381628-15000+12000+4249+5000</f>
        <v>387877</v>
      </c>
      <c r="L39" s="99">
        <f>381628+5000</f>
        <v>386628</v>
      </c>
      <c r="M39" s="99">
        <f>381628+5856</f>
        <v>387484</v>
      </c>
      <c r="N39" s="99">
        <f>381628+5000</f>
        <v>386628</v>
      </c>
      <c r="O39" s="99">
        <f>381630+3522+5000</f>
        <v>390152</v>
      </c>
      <c r="P39" s="19">
        <f t="shared" si="1"/>
        <v>4596560</v>
      </c>
      <c r="R39" s="117">
        <f t="shared" si="2"/>
        <v>0</v>
      </c>
      <c r="T39" s="137"/>
    </row>
    <row r="40" spans="1:23" ht="15" customHeight="1">
      <c r="A40" s="33" t="s">
        <v>18</v>
      </c>
      <c r="B40" s="34" t="s">
        <v>82</v>
      </c>
      <c r="C40" s="19">
        <f>SUM(C39)</f>
        <v>4596560</v>
      </c>
      <c r="D40" s="19">
        <f aca="true" t="shared" si="7" ref="D40:N40">SUM(D39)</f>
        <v>366628</v>
      </c>
      <c r="E40" s="19">
        <f t="shared" si="7"/>
        <v>383470</v>
      </c>
      <c r="F40" s="19">
        <f t="shared" si="7"/>
        <v>381628</v>
      </c>
      <c r="G40" s="19">
        <f t="shared" si="7"/>
        <v>366628</v>
      </c>
      <c r="H40" s="19">
        <f t="shared" si="7"/>
        <v>385628</v>
      </c>
      <c r="I40" s="19">
        <f t="shared" si="7"/>
        <v>385628</v>
      </c>
      <c r="J40" s="19">
        <f t="shared" si="7"/>
        <v>388181</v>
      </c>
      <c r="K40" s="19">
        <f t="shared" si="7"/>
        <v>387877</v>
      </c>
      <c r="L40" s="19">
        <f t="shared" si="7"/>
        <v>386628</v>
      </c>
      <c r="M40" s="19">
        <f t="shared" si="7"/>
        <v>387484</v>
      </c>
      <c r="N40" s="19">
        <f t="shared" si="7"/>
        <v>386628</v>
      </c>
      <c r="O40" s="19">
        <f>SUM(O39)</f>
        <v>390152</v>
      </c>
      <c r="P40" s="19">
        <f t="shared" si="1"/>
        <v>4596560</v>
      </c>
      <c r="R40" s="117">
        <f t="shared" si="2"/>
        <v>0</v>
      </c>
      <c r="T40" s="137"/>
      <c r="W40" s="137"/>
    </row>
    <row r="41" spans="1:20" ht="15" customHeight="1">
      <c r="A41" s="33"/>
      <c r="B41" s="146" t="s">
        <v>83</v>
      </c>
      <c r="C41" s="19">
        <v>0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9">
        <f t="shared" si="1"/>
        <v>0</v>
      </c>
      <c r="R41" s="117">
        <f t="shared" si="2"/>
        <v>0</v>
      </c>
      <c r="T41" s="137"/>
    </row>
    <row r="42" spans="1:20" ht="15" customHeight="1">
      <c r="A42" s="36"/>
      <c r="B42" s="154" t="s">
        <v>84</v>
      </c>
      <c r="C42" s="192">
        <v>129653</v>
      </c>
      <c r="D42" s="106"/>
      <c r="E42" s="106"/>
      <c r="F42" s="106"/>
      <c r="G42" s="106">
        <v>15000</v>
      </c>
      <c r="H42" s="106">
        <v>9288</v>
      </c>
      <c r="I42" s="106">
        <f>15000+474</f>
        <v>15474</v>
      </c>
      <c r="J42" s="106"/>
      <c r="K42" s="106">
        <f>20000+11710</f>
        <v>31710</v>
      </c>
      <c r="L42" s="106">
        <v>6900</v>
      </c>
      <c r="M42" s="106">
        <v>20000</v>
      </c>
      <c r="N42" s="106">
        <v>12201</v>
      </c>
      <c r="O42" s="106">
        <v>19080</v>
      </c>
      <c r="P42" s="19">
        <f t="shared" si="1"/>
        <v>129653</v>
      </c>
      <c r="R42" s="117">
        <f t="shared" si="2"/>
        <v>0</v>
      </c>
      <c r="T42" s="137"/>
    </row>
    <row r="43" spans="1:20" ht="15" customHeight="1">
      <c r="A43" s="36" t="s">
        <v>19</v>
      </c>
      <c r="B43" s="41" t="s">
        <v>85</v>
      </c>
      <c r="C43" s="31">
        <f>SUM(C41:C42)</f>
        <v>129653</v>
      </c>
      <c r="D43" s="31">
        <f>SUM(D41:D42)</f>
        <v>0</v>
      </c>
      <c r="E43" s="31">
        <f aca="true" t="shared" si="8" ref="E43:O43">SUM(E41:E42)</f>
        <v>0</v>
      </c>
      <c r="F43" s="31">
        <f t="shared" si="8"/>
        <v>0</v>
      </c>
      <c r="G43" s="31">
        <f t="shared" si="8"/>
        <v>15000</v>
      </c>
      <c r="H43" s="31">
        <f t="shared" si="8"/>
        <v>9288</v>
      </c>
      <c r="I43" s="31">
        <f t="shared" si="8"/>
        <v>15474</v>
      </c>
      <c r="J43" s="31">
        <f t="shared" si="8"/>
        <v>0</v>
      </c>
      <c r="K43" s="31">
        <f t="shared" si="8"/>
        <v>31710</v>
      </c>
      <c r="L43" s="31">
        <f t="shared" si="8"/>
        <v>6900</v>
      </c>
      <c r="M43" s="31">
        <f t="shared" si="8"/>
        <v>20000</v>
      </c>
      <c r="N43" s="31">
        <f t="shared" si="8"/>
        <v>12201</v>
      </c>
      <c r="O43" s="31">
        <f t="shared" si="8"/>
        <v>19080</v>
      </c>
      <c r="P43" s="19">
        <f>SUM(D43:O43)</f>
        <v>129653</v>
      </c>
      <c r="R43" s="117">
        <f>SUM(C43-P43)</f>
        <v>0</v>
      </c>
      <c r="T43" s="137"/>
    </row>
    <row r="44" spans="1:21" s="150" customFormat="1" ht="15" customHeight="1">
      <c r="A44" s="145"/>
      <c r="B44" s="146" t="s">
        <v>92</v>
      </c>
      <c r="C44" s="153">
        <v>0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9">
        <f>SUM(D44:O44)</f>
        <v>0</v>
      </c>
      <c r="Q44" s="152"/>
      <c r="R44" s="117">
        <f>SUM(C44-P44)</f>
        <v>0</v>
      </c>
      <c r="S44" s="149"/>
      <c r="T44" s="148"/>
      <c r="U44" s="149"/>
    </row>
    <row r="45" spans="1:20" ht="15" customHeight="1" thickBot="1">
      <c r="A45" s="46" t="s">
        <v>90</v>
      </c>
      <c r="B45" s="53" t="s">
        <v>91</v>
      </c>
      <c r="C45" s="47">
        <f>+C40+C43+C44</f>
        <v>4726213</v>
      </c>
      <c r="D45" s="47">
        <f>+D39+D42+D44</f>
        <v>366628</v>
      </c>
      <c r="E45" s="47">
        <f aca="true" t="shared" si="9" ref="E45:O45">+E39+E42+E44</f>
        <v>383470</v>
      </c>
      <c r="F45" s="47">
        <f t="shared" si="9"/>
        <v>381628</v>
      </c>
      <c r="G45" s="47">
        <f t="shared" si="9"/>
        <v>381628</v>
      </c>
      <c r="H45" s="47">
        <f t="shared" si="9"/>
        <v>394916</v>
      </c>
      <c r="I45" s="47">
        <f t="shared" si="9"/>
        <v>401102</v>
      </c>
      <c r="J45" s="47">
        <f t="shared" si="9"/>
        <v>388181</v>
      </c>
      <c r="K45" s="47">
        <f>+K39+K42+K44</f>
        <v>419587</v>
      </c>
      <c r="L45" s="47">
        <f t="shared" si="9"/>
        <v>393528</v>
      </c>
      <c r="M45" s="47">
        <f t="shared" si="9"/>
        <v>407484</v>
      </c>
      <c r="N45" s="47">
        <f t="shared" si="9"/>
        <v>398829</v>
      </c>
      <c r="O45" s="47">
        <f t="shared" si="9"/>
        <v>409232</v>
      </c>
      <c r="P45" s="47">
        <f>SUM(D45:O45)</f>
        <v>4726213</v>
      </c>
      <c r="R45" s="117">
        <f>SUM(C45-P45)</f>
        <v>0</v>
      </c>
      <c r="T45" s="137"/>
    </row>
    <row r="46" spans="1:20" ht="15" customHeight="1" thickBot="1">
      <c r="A46" s="196" t="s">
        <v>20</v>
      </c>
      <c r="B46" s="197"/>
      <c r="C46" s="35">
        <f>SUM(C38,C40,C43)+C44</f>
        <v>25385424</v>
      </c>
      <c r="D46" s="35">
        <f>SUM(D38,D40,D43)+1+D44</f>
        <v>1768520.3766666667</v>
      </c>
      <c r="E46" s="35">
        <f aca="true" t="shared" si="10" ref="E46:N46">SUM(E38,E40,E43)+1+E44</f>
        <v>1706774.75</v>
      </c>
      <c r="F46" s="35">
        <f t="shared" si="10"/>
        <v>1733976.75</v>
      </c>
      <c r="G46" s="35">
        <f t="shared" si="10"/>
        <v>1731264.01</v>
      </c>
      <c r="H46" s="35">
        <f t="shared" si="10"/>
        <v>1700169.79</v>
      </c>
      <c r="I46" s="35">
        <f t="shared" si="10"/>
        <v>1813844.5</v>
      </c>
      <c r="J46" s="35">
        <f t="shared" si="10"/>
        <v>2097339.3</v>
      </c>
      <c r="K46" s="35">
        <f t="shared" si="10"/>
        <v>2019256.5</v>
      </c>
      <c r="L46" s="35">
        <f t="shared" si="10"/>
        <v>2349488.86</v>
      </c>
      <c r="M46" s="35">
        <f t="shared" si="10"/>
        <v>1966313.37</v>
      </c>
      <c r="N46" s="35">
        <f t="shared" si="10"/>
        <v>2013179.4</v>
      </c>
      <c r="O46" s="35">
        <f>SUM(O38,O40,O43)+O44</f>
        <v>4485307.79</v>
      </c>
      <c r="P46" s="35">
        <f>SUM(P38,P40,P43)+P44</f>
        <v>25385424.39666667</v>
      </c>
      <c r="R46" s="117">
        <f>SUM(C46-P46)</f>
        <v>-0.39666666835546494</v>
      </c>
      <c r="T46" s="137"/>
    </row>
    <row r="47" spans="1:21" s="16" customFormat="1" ht="15" customHeight="1">
      <c r="A47" s="78"/>
      <c r="B47" s="134" t="s">
        <v>50</v>
      </c>
      <c r="C47" s="55">
        <v>-4596560</v>
      </c>
      <c r="D47" s="55">
        <f aca="true" t="shared" si="11" ref="D47:O47">-SUM(D39)</f>
        <v>-366628</v>
      </c>
      <c r="E47" s="55">
        <f t="shared" si="11"/>
        <v>-383470</v>
      </c>
      <c r="F47" s="55">
        <f t="shared" si="11"/>
        <v>-381628</v>
      </c>
      <c r="G47" s="55">
        <f t="shared" si="11"/>
        <v>-366628</v>
      </c>
      <c r="H47" s="55">
        <f t="shared" si="11"/>
        <v>-385628</v>
      </c>
      <c r="I47" s="55">
        <f t="shared" si="11"/>
        <v>-385628</v>
      </c>
      <c r="J47" s="55">
        <f t="shared" si="11"/>
        <v>-388181</v>
      </c>
      <c r="K47" s="55">
        <f t="shared" si="11"/>
        <v>-387877</v>
      </c>
      <c r="L47" s="55">
        <f t="shared" si="11"/>
        <v>-386628</v>
      </c>
      <c r="M47" s="55">
        <f t="shared" si="11"/>
        <v>-387484</v>
      </c>
      <c r="N47" s="55">
        <f t="shared" si="11"/>
        <v>-386628</v>
      </c>
      <c r="O47" s="55">
        <f t="shared" si="11"/>
        <v>-390152</v>
      </c>
      <c r="P47" s="114">
        <f t="shared" si="1"/>
        <v>-4596560</v>
      </c>
      <c r="Q47" s="138"/>
      <c r="R47" s="117">
        <f>SUM(C47-P47)</f>
        <v>0</v>
      </c>
      <c r="S47" s="58"/>
      <c r="T47" s="137"/>
      <c r="U47" s="58"/>
    </row>
    <row r="48" spans="1:21" s="16" customFormat="1" ht="15" customHeight="1">
      <c r="A48" s="79"/>
      <c r="B48" s="135" t="s">
        <v>51</v>
      </c>
      <c r="C48" s="56">
        <v>-129653</v>
      </c>
      <c r="D48" s="56">
        <f aca="true" t="shared" si="12" ref="D48:O48">-SUM(D42)</f>
        <v>0</v>
      </c>
      <c r="E48" s="56">
        <f t="shared" si="12"/>
        <v>0</v>
      </c>
      <c r="F48" s="56">
        <f t="shared" si="12"/>
        <v>0</v>
      </c>
      <c r="G48" s="56">
        <f t="shared" si="12"/>
        <v>-15000</v>
      </c>
      <c r="H48" s="56">
        <f t="shared" si="12"/>
        <v>-9288</v>
      </c>
      <c r="I48" s="56">
        <f t="shared" si="12"/>
        <v>-15474</v>
      </c>
      <c r="J48" s="56">
        <f t="shared" si="12"/>
        <v>0</v>
      </c>
      <c r="K48" s="56">
        <f t="shared" si="12"/>
        <v>-31710</v>
      </c>
      <c r="L48" s="56">
        <f t="shared" si="12"/>
        <v>-6900</v>
      </c>
      <c r="M48" s="56">
        <f t="shared" si="12"/>
        <v>-20000</v>
      </c>
      <c r="N48" s="56">
        <f>-SUM(N42)</f>
        <v>-12201</v>
      </c>
      <c r="O48" s="56">
        <f t="shared" si="12"/>
        <v>-19080</v>
      </c>
      <c r="P48" s="116">
        <f t="shared" si="1"/>
        <v>-129653</v>
      </c>
      <c r="Q48" s="138"/>
      <c r="R48" s="117">
        <f t="shared" si="2"/>
        <v>0</v>
      </c>
      <c r="S48" s="58"/>
      <c r="T48" s="137"/>
      <c r="U48" s="58"/>
    </row>
    <row r="49" spans="1:21" s="16" customFormat="1" ht="15" customHeight="1" thickBot="1">
      <c r="A49" s="54"/>
      <c r="B49" s="136" t="s">
        <v>54</v>
      </c>
      <c r="C49" s="57">
        <v>-355000</v>
      </c>
      <c r="D49" s="163">
        <v>-29583</v>
      </c>
      <c r="E49" s="80">
        <v>-29583</v>
      </c>
      <c r="F49" s="80">
        <v>-29583</v>
      </c>
      <c r="G49" s="80">
        <v>-29583</v>
      </c>
      <c r="H49" s="80">
        <v>-29583</v>
      </c>
      <c r="I49" s="80">
        <v>-29583</v>
      </c>
      <c r="J49" s="80">
        <v>-29583</v>
      </c>
      <c r="K49" s="80">
        <v>-29583</v>
      </c>
      <c r="L49" s="80">
        <v>-29583</v>
      </c>
      <c r="M49" s="80">
        <v>-29583</v>
      </c>
      <c r="N49" s="80">
        <v>-29583</v>
      </c>
      <c r="O49" s="80">
        <v>-29587</v>
      </c>
      <c r="P49" s="115">
        <f>SUM(D49:O49)</f>
        <v>-355000</v>
      </c>
      <c r="Q49" s="138"/>
      <c r="R49" s="117">
        <f t="shared" si="2"/>
        <v>0</v>
      </c>
      <c r="S49" s="58"/>
      <c r="T49" s="137"/>
      <c r="U49" s="58"/>
    </row>
    <row r="50" spans="1:20" ht="15" customHeight="1" thickBot="1">
      <c r="A50" s="201" t="s">
        <v>21</v>
      </c>
      <c r="B50" s="202"/>
      <c r="C50" s="35">
        <f>SUM(C46:C49)</f>
        <v>20304211</v>
      </c>
      <c r="D50" s="35">
        <f aca="true" t="shared" si="13" ref="D50:N50">SUM(D46:D49)-1</f>
        <v>1372308.3766666667</v>
      </c>
      <c r="E50" s="35">
        <f t="shared" si="13"/>
        <v>1293720.75</v>
      </c>
      <c r="F50" s="35">
        <f t="shared" si="13"/>
        <v>1322764.75</v>
      </c>
      <c r="G50" s="35">
        <f t="shared" si="13"/>
        <v>1320052.01</v>
      </c>
      <c r="H50" s="35">
        <f t="shared" si="13"/>
        <v>1275669.79</v>
      </c>
      <c r="I50" s="35">
        <f t="shared" si="13"/>
        <v>1383158.5</v>
      </c>
      <c r="J50" s="35">
        <f t="shared" si="13"/>
        <v>1679574.2999999998</v>
      </c>
      <c r="K50" s="35">
        <f t="shared" si="13"/>
        <v>1570085.5</v>
      </c>
      <c r="L50" s="35">
        <f t="shared" si="13"/>
        <v>1926376.8599999999</v>
      </c>
      <c r="M50" s="35">
        <f t="shared" si="13"/>
        <v>1529245.37</v>
      </c>
      <c r="N50" s="35">
        <f t="shared" si="13"/>
        <v>1584766.4</v>
      </c>
      <c r="O50" s="35">
        <f>SUM(O46:O49)</f>
        <v>4046488.79</v>
      </c>
      <c r="P50" s="35">
        <f>SUM(D50:O50)</f>
        <v>20304211.39666667</v>
      </c>
      <c r="R50" s="117">
        <f>SUM(C50-P50)</f>
        <v>-0.39666666835546494</v>
      </c>
      <c r="T50" s="137"/>
    </row>
    <row r="51" ht="12.75">
      <c r="L51" s="28"/>
    </row>
    <row r="53" spans="3:15" ht="12.75">
      <c r="C53" s="2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</row>
    <row r="54" ht="12.75">
      <c r="C54" s="139"/>
    </row>
    <row r="55" spans="3:5" ht="12.75">
      <c r="C55" s="137">
        <f>SUM(C24:C29)</f>
        <v>1450069</v>
      </c>
      <c r="E55" s="22">
        <v>3033835</v>
      </c>
    </row>
    <row r="56" spans="3:5" ht="12.75">
      <c r="C56" s="139">
        <v>1450069</v>
      </c>
      <c r="E56" s="169">
        <f>+E55-C33</f>
        <v>0</v>
      </c>
    </row>
    <row r="57" ht="12.75">
      <c r="C57" s="137">
        <f>+C55-C56</f>
        <v>0</v>
      </c>
    </row>
    <row r="58" ht="12.75">
      <c r="C58" s="139"/>
    </row>
  </sheetData>
  <sheetProtection/>
  <mergeCells count="21">
    <mergeCell ref="A50:B50"/>
    <mergeCell ref="A8:P8"/>
    <mergeCell ref="A14:B15"/>
    <mergeCell ref="C14:C15"/>
    <mergeCell ref="D14:D15"/>
    <mergeCell ref="A46:B46"/>
    <mergeCell ref="E14:E15"/>
    <mergeCell ref="A16:B16"/>
    <mergeCell ref="O2:P2"/>
    <mergeCell ref="H14:H15"/>
    <mergeCell ref="M14:M15"/>
    <mergeCell ref="O14:O15"/>
    <mergeCell ref="P14:P15"/>
    <mergeCell ref="N14:N15"/>
    <mergeCell ref="F14:F15"/>
    <mergeCell ref="O7:P7"/>
    <mergeCell ref="G14:G15"/>
    <mergeCell ref="I14:I15"/>
    <mergeCell ref="J14:J15"/>
    <mergeCell ref="K14:K15"/>
    <mergeCell ref="L14:L15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Q12" sqref="Q12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7.75390625" style="6" customWidth="1"/>
    <col min="11" max="11" width="8.00390625" style="6" customWidth="1"/>
    <col min="12" max="15" width="7.875" style="6" customWidth="1"/>
    <col min="16" max="16" width="8.75390625" style="6" customWidth="1"/>
    <col min="17" max="19" width="9.125" style="140" customWidth="1"/>
    <col min="20" max="16384" width="9.125" style="2" customWidth="1"/>
  </cols>
  <sheetData>
    <row r="1" spans="1:16" ht="14.25" customHeight="1">
      <c r="A1" s="217" t="s">
        <v>97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8" t="s">
        <v>99</v>
      </c>
      <c r="O2" s="218"/>
      <c r="P2" s="218"/>
    </row>
    <row r="3" spans="14:16" ht="12.75" customHeight="1" thickBot="1">
      <c r="N3" s="219" t="s">
        <v>22</v>
      </c>
      <c r="O3" s="219"/>
      <c r="P3" s="219"/>
    </row>
    <row r="4" spans="2:16" ht="10.5" customHeight="1" thickBot="1">
      <c r="B4" s="2"/>
      <c r="D4" s="220" t="s">
        <v>23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7"/>
    </row>
    <row r="5" spans="1:19" s="8" customFormat="1" ht="8.25" customHeight="1" thickBot="1">
      <c r="A5" s="221" t="s">
        <v>1</v>
      </c>
      <c r="B5" s="222"/>
      <c r="C5" s="95" t="s">
        <v>98</v>
      </c>
      <c r="D5" s="225" t="s">
        <v>24</v>
      </c>
      <c r="E5" s="213" t="s">
        <v>25</v>
      </c>
      <c r="F5" s="213" t="s">
        <v>26</v>
      </c>
      <c r="G5" s="213" t="s">
        <v>27</v>
      </c>
      <c r="H5" s="213" t="s">
        <v>28</v>
      </c>
      <c r="I5" s="213" t="s">
        <v>29</v>
      </c>
      <c r="J5" s="213" t="s">
        <v>30</v>
      </c>
      <c r="K5" s="213" t="s">
        <v>67</v>
      </c>
      <c r="L5" s="213" t="s">
        <v>31</v>
      </c>
      <c r="M5" s="213" t="s">
        <v>32</v>
      </c>
      <c r="N5" s="213" t="s">
        <v>33</v>
      </c>
      <c r="O5" s="207" t="s">
        <v>34</v>
      </c>
      <c r="P5" s="209" t="s">
        <v>35</v>
      </c>
      <c r="Q5" s="141"/>
      <c r="R5" s="141"/>
      <c r="S5" s="141"/>
    </row>
    <row r="6" spans="1:19" s="8" customFormat="1" ht="8.25" customHeight="1">
      <c r="A6" s="223"/>
      <c r="B6" s="224"/>
      <c r="C6" s="96" t="s">
        <v>101</v>
      </c>
      <c r="D6" s="226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08"/>
      <c r="P6" s="210"/>
      <c r="Q6" s="141"/>
      <c r="R6" s="141"/>
      <c r="S6" s="141"/>
    </row>
    <row r="7" spans="1:19" s="12" customFormat="1" ht="13.5" thickBot="1">
      <c r="A7" s="211">
        <v>1</v>
      </c>
      <c r="B7" s="212"/>
      <c r="C7" s="97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30">
        <v>15</v>
      </c>
      <c r="Q7" s="142"/>
      <c r="R7" s="142"/>
      <c r="S7" s="142"/>
    </row>
    <row r="8" spans="1:19" s="14" customFormat="1" ht="12.75" customHeight="1">
      <c r="A8" s="65" t="s">
        <v>15</v>
      </c>
      <c r="B8" s="81" t="s">
        <v>43</v>
      </c>
      <c r="C8" s="99">
        <v>2278753</v>
      </c>
      <c r="D8" s="38">
        <v>185048</v>
      </c>
      <c r="E8" s="38">
        <v>185048</v>
      </c>
      <c r="F8" s="38">
        <v>185048</v>
      </c>
      <c r="G8" s="38">
        <v>185048</v>
      </c>
      <c r="H8" s="38">
        <v>185048</v>
      </c>
      <c r="I8" s="38">
        <f>185048+6785</f>
        <v>191833</v>
      </c>
      <c r="J8" s="38">
        <f>185048+6785</f>
        <v>191833</v>
      </c>
      <c r="K8" s="38">
        <f>185048+6784</f>
        <v>191832</v>
      </c>
      <c r="L8" s="38">
        <f>185048+1000+6784</f>
        <v>192832</v>
      </c>
      <c r="M8" s="38">
        <f>185048+3000+6784</f>
        <v>194832</v>
      </c>
      <c r="N8" s="38">
        <f>185048+3000+6784</f>
        <v>194832</v>
      </c>
      <c r="O8" s="121">
        <f>185043+3690+6786</f>
        <v>195519</v>
      </c>
      <c r="P8" s="98">
        <f>SUM(D8:O8)</f>
        <v>2278753</v>
      </c>
      <c r="Q8" s="143">
        <f>SUM(C8-P8)</f>
        <v>0</v>
      </c>
      <c r="R8" s="144"/>
      <c r="S8" s="144">
        <f>47492/7</f>
        <v>6784.571428571428</v>
      </c>
    </row>
    <row r="9" spans="1:19" s="39" customFormat="1" ht="12.75" customHeight="1">
      <c r="A9" s="66" t="s">
        <v>17</v>
      </c>
      <c r="B9" s="82" t="s">
        <v>44</v>
      </c>
      <c r="C9" s="99">
        <v>1404142</v>
      </c>
      <c r="D9" s="38">
        <v>116578</v>
      </c>
      <c r="E9" s="38">
        <v>116578</v>
      </c>
      <c r="F9" s="38">
        <v>116578</v>
      </c>
      <c r="G9" s="38">
        <v>116578</v>
      </c>
      <c r="H9" s="38">
        <v>116578</v>
      </c>
      <c r="I9" s="38">
        <f>116578+2172</f>
        <v>118750</v>
      </c>
      <c r="J9" s="38">
        <f>116578+1500</f>
        <v>118078</v>
      </c>
      <c r="K9" s="38">
        <f>116578+1500</f>
        <v>118078</v>
      </c>
      <c r="L9" s="38">
        <f>116578+10</f>
        <v>116588</v>
      </c>
      <c r="M9" s="38">
        <f>116578+10</f>
        <v>116588</v>
      </c>
      <c r="N9" s="38">
        <f>116578+11</f>
        <v>116589</v>
      </c>
      <c r="O9" s="38">
        <v>116581</v>
      </c>
      <c r="P9" s="99">
        <f>SUM(D9:O9)</f>
        <v>1404142</v>
      </c>
      <c r="Q9" s="143">
        <f aca="true" t="shared" si="0" ref="Q9:Q37">SUM(C9-P9)</f>
        <v>0</v>
      </c>
      <c r="R9" s="58"/>
      <c r="S9" s="58"/>
    </row>
    <row r="10" spans="1:19" s="39" customFormat="1" ht="12.75" customHeight="1">
      <c r="A10" s="67" t="s">
        <v>24</v>
      </c>
      <c r="B10" s="83" t="s">
        <v>55</v>
      </c>
      <c r="C10" s="100">
        <f>SUM(C8:C9)</f>
        <v>3682895</v>
      </c>
      <c r="D10" s="61">
        <f aca="true" t="shared" si="1" ref="D10:P10">SUM(D8:D9)</f>
        <v>301626</v>
      </c>
      <c r="E10" s="61">
        <f t="shared" si="1"/>
        <v>301626</v>
      </c>
      <c r="F10" s="61">
        <f t="shared" si="1"/>
        <v>301626</v>
      </c>
      <c r="G10" s="61">
        <f t="shared" si="1"/>
        <v>301626</v>
      </c>
      <c r="H10" s="61">
        <f t="shared" si="1"/>
        <v>301626</v>
      </c>
      <c r="I10" s="61">
        <f t="shared" si="1"/>
        <v>310583</v>
      </c>
      <c r="J10" s="61">
        <f t="shared" si="1"/>
        <v>309911</v>
      </c>
      <c r="K10" s="61">
        <f t="shared" si="1"/>
        <v>309910</v>
      </c>
      <c r="L10" s="61">
        <f t="shared" si="1"/>
        <v>309420</v>
      </c>
      <c r="M10" s="61">
        <f t="shared" si="1"/>
        <v>311420</v>
      </c>
      <c r="N10" s="61">
        <f t="shared" si="1"/>
        <v>311421</v>
      </c>
      <c r="O10" s="122">
        <f t="shared" si="1"/>
        <v>312100</v>
      </c>
      <c r="P10" s="100">
        <f t="shared" si="1"/>
        <v>3682895</v>
      </c>
      <c r="Q10" s="143">
        <f t="shared" si="0"/>
        <v>0</v>
      </c>
      <c r="R10" s="58"/>
      <c r="S10" s="58"/>
    </row>
    <row r="11" spans="1:19" s="16" customFormat="1" ht="12.75" customHeight="1">
      <c r="A11" s="66" t="s">
        <v>15</v>
      </c>
      <c r="B11" s="82" t="s">
        <v>36</v>
      </c>
      <c r="C11" s="99">
        <v>5037848</v>
      </c>
      <c r="D11" s="94">
        <v>18676</v>
      </c>
      <c r="E11" s="15">
        <v>192134</v>
      </c>
      <c r="F11" s="15">
        <v>990100</v>
      </c>
      <c r="G11" s="15">
        <v>673500</v>
      </c>
      <c r="H11" s="15">
        <v>222485</v>
      </c>
      <c r="I11" s="15">
        <v>221240</v>
      </c>
      <c r="J11" s="15">
        <v>176884</v>
      </c>
      <c r="K11" s="15">
        <v>210375</v>
      </c>
      <c r="L11" s="15">
        <v>1025799</v>
      </c>
      <c r="M11" s="15">
        <v>788654</v>
      </c>
      <c r="N11" s="15">
        <v>229399</v>
      </c>
      <c r="O11" s="123">
        <v>288602</v>
      </c>
      <c r="P11" s="101">
        <f>SUM(D11:O11)</f>
        <v>5037848</v>
      </c>
      <c r="Q11" s="143">
        <f t="shared" si="0"/>
        <v>0</v>
      </c>
      <c r="R11" s="58"/>
      <c r="S11" s="58"/>
    </row>
    <row r="12" spans="1:19" s="16" customFormat="1" ht="12.75" customHeight="1">
      <c r="A12" s="66" t="s">
        <v>17</v>
      </c>
      <c r="B12" s="82" t="s">
        <v>56</v>
      </c>
      <c r="C12" s="99">
        <v>275100</v>
      </c>
      <c r="D12" s="94">
        <f>12917+1250</f>
        <v>14167</v>
      </c>
      <c r="E12" s="15">
        <f>12917+1250+500</f>
        <v>14667</v>
      </c>
      <c r="F12" s="15">
        <f>12917+1250+5496</f>
        <v>19663</v>
      </c>
      <c r="G12" s="15">
        <f>12917+1250+13725</f>
        <v>27892</v>
      </c>
      <c r="H12" s="15">
        <f>12917+1250+300+13725</f>
        <v>28192</v>
      </c>
      <c r="I12" s="15">
        <f>12917+12250+500</f>
        <v>25667</v>
      </c>
      <c r="J12" s="15">
        <f>12917+11250+500</f>
        <v>24667</v>
      </c>
      <c r="K12" s="15">
        <f>12917+11250+500</f>
        <v>24667</v>
      </c>
      <c r="L12" s="15">
        <f>12917+1250+13725</f>
        <v>27892</v>
      </c>
      <c r="M12" s="15">
        <f>12917+1250+13725</f>
        <v>27892</v>
      </c>
      <c r="N12" s="15">
        <f>12917+1250+4500</f>
        <v>18667</v>
      </c>
      <c r="O12" s="123">
        <f>12917+1250+6900</f>
        <v>21067</v>
      </c>
      <c r="P12" s="101">
        <f>SUM(D12:O12)</f>
        <v>275100</v>
      </c>
      <c r="Q12" s="143">
        <f t="shared" si="0"/>
        <v>0</v>
      </c>
      <c r="R12" s="58"/>
      <c r="S12" s="58"/>
    </row>
    <row r="13" spans="1:19" s="16" customFormat="1" ht="12.75" customHeight="1">
      <c r="A13" s="68" t="s">
        <v>25</v>
      </c>
      <c r="B13" s="83" t="s">
        <v>42</v>
      </c>
      <c r="C13" s="101">
        <f>SUM(C11:C12)</f>
        <v>5312948</v>
      </c>
      <c r="D13" s="13">
        <f>SUM(D11:D12)</f>
        <v>32843</v>
      </c>
      <c r="E13" s="13">
        <f aca="true" t="shared" si="2" ref="E13:P13">SUM(E11:E12)</f>
        <v>206801</v>
      </c>
      <c r="F13" s="13">
        <f t="shared" si="2"/>
        <v>1009763</v>
      </c>
      <c r="G13" s="13">
        <f t="shared" si="2"/>
        <v>701392</v>
      </c>
      <c r="H13" s="13">
        <f t="shared" si="2"/>
        <v>250677</v>
      </c>
      <c r="I13" s="13">
        <f t="shared" si="2"/>
        <v>246907</v>
      </c>
      <c r="J13" s="13">
        <f t="shared" si="2"/>
        <v>201551</v>
      </c>
      <c r="K13" s="13">
        <f t="shared" si="2"/>
        <v>235042</v>
      </c>
      <c r="L13" s="13">
        <f t="shared" si="2"/>
        <v>1053691</v>
      </c>
      <c r="M13" s="13">
        <f t="shared" si="2"/>
        <v>816546</v>
      </c>
      <c r="N13" s="13">
        <f t="shared" si="2"/>
        <v>248066</v>
      </c>
      <c r="O13" s="124">
        <f t="shared" si="2"/>
        <v>309669</v>
      </c>
      <c r="P13" s="101">
        <f t="shared" si="2"/>
        <v>5312948</v>
      </c>
      <c r="Q13" s="143">
        <f t="shared" si="0"/>
        <v>0</v>
      </c>
      <c r="R13" s="58"/>
      <c r="S13" s="58"/>
    </row>
    <row r="14" spans="1:19" s="14" customFormat="1" ht="12.75" customHeight="1">
      <c r="A14" s="69" t="s">
        <v>26</v>
      </c>
      <c r="B14" s="84" t="s">
        <v>57</v>
      </c>
      <c r="C14" s="101">
        <v>5837869</v>
      </c>
      <c r="D14" s="38">
        <v>481987</v>
      </c>
      <c r="E14" s="38">
        <v>481987</v>
      </c>
      <c r="F14" s="38">
        <v>481987</v>
      </c>
      <c r="G14" s="38">
        <v>481987</v>
      </c>
      <c r="H14" s="38">
        <f>481987+1000</f>
        <v>482987</v>
      </c>
      <c r="I14" s="38">
        <f>481987+3000</f>
        <v>484987</v>
      </c>
      <c r="J14" s="38">
        <f>481987+3000</f>
        <v>484987</v>
      </c>
      <c r="K14" s="38">
        <f>481987+3000</f>
        <v>484987</v>
      </c>
      <c r="L14" s="38">
        <f>481987+3000</f>
        <v>484987</v>
      </c>
      <c r="M14" s="38">
        <f>481987+10000+3000</f>
        <v>494987</v>
      </c>
      <c r="N14" s="38">
        <f>481987+10000+3000</f>
        <v>494987</v>
      </c>
      <c r="O14" s="38">
        <f>481986+12026+3000</f>
        <v>497012</v>
      </c>
      <c r="P14" s="101">
        <f>SUM(D14:O14)</f>
        <v>5837869</v>
      </c>
      <c r="Q14" s="143">
        <f t="shared" si="0"/>
        <v>0</v>
      </c>
      <c r="R14" s="144"/>
      <c r="S14" s="144"/>
    </row>
    <row r="15" spans="1:19" s="16" customFormat="1" ht="12.75" customHeight="1" thickBot="1">
      <c r="A15" s="68" t="s">
        <v>27</v>
      </c>
      <c r="B15" s="83" t="s">
        <v>45</v>
      </c>
      <c r="C15" s="101">
        <v>165</v>
      </c>
      <c r="D15" s="94"/>
      <c r="E15" s="15"/>
      <c r="F15" s="15"/>
      <c r="G15" s="15"/>
      <c r="H15" s="15"/>
      <c r="I15" s="15"/>
      <c r="J15" s="15"/>
      <c r="K15" s="15">
        <v>165</v>
      </c>
      <c r="L15" s="15"/>
      <c r="M15" s="15"/>
      <c r="N15" s="15"/>
      <c r="O15" s="123"/>
      <c r="P15" s="101">
        <f>SUM(D15:O15)</f>
        <v>165</v>
      </c>
      <c r="Q15" s="143">
        <f t="shared" si="0"/>
        <v>0</v>
      </c>
      <c r="R15" s="58"/>
      <c r="S15" s="58"/>
    </row>
    <row r="16" spans="1:19" s="16" customFormat="1" ht="12.75" customHeight="1" thickBot="1">
      <c r="A16" s="70"/>
      <c r="B16" s="85" t="s">
        <v>48</v>
      </c>
      <c r="C16" s="102">
        <f>SUM(C10+C13+C14+C15)</f>
        <v>14833877</v>
      </c>
      <c r="D16" s="50">
        <f aca="true" t="shared" si="3" ref="D16:P16">SUM(D10+D13+D14+D15)</f>
        <v>816456</v>
      </c>
      <c r="E16" s="50">
        <f t="shared" si="3"/>
        <v>990414</v>
      </c>
      <c r="F16" s="50">
        <f t="shared" si="3"/>
        <v>1793376</v>
      </c>
      <c r="G16" s="50">
        <f t="shared" si="3"/>
        <v>1485005</v>
      </c>
      <c r="H16" s="50">
        <f t="shared" si="3"/>
        <v>1035290</v>
      </c>
      <c r="I16" s="50">
        <f t="shared" si="3"/>
        <v>1042477</v>
      </c>
      <c r="J16" s="50">
        <f t="shared" si="3"/>
        <v>996449</v>
      </c>
      <c r="K16" s="50">
        <f t="shared" si="3"/>
        <v>1030104</v>
      </c>
      <c r="L16" s="50">
        <f t="shared" si="3"/>
        <v>1848098</v>
      </c>
      <c r="M16" s="50">
        <f t="shared" si="3"/>
        <v>1622953</v>
      </c>
      <c r="N16" s="50">
        <f t="shared" si="3"/>
        <v>1054474</v>
      </c>
      <c r="O16" s="125">
        <f t="shared" si="3"/>
        <v>1118781</v>
      </c>
      <c r="P16" s="102">
        <f t="shared" si="3"/>
        <v>14833877</v>
      </c>
      <c r="Q16" s="143">
        <f t="shared" si="0"/>
        <v>0</v>
      </c>
      <c r="R16" s="58"/>
      <c r="S16" s="138"/>
    </row>
    <row r="17" spans="1:19" s="16" customFormat="1" ht="12.75" customHeight="1">
      <c r="A17" s="71" t="s">
        <v>28</v>
      </c>
      <c r="B17" s="86" t="s">
        <v>58</v>
      </c>
      <c r="C17" s="103">
        <v>315544</v>
      </c>
      <c r="D17" s="190"/>
      <c r="E17" s="190"/>
      <c r="F17" s="190">
        <v>216696</v>
      </c>
      <c r="G17" s="190">
        <f>23577+1906</f>
        <v>25483</v>
      </c>
      <c r="H17" s="190"/>
      <c r="I17" s="190"/>
      <c r="J17" s="190"/>
      <c r="K17" s="190"/>
      <c r="L17" s="64"/>
      <c r="M17" s="190">
        <v>73365</v>
      </c>
      <c r="N17" s="190"/>
      <c r="O17" s="191"/>
      <c r="P17" s="101">
        <f>SUM(D17:O17)</f>
        <v>315544</v>
      </c>
      <c r="Q17" s="143">
        <f t="shared" si="0"/>
        <v>0</v>
      </c>
      <c r="R17" s="58"/>
      <c r="S17" s="58"/>
    </row>
    <row r="18" spans="1:19" s="16" customFormat="1" ht="12.75" customHeight="1">
      <c r="A18" s="68" t="s">
        <v>29</v>
      </c>
      <c r="B18" s="83" t="s">
        <v>41</v>
      </c>
      <c r="C18" s="101">
        <v>1411050</v>
      </c>
      <c r="D18" s="61">
        <v>12500</v>
      </c>
      <c r="E18" s="64">
        <v>12500</v>
      </c>
      <c r="F18" s="64">
        <v>12500</v>
      </c>
      <c r="G18" s="64">
        <f>12500+300000</f>
        <v>312500</v>
      </c>
      <c r="H18" s="64">
        <v>12500</v>
      </c>
      <c r="I18" s="64">
        <f>12500+50000</f>
        <v>62500</v>
      </c>
      <c r="J18" s="64">
        <v>12500</v>
      </c>
      <c r="K18" s="64">
        <f>12500+11050</f>
        <v>23550</v>
      </c>
      <c r="L18" s="64">
        <f>12500+700000</f>
        <v>712500</v>
      </c>
      <c r="M18" s="64">
        <v>12500</v>
      </c>
      <c r="N18" s="64">
        <f>12500+200000</f>
        <v>212500</v>
      </c>
      <c r="O18" s="128">
        <v>12500</v>
      </c>
      <c r="P18" s="101">
        <f>SUM(D18:O18)</f>
        <v>1411050</v>
      </c>
      <c r="Q18" s="143">
        <f t="shared" si="0"/>
        <v>0</v>
      </c>
      <c r="R18" s="58"/>
      <c r="S18" s="58"/>
    </row>
    <row r="19" spans="1:19" s="16" customFormat="1" ht="12.75" customHeight="1">
      <c r="A19" s="66" t="s">
        <v>15</v>
      </c>
      <c r="B19" s="82" t="s">
        <v>46</v>
      </c>
      <c r="C19" s="99">
        <v>24164</v>
      </c>
      <c r="D19" s="94">
        <v>2014</v>
      </c>
      <c r="E19" s="15">
        <v>2014</v>
      </c>
      <c r="F19" s="15">
        <v>2013</v>
      </c>
      <c r="G19" s="94">
        <v>2014</v>
      </c>
      <c r="H19" s="15">
        <v>2014</v>
      </c>
      <c r="I19" s="15">
        <v>2013</v>
      </c>
      <c r="J19" s="94">
        <v>2014</v>
      </c>
      <c r="K19" s="15">
        <v>2014</v>
      </c>
      <c r="L19" s="16">
        <v>2013</v>
      </c>
      <c r="M19" s="94">
        <v>2014</v>
      </c>
      <c r="N19" s="15">
        <v>2014</v>
      </c>
      <c r="O19" s="15">
        <v>2013</v>
      </c>
      <c r="P19" s="101">
        <f>SUM(D19:O19)</f>
        <v>24164</v>
      </c>
      <c r="Q19" s="143">
        <f t="shared" si="0"/>
        <v>0</v>
      </c>
      <c r="R19" s="58"/>
      <c r="S19" s="58"/>
    </row>
    <row r="20" spans="1:19" s="14" customFormat="1" ht="12.75" customHeight="1">
      <c r="A20" s="66" t="s">
        <v>17</v>
      </c>
      <c r="B20" s="87" t="s">
        <v>47</v>
      </c>
      <c r="C20" s="99">
        <v>49000</v>
      </c>
      <c r="D20" s="13"/>
      <c r="E20" s="17"/>
      <c r="F20" s="42"/>
      <c r="G20" s="42"/>
      <c r="H20" s="42">
        <v>49000</v>
      </c>
      <c r="I20" s="17"/>
      <c r="J20" s="17"/>
      <c r="K20" s="17"/>
      <c r="L20" s="17"/>
      <c r="M20" s="17"/>
      <c r="N20" s="17"/>
      <c r="O20" s="126"/>
      <c r="P20" s="101">
        <f>SUM(D20:O20)</f>
        <v>49000</v>
      </c>
      <c r="Q20" s="143">
        <f t="shared" si="0"/>
        <v>0</v>
      </c>
      <c r="R20" s="144"/>
      <c r="S20" s="144"/>
    </row>
    <row r="21" spans="1:19" s="16" customFormat="1" ht="12.75" customHeight="1" thickBot="1">
      <c r="A21" s="67" t="s">
        <v>30</v>
      </c>
      <c r="B21" s="83" t="s">
        <v>59</v>
      </c>
      <c r="C21" s="101">
        <f>SUM(C19:C20)</f>
        <v>73164</v>
      </c>
      <c r="D21" s="13">
        <f aca="true" t="shared" si="4" ref="D21:O21">SUM(D19:D20)</f>
        <v>2014</v>
      </c>
      <c r="E21" s="13">
        <f t="shared" si="4"/>
        <v>2014</v>
      </c>
      <c r="F21" s="13">
        <f t="shared" si="4"/>
        <v>2013</v>
      </c>
      <c r="G21" s="13">
        <f t="shared" si="4"/>
        <v>2014</v>
      </c>
      <c r="H21" s="13">
        <f t="shared" si="4"/>
        <v>51014</v>
      </c>
      <c r="I21" s="13">
        <f t="shared" si="4"/>
        <v>2013</v>
      </c>
      <c r="J21" s="13">
        <f t="shared" si="4"/>
        <v>2014</v>
      </c>
      <c r="K21" s="13">
        <f t="shared" si="4"/>
        <v>2014</v>
      </c>
      <c r="L21" s="13">
        <f t="shared" si="4"/>
        <v>2013</v>
      </c>
      <c r="M21" s="13">
        <f t="shared" si="4"/>
        <v>2014</v>
      </c>
      <c r="N21" s="13">
        <f t="shared" si="4"/>
        <v>2014</v>
      </c>
      <c r="O21" s="124">
        <f t="shared" si="4"/>
        <v>2013</v>
      </c>
      <c r="P21" s="101">
        <f>SUM(P19:P20)</f>
        <v>73164</v>
      </c>
      <c r="Q21" s="143">
        <f t="shared" si="0"/>
        <v>0</v>
      </c>
      <c r="R21" s="58"/>
      <c r="S21" s="58"/>
    </row>
    <row r="22" spans="1:19" s="16" customFormat="1" ht="12.75" customHeight="1" thickBot="1">
      <c r="A22" s="72"/>
      <c r="B22" s="85" t="s">
        <v>49</v>
      </c>
      <c r="C22" s="102">
        <f>SUM(C17+C18+C21)</f>
        <v>1799758</v>
      </c>
      <c r="D22" s="50">
        <f aca="true" t="shared" si="5" ref="D22:O22">SUM(D17+D18+D21)</f>
        <v>14514</v>
      </c>
      <c r="E22" s="50">
        <f t="shared" si="5"/>
        <v>14514</v>
      </c>
      <c r="F22" s="50">
        <f t="shared" si="5"/>
        <v>231209</v>
      </c>
      <c r="G22" s="50">
        <f t="shared" si="5"/>
        <v>339997</v>
      </c>
      <c r="H22" s="50">
        <f t="shared" si="5"/>
        <v>63514</v>
      </c>
      <c r="I22" s="50">
        <f t="shared" si="5"/>
        <v>64513</v>
      </c>
      <c r="J22" s="50">
        <f t="shared" si="5"/>
        <v>14514</v>
      </c>
      <c r="K22" s="50">
        <f t="shared" si="5"/>
        <v>25564</v>
      </c>
      <c r="L22" s="50">
        <f>SUM(L18+L21)</f>
        <v>714513</v>
      </c>
      <c r="M22" s="50">
        <f t="shared" si="5"/>
        <v>87879</v>
      </c>
      <c r="N22" s="50">
        <f t="shared" si="5"/>
        <v>214514</v>
      </c>
      <c r="O22" s="125">
        <f t="shared" si="5"/>
        <v>14513</v>
      </c>
      <c r="P22" s="102">
        <f>SUM(P17+P18+P21)</f>
        <v>1799758</v>
      </c>
      <c r="Q22" s="143">
        <f t="shared" si="0"/>
        <v>0</v>
      </c>
      <c r="R22" s="58"/>
      <c r="S22" s="138"/>
    </row>
    <row r="23" spans="1:19" s="40" customFormat="1" ht="12.75" customHeight="1" thickBot="1">
      <c r="A23" s="73"/>
      <c r="B23" s="85" t="s">
        <v>60</v>
      </c>
      <c r="C23" s="104">
        <f>SUM(C16,C22)</f>
        <v>16633635</v>
      </c>
      <c r="D23" s="51">
        <f aca="true" t="shared" si="6" ref="D23:P23">SUM(D16,D22)</f>
        <v>830970</v>
      </c>
      <c r="E23" s="51">
        <f t="shared" si="6"/>
        <v>1004928</v>
      </c>
      <c r="F23" s="51">
        <f t="shared" si="6"/>
        <v>2024585</v>
      </c>
      <c r="G23" s="51">
        <f t="shared" si="6"/>
        <v>1825002</v>
      </c>
      <c r="H23" s="51">
        <f t="shared" si="6"/>
        <v>1098804</v>
      </c>
      <c r="I23" s="51">
        <f t="shared" si="6"/>
        <v>1106990</v>
      </c>
      <c r="J23" s="51">
        <f t="shared" si="6"/>
        <v>1010963</v>
      </c>
      <c r="K23" s="51">
        <f t="shared" si="6"/>
        <v>1055668</v>
      </c>
      <c r="L23" s="51">
        <f t="shared" si="6"/>
        <v>2562611</v>
      </c>
      <c r="M23" s="51">
        <f t="shared" si="6"/>
        <v>1710832</v>
      </c>
      <c r="N23" s="51">
        <f t="shared" si="6"/>
        <v>1268988</v>
      </c>
      <c r="O23" s="127">
        <f t="shared" si="6"/>
        <v>1133294</v>
      </c>
      <c r="P23" s="104">
        <f t="shared" si="6"/>
        <v>16633635</v>
      </c>
      <c r="Q23" s="143">
        <f t="shared" si="0"/>
        <v>0</v>
      </c>
      <c r="R23" s="144"/>
      <c r="S23" s="144"/>
    </row>
    <row r="24" spans="1:19" s="40" customFormat="1" ht="12.75" customHeight="1" thickBot="1">
      <c r="A24" s="74" t="s">
        <v>15</v>
      </c>
      <c r="B24" s="88" t="s">
        <v>61</v>
      </c>
      <c r="C24" s="105">
        <v>498999</v>
      </c>
      <c r="D24" s="188">
        <v>41583</v>
      </c>
      <c r="E24" s="189">
        <v>41583</v>
      </c>
      <c r="F24" s="189">
        <v>41583</v>
      </c>
      <c r="G24" s="189">
        <v>41583</v>
      </c>
      <c r="H24" s="189">
        <v>41583</v>
      </c>
      <c r="I24" s="189">
        <v>41583</v>
      </c>
      <c r="J24" s="189">
        <v>41583</v>
      </c>
      <c r="K24" s="189">
        <v>41583</v>
      </c>
      <c r="L24" s="189">
        <v>41583</v>
      </c>
      <c r="M24" s="189">
        <v>41583</v>
      </c>
      <c r="N24" s="189">
        <v>41583</v>
      </c>
      <c r="O24" s="121">
        <v>41586</v>
      </c>
      <c r="P24" s="131">
        <f>SUM(D24:O24)</f>
        <v>498999</v>
      </c>
      <c r="Q24" s="143">
        <f t="shared" si="0"/>
        <v>0</v>
      </c>
      <c r="R24" s="144"/>
      <c r="S24" s="144"/>
    </row>
    <row r="25" spans="1:19" s="40" customFormat="1" ht="12.75" customHeight="1">
      <c r="A25" s="75" t="s">
        <v>17</v>
      </c>
      <c r="B25" s="87" t="s">
        <v>62</v>
      </c>
      <c r="C25" s="99">
        <v>4596560</v>
      </c>
      <c r="D25" s="170">
        <f>381628-15000</f>
        <v>366628</v>
      </c>
      <c r="E25" s="171">
        <v>383470</v>
      </c>
      <c r="F25" s="171">
        <v>381628</v>
      </c>
      <c r="G25" s="171">
        <f>381628-15000</f>
        <v>366628</v>
      </c>
      <c r="H25" s="171">
        <f>381628+4000</f>
        <v>385628</v>
      </c>
      <c r="I25" s="171">
        <f>381628+4000+2132</f>
        <v>387760</v>
      </c>
      <c r="J25" s="171">
        <f>381628+4000+12553+1952</f>
        <v>400133</v>
      </c>
      <c r="K25" s="171">
        <f>381628-15000+12000+4249+2145</f>
        <v>385022</v>
      </c>
      <c r="L25" s="171">
        <f>381628+2032</f>
        <v>383660</v>
      </c>
      <c r="M25" s="171">
        <f>381628+1000+2145</f>
        <v>384773</v>
      </c>
      <c r="N25" s="171">
        <f>381628+1000+2536</f>
        <v>385164</v>
      </c>
      <c r="O25" s="172">
        <f>381630+1522+2914</f>
        <v>386066</v>
      </c>
      <c r="P25" s="131">
        <f>SUM(D25:O25)</f>
        <v>4596560</v>
      </c>
      <c r="Q25" s="143">
        <f t="shared" si="0"/>
        <v>0</v>
      </c>
      <c r="R25" s="144"/>
      <c r="S25" s="144"/>
    </row>
    <row r="26" spans="1:19" s="40" customFormat="1" ht="12.75" customHeight="1">
      <c r="A26" s="75"/>
      <c r="B26" s="83" t="s">
        <v>63</v>
      </c>
      <c r="C26" s="100">
        <f>SUM(C24:C25)</f>
        <v>5095559</v>
      </c>
      <c r="D26" s="173">
        <f aca="true" t="shared" si="7" ref="D26:P26">SUM(D24:D25)</f>
        <v>408211</v>
      </c>
      <c r="E26" s="174">
        <f t="shared" si="7"/>
        <v>425053</v>
      </c>
      <c r="F26" s="174">
        <f t="shared" si="7"/>
        <v>423211</v>
      </c>
      <c r="G26" s="174">
        <f t="shared" si="7"/>
        <v>408211</v>
      </c>
      <c r="H26" s="174">
        <f t="shared" si="7"/>
        <v>427211</v>
      </c>
      <c r="I26" s="174">
        <f t="shared" si="7"/>
        <v>429343</v>
      </c>
      <c r="J26" s="174">
        <f t="shared" si="7"/>
        <v>441716</v>
      </c>
      <c r="K26" s="174">
        <f t="shared" si="7"/>
        <v>426605</v>
      </c>
      <c r="L26" s="174">
        <f t="shared" si="7"/>
        <v>425243</v>
      </c>
      <c r="M26" s="174">
        <f t="shared" si="7"/>
        <v>426356</v>
      </c>
      <c r="N26" s="174">
        <f t="shared" si="7"/>
        <v>426747</v>
      </c>
      <c r="O26" s="175">
        <f t="shared" si="7"/>
        <v>427652</v>
      </c>
      <c r="P26" s="100">
        <f t="shared" si="7"/>
        <v>5095559</v>
      </c>
      <c r="Q26" s="143">
        <f t="shared" si="0"/>
        <v>0</v>
      </c>
      <c r="R26" s="144"/>
      <c r="S26" s="144"/>
    </row>
    <row r="27" spans="1:19" s="40" customFormat="1" ht="12.75" customHeight="1">
      <c r="A27" s="76" t="s">
        <v>15</v>
      </c>
      <c r="B27" s="87" t="s">
        <v>64</v>
      </c>
      <c r="C27" s="100">
        <v>3526577</v>
      </c>
      <c r="D27" s="173">
        <v>293881</v>
      </c>
      <c r="E27" s="174">
        <v>293881</v>
      </c>
      <c r="F27" s="174">
        <v>293881</v>
      </c>
      <c r="G27" s="174">
        <v>293881</v>
      </c>
      <c r="H27" s="174">
        <v>293881</v>
      </c>
      <c r="I27" s="174">
        <v>293881</v>
      </c>
      <c r="J27" s="174">
        <v>293881</v>
      </c>
      <c r="K27" s="174">
        <v>293881</v>
      </c>
      <c r="L27" s="174">
        <v>293881</v>
      </c>
      <c r="M27" s="174">
        <v>293881</v>
      </c>
      <c r="N27" s="174">
        <v>293881</v>
      </c>
      <c r="O27" s="175">
        <v>293886</v>
      </c>
      <c r="P27" s="100">
        <f>SUM(D27:O27)</f>
        <v>3526577</v>
      </c>
      <c r="Q27" s="143">
        <f t="shared" si="0"/>
        <v>0</v>
      </c>
      <c r="R27" s="144"/>
      <c r="S27" s="143"/>
    </row>
    <row r="28" spans="1:19" s="40" customFormat="1" ht="12.75" customHeight="1">
      <c r="A28" s="75" t="s">
        <v>17</v>
      </c>
      <c r="B28" s="89" t="s">
        <v>65</v>
      </c>
      <c r="C28" s="106">
        <v>129653</v>
      </c>
      <c r="D28" s="176"/>
      <c r="E28" s="186"/>
      <c r="F28" s="186"/>
      <c r="G28" s="186">
        <v>15000</v>
      </c>
      <c r="H28" s="186"/>
      <c r="I28" s="186"/>
      <c r="J28" s="186">
        <v>20000</v>
      </c>
      <c r="K28" s="186">
        <f>15000+14546</f>
        <v>29546</v>
      </c>
      <c r="L28" s="186">
        <f>6900+14000+11710</f>
        <v>32610</v>
      </c>
      <c r="M28" s="186">
        <v>20000</v>
      </c>
      <c r="N28" s="186"/>
      <c r="O28" s="187">
        <f>31281-18784</f>
        <v>12497</v>
      </c>
      <c r="P28" s="100">
        <f>SUM(D28:O28)</f>
        <v>129653</v>
      </c>
      <c r="Q28" s="143">
        <f t="shared" si="0"/>
        <v>0</v>
      </c>
      <c r="R28" s="144"/>
      <c r="S28" s="144"/>
    </row>
    <row r="29" spans="1:19" s="40" customFormat="1" ht="12.75" customHeight="1">
      <c r="A29" s="77"/>
      <c r="B29" s="158" t="s">
        <v>66</v>
      </c>
      <c r="C29" s="159">
        <f>SUM(C27:C28)</f>
        <v>3656230</v>
      </c>
      <c r="D29" s="162">
        <f aca="true" t="shared" si="8" ref="D29:O29">SUM(D27:D28)</f>
        <v>293881</v>
      </c>
      <c r="E29" s="160">
        <f t="shared" si="8"/>
        <v>293881</v>
      </c>
      <c r="F29" s="160">
        <f t="shared" si="8"/>
        <v>293881</v>
      </c>
      <c r="G29" s="160">
        <f t="shared" si="8"/>
        <v>308881</v>
      </c>
      <c r="H29" s="160">
        <f t="shared" si="8"/>
        <v>293881</v>
      </c>
      <c r="I29" s="160">
        <f t="shared" si="8"/>
        <v>293881</v>
      </c>
      <c r="J29" s="160">
        <f t="shared" si="8"/>
        <v>313881</v>
      </c>
      <c r="K29" s="160">
        <f t="shared" si="8"/>
        <v>323427</v>
      </c>
      <c r="L29" s="160">
        <f t="shared" si="8"/>
        <v>326491</v>
      </c>
      <c r="M29" s="160">
        <f t="shared" si="8"/>
        <v>313881</v>
      </c>
      <c r="N29" s="160">
        <f t="shared" si="8"/>
        <v>293881</v>
      </c>
      <c r="O29" s="179">
        <f t="shared" si="8"/>
        <v>306383</v>
      </c>
      <c r="P29" s="159">
        <f>SUM(P27:P28)</f>
        <v>3656230</v>
      </c>
      <c r="Q29" s="143">
        <f t="shared" si="0"/>
        <v>0</v>
      </c>
      <c r="R29" s="144"/>
      <c r="S29" s="144"/>
    </row>
    <row r="30" spans="1:19" s="40" customFormat="1" ht="12.75" customHeight="1" thickBot="1">
      <c r="A30" s="77">
        <v>1</v>
      </c>
      <c r="B30" s="161" t="s">
        <v>93</v>
      </c>
      <c r="C30" s="107"/>
      <c r="D30" s="163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180"/>
      <c r="P30" s="107">
        <f>SUM(D30:O30)</f>
        <v>0</v>
      </c>
      <c r="Q30" s="143">
        <f t="shared" si="0"/>
        <v>0</v>
      </c>
      <c r="R30" s="144"/>
      <c r="S30" s="144"/>
    </row>
    <row r="31" spans="1:19" s="40" customFormat="1" ht="12.75" customHeight="1" thickBot="1">
      <c r="A31" s="167"/>
      <c r="B31" s="156" t="s">
        <v>94</v>
      </c>
      <c r="C31" s="157">
        <f>+C25+C28+C30</f>
        <v>4726213</v>
      </c>
      <c r="D31" s="164">
        <f aca="true" t="shared" si="9" ref="D31:O31">+D25+D28+D30</f>
        <v>366628</v>
      </c>
      <c r="E31" s="165">
        <f t="shared" si="9"/>
        <v>383470</v>
      </c>
      <c r="F31" s="165">
        <f t="shared" si="9"/>
        <v>381628</v>
      </c>
      <c r="G31" s="165">
        <f t="shared" si="9"/>
        <v>381628</v>
      </c>
      <c r="H31" s="165">
        <f t="shared" si="9"/>
        <v>385628</v>
      </c>
      <c r="I31" s="165">
        <f t="shared" si="9"/>
        <v>387760</v>
      </c>
      <c r="J31" s="165">
        <f t="shared" si="9"/>
        <v>420133</v>
      </c>
      <c r="K31" s="165">
        <f t="shared" si="9"/>
        <v>414568</v>
      </c>
      <c r="L31" s="165">
        <f t="shared" si="9"/>
        <v>416270</v>
      </c>
      <c r="M31" s="165">
        <f t="shared" si="9"/>
        <v>404773</v>
      </c>
      <c r="N31" s="165">
        <f t="shared" si="9"/>
        <v>385164</v>
      </c>
      <c r="O31" s="166">
        <f t="shared" si="9"/>
        <v>398563</v>
      </c>
      <c r="P31" s="157">
        <f>+P25+P28+P30</f>
        <v>4726213</v>
      </c>
      <c r="Q31" s="143">
        <f t="shared" si="0"/>
        <v>0</v>
      </c>
      <c r="R31" s="144"/>
      <c r="S31" s="144"/>
    </row>
    <row r="32" spans="1:19" s="40" customFormat="1" ht="12.75" customHeight="1" thickBot="1">
      <c r="A32" s="62"/>
      <c r="B32" s="90" t="s">
        <v>37</v>
      </c>
      <c r="C32" s="108">
        <f>SUM(C23,C26,C29)+C30</f>
        <v>25385424</v>
      </c>
      <c r="D32" s="63">
        <f aca="true" t="shared" si="10" ref="D32:O32">SUM(D23,D26,D29)</f>
        <v>1533062</v>
      </c>
      <c r="E32" s="63">
        <f t="shared" si="10"/>
        <v>1723862</v>
      </c>
      <c r="F32" s="63">
        <f t="shared" si="10"/>
        <v>2741677</v>
      </c>
      <c r="G32" s="63">
        <f t="shared" si="10"/>
        <v>2542094</v>
      </c>
      <c r="H32" s="63">
        <f t="shared" si="10"/>
        <v>1819896</v>
      </c>
      <c r="I32" s="63">
        <f t="shared" si="10"/>
        <v>1830214</v>
      </c>
      <c r="J32" s="63">
        <f t="shared" si="10"/>
        <v>1766560</v>
      </c>
      <c r="K32" s="63">
        <f t="shared" si="10"/>
        <v>1805700</v>
      </c>
      <c r="L32" s="63">
        <f t="shared" si="10"/>
        <v>3314345</v>
      </c>
      <c r="M32" s="63">
        <f t="shared" si="10"/>
        <v>2451069</v>
      </c>
      <c r="N32" s="63">
        <f t="shared" si="10"/>
        <v>1989616</v>
      </c>
      <c r="O32" s="129">
        <f t="shared" si="10"/>
        <v>1867329</v>
      </c>
      <c r="P32" s="108">
        <f>SUM(P23,P26,P29)+P30</f>
        <v>25385424</v>
      </c>
      <c r="Q32" s="143">
        <f t="shared" si="0"/>
        <v>0</v>
      </c>
      <c r="R32" s="144"/>
      <c r="S32" s="144"/>
    </row>
    <row r="33" spans="1:19" s="16" customFormat="1" ht="11.25" customHeight="1">
      <c r="A33" s="78"/>
      <c r="B33" s="91" t="s">
        <v>50</v>
      </c>
      <c r="C33" s="181">
        <f>-SUM(C25)</f>
        <v>-4596560</v>
      </c>
      <c r="D33" s="182">
        <f aca="true" t="shared" si="11" ref="D33:O33">-SUM(D25)</f>
        <v>-366628</v>
      </c>
      <c r="E33" s="183">
        <f t="shared" si="11"/>
        <v>-383470</v>
      </c>
      <c r="F33" s="183">
        <f t="shared" si="11"/>
        <v>-381628</v>
      </c>
      <c r="G33" s="183">
        <f t="shared" si="11"/>
        <v>-366628</v>
      </c>
      <c r="H33" s="183">
        <f t="shared" si="11"/>
        <v>-385628</v>
      </c>
      <c r="I33" s="183">
        <f t="shared" si="11"/>
        <v>-387760</v>
      </c>
      <c r="J33" s="183">
        <f t="shared" si="11"/>
        <v>-400133</v>
      </c>
      <c r="K33" s="183">
        <f t="shared" si="11"/>
        <v>-385022</v>
      </c>
      <c r="L33" s="183">
        <f t="shared" si="11"/>
        <v>-383660</v>
      </c>
      <c r="M33" s="183">
        <f t="shared" si="11"/>
        <v>-384773</v>
      </c>
      <c r="N33" s="183">
        <f t="shared" si="11"/>
        <v>-385164</v>
      </c>
      <c r="O33" s="184">
        <f t="shared" si="11"/>
        <v>-386066</v>
      </c>
      <c r="P33" s="115">
        <f>SUM(D33:O33)</f>
        <v>-4596560</v>
      </c>
      <c r="Q33" s="143">
        <f t="shared" si="0"/>
        <v>0</v>
      </c>
      <c r="R33" s="58"/>
      <c r="S33" s="58"/>
    </row>
    <row r="34" spans="1:19" s="16" customFormat="1" ht="12.75" customHeight="1">
      <c r="A34" s="79"/>
      <c r="B34" s="92" t="s">
        <v>51</v>
      </c>
      <c r="C34" s="185">
        <f>-SUM(C28)</f>
        <v>-129653</v>
      </c>
      <c r="D34" s="176">
        <f aca="true" t="shared" si="12" ref="D34:O34">-SUM(D28)</f>
        <v>0</v>
      </c>
      <c r="E34" s="177">
        <f t="shared" si="12"/>
        <v>0</v>
      </c>
      <c r="F34" s="177">
        <f t="shared" si="12"/>
        <v>0</v>
      </c>
      <c r="G34" s="177">
        <f t="shared" si="12"/>
        <v>-15000</v>
      </c>
      <c r="H34" s="177">
        <f t="shared" si="12"/>
        <v>0</v>
      </c>
      <c r="I34" s="177">
        <f t="shared" si="12"/>
        <v>0</v>
      </c>
      <c r="J34" s="177">
        <f t="shared" si="12"/>
        <v>-20000</v>
      </c>
      <c r="K34" s="177">
        <f t="shared" si="12"/>
        <v>-29546</v>
      </c>
      <c r="L34" s="177">
        <f t="shared" si="12"/>
        <v>-32610</v>
      </c>
      <c r="M34" s="177">
        <f t="shared" si="12"/>
        <v>-20000</v>
      </c>
      <c r="N34" s="177">
        <f>-SUM(N28)</f>
        <v>0</v>
      </c>
      <c r="O34" s="178">
        <f t="shared" si="12"/>
        <v>-12497</v>
      </c>
      <c r="P34" s="56">
        <f>SUM(D34:O34)</f>
        <v>-129653</v>
      </c>
      <c r="Q34" s="143">
        <f t="shared" si="0"/>
        <v>0</v>
      </c>
      <c r="R34" s="58"/>
      <c r="S34" s="58"/>
    </row>
    <row r="35" spans="1:19" s="16" customFormat="1" ht="15" customHeight="1" thickBot="1">
      <c r="A35" s="59"/>
      <c r="B35" s="93" t="s">
        <v>54</v>
      </c>
      <c r="C35" s="159">
        <v>-355000</v>
      </c>
      <c r="D35" s="163">
        <v>-29583</v>
      </c>
      <c r="E35" s="80">
        <v>-29583</v>
      </c>
      <c r="F35" s="80">
        <v>-29583</v>
      </c>
      <c r="G35" s="80">
        <v>-29583</v>
      </c>
      <c r="H35" s="80">
        <v>-29583</v>
      </c>
      <c r="I35" s="80">
        <v>-29583</v>
      </c>
      <c r="J35" s="80">
        <v>-29583</v>
      </c>
      <c r="K35" s="80">
        <v>-29583</v>
      </c>
      <c r="L35" s="80">
        <v>-29583</v>
      </c>
      <c r="M35" s="80">
        <v>-29583</v>
      </c>
      <c r="N35" s="80">
        <v>-29583</v>
      </c>
      <c r="O35" s="180">
        <v>-29587</v>
      </c>
      <c r="P35" s="56">
        <f>SUM(D35:O35)</f>
        <v>-355000</v>
      </c>
      <c r="Q35" s="143">
        <f t="shared" si="0"/>
        <v>0</v>
      </c>
      <c r="R35" s="58"/>
      <c r="S35" s="58"/>
    </row>
    <row r="36" spans="1:19" s="16" customFormat="1" ht="10.5" customHeight="1" thickBot="1">
      <c r="A36" s="215" t="s">
        <v>37</v>
      </c>
      <c r="B36" s="216"/>
      <c r="C36" s="109">
        <f>SUM(C32:C35)</f>
        <v>20304211</v>
      </c>
      <c r="D36" s="60">
        <f>SUM(D32:D35)</f>
        <v>1136851</v>
      </c>
      <c r="E36" s="60">
        <f aca="true" t="shared" si="13" ref="E36:O36">SUM(E32:E35)</f>
        <v>1310809</v>
      </c>
      <c r="F36" s="60">
        <f t="shared" si="13"/>
        <v>2330466</v>
      </c>
      <c r="G36" s="60">
        <f t="shared" si="13"/>
        <v>2130883</v>
      </c>
      <c r="H36" s="60">
        <f t="shared" si="13"/>
        <v>1404685</v>
      </c>
      <c r="I36" s="60">
        <f t="shared" si="13"/>
        <v>1412871</v>
      </c>
      <c r="J36" s="60">
        <f t="shared" si="13"/>
        <v>1316844</v>
      </c>
      <c r="K36" s="60">
        <f t="shared" si="13"/>
        <v>1361549</v>
      </c>
      <c r="L36" s="60">
        <f t="shared" si="13"/>
        <v>2868492</v>
      </c>
      <c r="M36" s="60">
        <f t="shared" si="13"/>
        <v>2016713</v>
      </c>
      <c r="N36" s="60">
        <f t="shared" si="13"/>
        <v>1574869</v>
      </c>
      <c r="O36" s="60">
        <f t="shared" si="13"/>
        <v>1439179</v>
      </c>
      <c r="P36" s="109">
        <f>SUM(P32:P35)</f>
        <v>20304211</v>
      </c>
      <c r="Q36" s="143">
        <f t="shared" si="0"/>
        <v>0</v>
      </c>
      <c r="R36" s="58"/>
      <c r="S36" s="58"/>
    </row>
    <row r="37" ht="12.75">
      <c r="Q37" s="143">
        <f t="shared" si="0"/>
        <v>0</v>
      </c>
    </row>
    <row r="39" spans="2:16" ht="12.75">
      <c r="B39" s="4" t="s">
        <v>87</v>
      </c>
      <c r="D39" s="119">
        <v>2405734</v>
      </c>
      <c r="E39" s="120">
        <f>SUM(D42)</f>
        <v>2170276.623333333</v>
      </c>
      <c r="F39" s="120">
        <f aca="true" t="shared" si="14" ref="F39:O39">SUM(E42)</f>
        <v>2187364.873333333</v>
      </c>
      <c r="G39" s="120">
        <f t="shared" si="14"/>
        <v>3195066.123333333</v>
      </c>
      <c r="H39" s="120">
        <f t="shared" si="14"/>
        <v>4005897.1133333333</v>
      </c>
      <c r="I39" s="120">
        <f t="shared" si="14"/>
        <v>4134912.3233333332</v>
      </c>
      <c r="J39" s="120">
        <f t="shared" si="14"/>
        <v>4164624.8233333332</v>
      </c>
      <c r="K39" s="120">
        <f t="shared" si="14"/>
        <v>3801894.5233333334</v>
      </c>
      <c r="L39" s="120">
        <f t="shared" si="14"/>
        <v>3593358.0233333334</v>
      </c>
      <c r="M39" s="120">
        <f t="shared" si="14"/>
        <v>4535473.163333334</v>
      </c>
      <c r="N39" s="120">
        <f t="shared" si="14"/>
        <v>5022940.793333334</v>
      </c>
      <c r="O39" s="120">
        <f t="shared" si="14"/>
        <v>5013043.3933333345</v>
      </c>
      <c r="P39" s="120"/>
    </row>
    <row r="40" spans="4:16" ht="12.75">
      <c r="D40" s="120">
        <f>SUM(D36)</f>
        <v>1136851</v>
      </c>
      <c r="E40" s="120">
        <f aca="true" t="shared" si="15" ref="E40:O40">SUM(E36)</f>
        <v>1310809</v>
      </c>
      <c r="F40" s="120">
        <f t="shared" si="15"/>
        <v>2330466</v>
      </c>
      <c r="G40" s="120">
        <f t="shared" si="15"/>
        <v>2130883</v>
      </c>
      <c r="H40" s="120">
        <f t="shared" si="15"/>
        <v>1404685</v>
      </c>
      <c r="I40" s="120">
        <f t="shared" si="15"/>
        <v>1412871</v>
      </c>
      <c r="J40" s="120">
        <f t="shared" si="15"/>
        <v>1316844</v>
      </c>
      <c r="K40" s="120">
        <f t="shared" si="15"/>
        <v>1361549</v>
      </c>
      <c r="L40" s="120">
        <f t="shared" si="15"/>
        <v>2868492</v>
      </c>
      <c r="M40" s="120">
        <f t="shared" si="15"/>
        <v>2016713</v>
      </c>
      <c r="N40" s="120">
        <f t="shared" si="15"/>
        <v>1574869</v>
      </c>
      <c r="O40" s="120">
        <f t="shared" si="15"/>
        <v>1439179</v>
      </c>
      <c r="P40" s="120">
        <f>SUM(D40:O40)</f>
        <v>20304211</v>
      </c>
    </row>
    <row r="41" spans="4:16" ht="12.75">
      <c r="D41" s="120">
        <f>-SUM(kiadás!D50)</f>
        <v>-1372308.3766666667</v>
      </c>
      <c r="E41" s="120">
        <f>-SUM(kiadás!E50)</f>
        <v>-1293720.75</v>
      </c>
      <c r="F41" s="120">
        <f>-SUM(kiadás!F50)</f>
        <v>-1322764.75</v>
      </c>
      <c r="G41" s="120">
        <f>-SUM(kiadás!G50)</f>
        <v>-1320052.01</v>
      </c>
      <c r="H41" s="120">
        <f>-SUM(kiadás!H50)</f>
        <v>-1275669.79</v>
      </c>
      <c r="I41" s="120">
        <f>-SUM(kiadás!I50)</f>
        <v>-1383158.5</v>
      </c>
      <c r="J41" s="120">
        <f>-SUM(kiadás!J50)</f>
        <v>-1679574.2999999998</v>
      </c>
      <c r="K41" s="120">
        <f>-SUM(kiadás!K50)</f>
        <v>-1570085.5</v>
      </c>
      <c r="L41" s="120">
        <f>-SUM(kiadás!L50)</f>
        <v>-1926376.8599999999</v>
      </c>
      <c r="M41" s="120">
        <f>-SUM(kiadás!M50)</f>
        <v>-1529245.37</v>
      </c>
      <c r="N41" s="120">
        <f>-SUM(kiadás!N50)</f>
        <v>-1584766.4</v>
      </c>
      <c r="O41" s="120">
        <f>-SUM(kiadás!O50)</f>
        <v>-4046488.79</v>
      </c>
      <c r="P41" s="120">
        <f>SUM(D41:O41)</f>
        <v>-20304211.39666667</v>
      </c>
    </row>
    <row r="42" spans="4:16" ht="12.75">
      <c r="D42" s="120">
        <f>SUM(D39:D41)</f>
        <v>2170276.623333333</v>
      </c>
      <c r="E42" s="120">
        <f aca="true" t="shared" si="16" ref="E42:O42">SUM(E39:E41)</f>
        <v>2187364.873333333</v>
      </c>
      <c r="F42" s="120">
        <f t="shared" si="16"/>
        <v>3195066.123333333</v>
      </c>
      <c r="G42" s="120">
        <f t="shared" si="16"/>
        <v>4005897.1133333333</v>
      </c>
      <c r="H42" s="120">
        <f t="shared" si="16"/>
        <v>4134912.3233333332</v>
      </c>
      <c r="I42" s="120">
        <f t="shared" si="16"/>
        <v>4164624.8233333332</v>
      </c>
      <c r="J42" s="120">
        <f t="shared" si="16"/>
        <v>3801894.5233333334</v>
      </c>
      <c r="K42" s="120">
        <f t="shared" si="16"/>
        <v>3593358.0233333334</v>
      </c>
      <c r="L42" s="120">
        <f t="shared" si="16"/>
        <v>4535473.163333334</v>
      </c>
      <c r="M42" s="120">
        <f t="shared" si="16"/>
        <v>5022940.793333334</v>
      </c>
      <c r="N42" s="120">
        <f t="shared" si="16"/>
        <v>5013043.3933333345</v>
      </c>
      <c r="O42" s="120">
        <f t="shared" si="16"/>
        <v>2405733.6033333344</v>
      </c>
      <c r="P42" s="120"/>
    </row>
    <row r="43" spans="4:16" ht="12.75"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>
        <f>SUM(P40:P41)</f>
        <v>-0.39666666835546494</v>
      </c>
    </row>
    <row r="48" ht="12.75">
      <c r="P48" s="6">
        <f>+P36-kiadás!P50</f>
        <v>-0.39666666835546494</v>
      </c>
    </row>
  </sheetData>
  <sheetProtection/>
  <mergeCells count="20">
    <mergeCell ref="A36:B36"/>
    <mergeCell ref="A1:P1"/>
    <mergeCell ref="N2:P2"/>
    <mergeCell ref="N3:P3"/>
    <mergeCell ref="D4:O4"/>
    <mergeCell ref="J5:J6"/>
    <mergeCell ref="A5:B6"/>
    <mergeCell ref="D5:D6"/>
    <mergeCell ref="E5:E6"/>
    <mergeCell ref="F5:F6"/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</mergeCells>
  <printOptions horizontalCentered="1" verticalCentered="1"/>
  <pageMargins left="0.2" right="0.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2015-09-01T08:34:17Z</cp:lastPrinted>
  <dcterms:created xsi:type="dcterms:W3CDTF">2009-02-16T12:26:31Z</dcterms:created>
  <dcterms:modified xsi:type="dcterms:W3CDTF">2015-09-01T12:30:51Z</dcterms:modified>
  <cp:category/>
  <cp:version/>
  <cp:contentType/>
  <cp:contentStatus/>
</cp:coreProperties>
</file>